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430" windowHeight="9555" tabRatio="887"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收益法车" sheetId="69"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6" l="1"/>
  <c r="E7" i="39" l="1"/>
  <c r="I48" i="39" l="1"/>
  <c r="G48" i="39"/>
  <c r="E48" i="39"/>
  <c r="E73" i="39" l="1"/>
  <c r="F73" i="39" s="1"/>
  <c r="G73" i="39" s="1"/>
  <c r="H73" i="39" s="1"/>
  <c r="I73" i="39" s="1"/>
  <c r="J73" i="39" s="1"/>
  <c r="K73" i="39" s="1"/>
  <c r="L73" i="39" s="1"/>
  <c r="M73" i="39" s="1"/>
  <c r="N73" i="39" s="1"/>
  <c r="O73" i="39" s="1"/>
  <c r="D73" i="39"/>
  <c r="E120" i="39"/>
  <c r="F120" i="39" s="1"/>
  <c r="G120" i="39" s="1"/>
  <c r="H120" i="39" s="1"/>
  <c r="D120" i="39"/>
  <c r="B19" i="3"/>
  <c r="W17" i="70" l="1"/>
  <c r="W18" i="70"/>
  <c r="W19" i="70" s="1"/>
  <c r="X15" i="70"/>
  <c r="X16" i="70"/>
  <c r="X17" i="70"/>
  <c r="X14" i="70"/>
  <c r="I40" i="39"/>
  <c r="G40" i="39"/>
  <c r="E40" i="39"/>
  <c r="C40" i="39"/>
  <c r="C13" i="39"/>
  <c r="I9" i="39"/>
  <c r="G9" i="39"/>
  <c r="E9" i="39"/>
  <c r="I7" i="39"/>
  <c r="G7" i="39"/>
  <c r="B17" i="3"/>
  <c r="D3" i="4"/>
  <c r="W20" i="70" l="1"/>
  <c r="X20" i="70" s="1"/>
  <c r="X19" i="70"/>
  <c r="X18" i="70"/>
  <c r="X21" i="70"/>
  <c r="P75" i="69"/>
  <c r="Q73" i="69"/>
  <c r="P62" i="69"/>
  <c r="Q60" i="69"/>
  <c r="D60" i="69"/>
  <c r="Q59" i="69"/>
  <c r="K59" i="69"/>
  <c r="Q52" i="69"/>
  <c r="J50" i="69"/>
  <c r="J51" i="69" s="1"/>
  <c r="M47" i="69"/>
  <c r="F33" i="69"/>
  <c r="F60" i="69" s="1"/>
  <c r="F32" i="69"/>
  <c r="F59" i="69" s="1"/>
  <c r="F28" i="69"/>
  <c r="F23" i="69"/>
  <c r="F21" i="69"/>
  <c r="F20" i="69"/>
  <c r="M19" i="69"/>
  <c r="M18" i="69"/>
  <c r="F18" i="69"/>
  <c r="F15" i="69"/>
  <c r="I47" i="21"/>
  <c r="M59" i="21"/>
  <c r="L59" i="21"/>
  <c r="K59" i="21"/>
  <c r="J59" i="21"/>
  <c r="I59" i="21"/>
  <c r="E119" i="39"/>
  <c r="F119" i="39" s="1"/>
  <c r="G119" i="39" s="1"/>
  <c r="H119" i="39" s="1"/>
  <c r="D119" i="39"/>
  <c r="E91" i="21"/>
  <c r="F91" i="21" s="1"/>
  <c r="G91" i="21" s="1"/>
  <c r="D91" i="21"/>
  <c r="D23" i="69" l="1"/>
  <c r="D22" i="69"/>
  <c r="D24" i="69"/>
  <c r="L46" i="69"/>
  <c r="C11" i="21" l="1"/>
  <c r="B35" i="1" l="1"/>
  <c r="F17" i="69" s="1"/>
  <c r="G21" i="6"/>
  <c r="M8" i="12" s="1"/>
  <c r="F20"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s="1"/>
  <c r="BL5" i="3" s="1"/>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c r="E103" i="39"/>
  <c r="F103" i="39"/>
  <c r="G103" i="39"/>
  <c r="H29"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H23" i="39" s="1"/>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W29" i="39"/>
  <c r="S29" i="39"/>
  <c r="AC21" i="39"/>
  <c r="AC17" i="39"/>
  <c r="S14" i="39"/>
  <c r="AB15" i="39"/>
  <c r="U11" i="39"/>
  <c r="U41" i="39"/>
  <c r="AB38" i="39"/>
  <c r="U31" i="39"/>
  <c r="AB31" i="39"/>
  <c r="S25" i="39"/>
  <c r="S38" i="39"/>
  <c r="S22" i="31"/>
  <c r="M20" i="15"/>
  <c r="D96" i="9"/>
  <c r="F28" i="15"/>
  <c r="M18" i="15"/>
  <c r="A18" i="64"/>
  <c r="B74" i="63"/>
  <c r="C53" i="10"/>
  <c r="A25" i="64" s="1"/>
  <c r="A18" i="51"/>
  <c r="B14" i="63"/>
  <c r="BA16" i="3"/>
  <c r="BA17" i="3"/>
  <c r="AZ17" i="3"/>
  <c r="F3" i="35"/>
  <c r="K1" i="43"/>
  <c r="K1" i="12"/>
  <c r="G1" i="44"/>
  <c r="I4" i="6"/>
  <c r="G3" i="46"/>
  <c r="AZ15" i="3"/>
  <c r="BK5" i="3"/>
  <c r="BP5" i="3"/>
  <c r="G29" i="6" s="1"/>
  <c r="G30" i="6" s="1"/>
  <c r="G31" i="6" s="1"/>
  <c r="BN5" i="3"/>
  <c r="BL18" i="3"/>
  <c r="AZ18" i="3"/>
  <c r="BC5" i="3"/>
  <c r="BD5" i="3"/>
  <c r="BR5" i="3"/>
  <c r="G28" i="6"/>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s="1"/>
  <c r="C46" i="36"/>
  <c r="C48" i="35"/>
  <c r="D48" i="35" s="1"/>
  <c r="E48" i="35" s="1"/>
  <c r="F48" i="35" s="1"/>
  <c r="G48" i="35" s="1"/>
  <c r="C52" i="37"/>
  <c r="D52" i="37" s="1"/>
  <c r="E52" i="37" s="1"/>
  <c r="F52" i="37" s="1"/>
  <c r="G52" i="37" s="1"/>
  <c r="H52" i="37" s="1"/>
  <c r="I52" i="37" s="1"/>
  <c r="J52" i="37" s="1"/>
  <c r="K52" i="37" s="1"/>
  <c r="L52" i="37" s="1"/>
  <c r="M52" i="37" s="1"/>
  <c r="O19" i="46"/>
  <c r="H86" i="46"/>
  <c r="H82" i="46"/>
  <c r="H10" i="48"/>
  <c r="H87" i="46"/>
  <c r="H85" i="46"/>
  <c r="H83" i="46"/>
  <c r="K10" i="1"/>
  <c r="M10" i="1" s="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G105" i="39"/>
  <c r="J31" i="39"/>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6" i="3"/>
  <c r="A9" i="64"/>
  <c r="A3" i="55"/>
  <c r="B56" i="63"/>
  <c r="G66" i="36"/>
  <c r="J18" i="36"/>
  <c r="AE6" i="1"/>
  <c r="W18" i="36"/>
  <c r="AC18" i="36"/>
  <c r="AG6" i="1"/>
  <c r="L20" i="6"/>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H22" i="46"/>
  <c r="Y11" i="46"/>
  <c r="Y13" i="46" s="1"/>
  <c r="H101" i="46"/>
  <c r="H102" i="46" s="1"/>
  <c r="G22" i="46"/>
  <c r="J22" i="46"/>
  <c r="F101" i="46"/>
  <c r="F106" i="46" s="1"/>
  <c r="D101" i="46"/>
  <c r="D106" i="46" s="1"/>
  <c r="AP7" i="1"/>
  <c r="D46" i="36"/>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V12" i="59"/>
  <c r="D12" i="59"/>
  <c r="C23" i="46"/>
  <c r="C7" i="46"/>
  <c r="D11" i="59"/>
  <c r="D10" i="59"/>
  <c r="G20" i="46"/>
  <c r="E41" i="46"/>
  <c r="C41" i="46"/>
  <c r="S5" i="46"/>
  <c r="S2" i="46"/>
  <c r="S3" i="46"/>
  <c r="S7" i="46"/>
  <c r="S6" i="46"/>
  <c r="S4" i="46"/>
  <c r="M8" i="69"/>
  <c r="N5" i="65"/>
  <c r="B9" i="67"/>
  <c r="F13" i="69"/>
  <c r="I5" i="65"/>
  <c r="E9" i="67"/>
  <c r="F13" i="15"/>
  <c r="B12" i="67"/>
  <c r="F45" i="44"/>
  <c r="E10" i="67"/>
  <c r="F26" i="69"/>
  <c r="M24" i="15"/>
  <c r="L48" i="69"/>
  <c r="I7" i="65"/>
  <c r="F40" i="69"/>
  <c r="L47" i="15"/>
  <c r="F42" i="69"/>
  <c r="F9" i="69"/>
  <c r="M8" i="44"/>
  <c r="E11" i="67"/>
  <c r="N3" i="65"/>
  <c r="F43" i="44"/>
  <c r="B11" i="67"/>
  <c r="F8" i="69"/>
  <c r="F37" i="15"/>
  <c r="N4" i="65"/>
  <c r="F42" i="15"/>
  <c r="L49" i="44"/>
  <c r="J36" i="15"/>
  <c r="B14" i="67"/>
  <c r="F36" i="15"/>
  <c r="J6" i="65"/>
  <c r="N7" i="65"/>
  <c r="L47" i="69"/>
  <c r="F9" i="44"/>
  <c r="F11" i="44"/>
  <c r="F8" i="44"/>
  <c r="F8" i="15"/>
  <c r="J3" i="65"/>
  <c r="J15" i="15"/>
  <c r="J5" i="65"/>
  <c r="L48" i="15"/>
  <c r="F28" i="44"/>
  <c r="M24" i="44"/>
  <c r="F18" i="44"/>
  <c r="F38" i="44"/>
  <c r="E8" i="67"/>
  <c r="F9" i="67"/>
  <c r="E14" i="67"/>
  <c r="F46" i="44"/>
  <c r="M9" i="15"/>
  <c r="M24" i="69"/>
  <c r="M27" i="15"/>
  <c r="M26" i="69"/>
  <c r="M31" i="44"/>
  <c r="F38" i="15"/>
  <c r="F12" i="67"/>
  <c r="M10" i="44"/>
  <c r="F36" i="69"/>
  <c r="F15" i="44"/>
  <c r="M22" i="15"/>
  <c r="J36" i="69"/>
  <c r="F39" i="44"/>
  <c r="L48" i="44"/>
  <c r="E13" i="67"/>
  <c r="J15" i="69"/>
  <c r="M26" i="44"/>
  <c r="I6" i="65"/>
  <c r="F40" i="15"/>
  <c r="M29" i="15"/>
  <c r="F6" i="15"/>
  <c r="F16" i="69"/>
  <c r="F7" i="69"/>
  <c r="J17" i="44"/>
  <c r="I3" i="65"/>
  <c r="M28" i="44"/>
  <c r="J4" i="65"/>
  <c r="M9" i="69"/>
  <c r="M6" i="15"/>
  <c r="M26" i="15"/>
  <c r="N6" i="65"/>
  <c r="F10" i="44"/>
  <c r="F43" i="15"/>
  <c r="M28" i="15"/>
  <c r="F16" i="15"/>
  <c r="E12" i="67"/>
  <c r="F37" i="69"/>
  <c r="M22" i="69"/>
  <c r="B10" i="67"/>
  <c r="M25" i="44"/>
  <c r="F6" i="69"/>
  <c r="M23" i="69"/>
  <c r="M11" i="44"/>
  <c r="M23" i="15"/>
  <c r="F40" i="44"/>
  <c r="M30" i="44"/>
  <c r="F14" i="67"/>
  <c r="M28" i="69"/>
  <c r="F26" i="15"/>
  <c r="F9" i="15"/>
  <c r="I4" i="65"/>
  <c r="F38" i="69"/>
  <c r="M6" i="69"/>
  <c r="M29" i="44"/>
  <c r="M8" i="15"/>
  <c r="B13" i="67"/>
  <c r="F8" i="67"/>
  <c r="F43" i="69"/>
  <c r="B8" i="67"/>
  <c r="M27" i="69"/>
  <c r="F10" i="67"/>
  <c r="F13" i="67"/>
  <c r="M29" i="69"/>
  <c r="J7" i="65"/>
  <c r="F11" i="67"/>
  <c r="G103" i="46" l="1"/>
  <c r="K103" i="46"/>
  <c r="C72" i="39"/>
  <c r="D70" i="39"/>
  <c r="H65" i="40"/>
  <c r="I65" i="40" s="1"/>
  <c r="F67" i="40"/>
  <c r="E67" i="40"/>
  <c r="F23" i="39"/>
  <c r="AA23" i="39" s="1"/>
  <c r="H126" i="39"/>
  <c r="I126" i="39" s="1"/>
  <c r="J126" i="39" s="1"/>
  <c r="K126" i="39" s="1"/>
  <c r="L126" i="39" s="1"/>
  <c r="M126" i="39" s="1"/>
  <c r="H43" i="39"/>
  <c r="U43" i="39" s="1"/>
  <c r="F43" i="39"/>
  <c r="J43" i="39"/>
  <c r="W43" i="39" s="1"/>
  <c r="U23" i="39"/>
  <c r="S23" i="39"/>
  <c r="F63" i="69"/>
  <c r="F50" i="69"/>
  <c r="F64" i="69"/>
  <c r="F65" i="69"/>
  <c r="F67" i="69"/>
  <c r="Q72" i="69"/>
  <c r="C27" i="69"/>
  <c r="F49" i="69"/>
  <c r="C6" i="69"/>
  <c r="C33" i="69" s="1"/>
  <c r="M7" i="69"/>
  <c r="F31" i="69"/>
  <c r="F34" i="69"/>
  <c r="F61" i="69" s="1"/>
  <c r="M20" i="69"/>
  <c r="F34" i="15"/>
  <c r="F61" i="15" s="1"/>
  <c r="F101" i="39"/>
  <c r="G101" i="39" s="1"/>
  <c r="H27" i="39"/>
  <c r="AB27" i="39" s="1"/>
  <c r="F27" i="39"/>
  <c r="AA27" i="39" s="1"/>
  <c r="J27" i="39"/>
  <c r="AC27" i="39" s="1"/>
  <c r="S27" i="39"/>
  <c r="W27" i="39"/>
  <c r="G93" i="39"/>
  <c r="H19" i="39"/>
  <c r="AB19" i="39" s="1"/>
  <c r="F19" i="39"/>
  <c r="J19" i="39"/>
  <c r="D18" i="9"/>
  <c r="M44" i="9" s="1"/>
  <c r="M43" i="9"/>
  <c r="A30" i="64"/>
  <c r="A30" i="51"/>
  <c r="B22" i="63" s="1"/>
  <c r="H13" i="39"/>
  <c r="J13" i="39"/>
  <c r="G83" i="39"/>
  <c r="H83" i="39" s="1"/>
  <c r="I83" i="39" s="1"/>
  <c r="J83" i="39" s="1"/>
  <c r="K83" i="39" s="1"/>
  <c r="L83" i="39" s="1"/>
  <c r="M83" i="39" s="1"/>
  <c r="F13" i="39"/>
  <c r="B116" i="46"/>
  <c r="C116" i="46" s="1"/>
  <c r="E103" i="46"/>
  <c r="G13" i="3"/>
  <c r="F70" i="69"/>
  <c r="M7" i="1"/>
  <c r="AH7" i="1"/>
  <c r="M8" i="1"/>
  <c r="C28" i="69"/>
  <c r="C67" i="40"/>
  <c r="L59" i="69"/>
  <c r="L56" i="69"/>
  <c r="L60" i="69"/>
  <c r="L57" i="69"/>
  <c r="J57" i="69"/>
  <c r="J55" i="69" s="1"/>
  <c r="J58" i="69" s="1"/>
  <c r="Q51" i="69" s="1"/>
  <c r="J60" i="69"/>
  <c r="Q49" i="69" s="1"/>
  <c r="J53" i="69"/>
  <c r="L58" i="69"/>
  <c r="I54" i="69"/>
  <c r="J59" i="69"/>
  <c r="AP8" i="1"/>
  <c r="AP16" i="1" s="1"/>
  <c r="F22" i="11" s="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AC11"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G105" i="46"/>
  <c r="I117" i="46"/>
  <c r="J117" i="46" s="1"/>
  <c r="K117" i="46" s="1"/>
  <c r="L117" i="46" s="1"/>
  <c r="M117" i="46" s="1"/>
  <c r="I115" i="46"/>
  <c r="J115" i="46" s="1"/>
  <c r="K115" i="46" s="1"/>
  <c r="L115" i="46" s="1"/>
  <c r="M115" i="46" s="1"/>
  <c r="L105" i="46"/>
  <c r="K105" i="46"/>
  <c r="C103" i="46"/>
  <c r="E8" i="6"/>
  <c r="E58" i="39" s="1"/>
  <c r="E5" i="6"/>
  <c r="D12" i="11" s="1"/>
  <c r="C12" i="11" s="1"/>
  <c r="E12" i="6"/>
  <c r="F28" i="6"/>
  <c r="E28" i="6" s="1"/>
  <c r="F29" i="6"/>
  <c r="E29" i="6" s="1"/>
  <c r="F102" i="46"/>
  <c r="F109" i="46"/>
  <c r="BA13" i="3"/>
  <c r="G109" i="46"/>
  <c r="G102" i="46"/>
  <c r="B117" i="46"/>
  <c r="C117" i="46" s="1"/>
  <c r="D118" i="46"/>
  <c r="E118" i="46" s="1"/>
  <c r="F118" i="46" s="1"/>
  <c r="B115" i="46"/>
  <c r="C115" i="46" s="1"/>
  <c r="L103" i="46"/>
  <c r="L106" i="46"/>
  <c r="E107" i="46"/>
  <c r="E106" i="46"/>
  <c r="K106" i="46"/>
  <c r="D103" i="46"/>
  <c r="D107" i="46"/>
  <c r="F30" i="6"/>
  <c r="I105" i="46"/>
  <c r="C106" i="46"/>
  <c r="C104" i="46"/>
  <c r="N104" i="46"/>
  <c r="D109" i="46"/>
  <c r="H104" i="46"/>
  <c r="H105" i="46"/>
  <c r="H107" i="46"/>
  <c r="C105" i="46"/>
  <c r="C102" i="46"/>
  <c r="C107" i="46"/>
  <c r="J102" i="46"/>
  <c r="M104" i="46"/>
  <c r="F103"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9" i="46"/>
  <c r="D104" i="46"/>
  <c r="D105" i="46"/>
  <c r="H106" i="46"/>
  <c r="D102" i="46"/>
  <c r="H109" i="46"/>
  <c r="H103" i="46"/>
  <c r="D22" i="46"/>
  <c r="C21" i="46" s="1"/>
  <c r="F105" i="46"/>
  <c r="F104" i="46"/>
  <c r="F107" i="46"/>
  <c r="E53" i="40"/>
  <c r="E14" i="6"/>
  <c r="E61" i="40" s="1"/>
  <c r="E15" i="6"/>
  <c r="E67" i="39" s="1"/>
  <c r="E11" i="6"/>
  <c r="E63" i="39" s="1"/>
  <c r="E66" i="39"/>
  <c r="J103" i="46"/>
  <c r="J107" i="46"/>
  <c r="N103" i="46"/>
  <c r="E62" i="40"/>
  <c r="E10" i="6"/>
  <c r="E13" i="6"/>
  <c r="Q16" i="1"/>
  <c r="H16" i="1"/>
  <c r="F27" i="6"/>
  <c r="F31" i="6" s="1"/>
  <c r="I109" i="46"/>
  <c r="O10" i="1"/>
  <c r="P10" i="1" s="1"/>
  <c r="O9" i="1"/>
  <c r="P9" i="1" s="1"/>
  <c r="O13" i="1"/>
  <c r="P13" i="1" s="1"/>
  <c r="O6" i="1"/>
  <c r="P6" i="1" s="1"/>
  <c r="C15" i="12" s="1"/>
  <c r="O7" i="1"/>
  <c r="P7" i="1" s="1"/>
  <c r="O11" i="1"/>
  <c r="P11" i="1" s="1"/>
  <c r="O12" i="1"/>
  <c r="P12" i="1" s="1"/>
  <c r="J109" i="46"/>
  <c r="J105" i="46"/>
  <c r="J104" i="46"/>
  <c r="I107" i="46"/>
  <c r="N102" i="46"/>
  <c r="N106" i="46"/>
  <c r="I103" i="46"/>
  <c r="N107" i="46"/>
  <c r="I104" i="46"/>
  <c r="M105" i="46"/>
  <c r="M102" i="46"/>
  <c r="M106" i="46"/>
  <c r="I106" i="46"/>
  <c r="M109" i="46"/>
  <c r="M103" i="46"/>
  <c r="G13" i="1"/>
  <c r="G9" i="1"/>
  <c r="G16" i="1" s="1"/>
  <c r="J12" i="40" s="1"/>
  <c r="G12" i="1"/>
  <c r="L16" i="4"/>
  <c r="K17" i="4" s="1"/>
  <c r="A22" i="51" s="1"/>
  <c r="B16" i="63" s="1"/>
  <c r="A4" i="51"/>
  <c r="B6" i="63" s="1"/>
  <c r="N52" i="37"/>
  <c r="O52" i="37" s="1"/>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C16" i="15"/>
  <c r="F7" i="15"/>
  <c r="E3" i="65"/>
  <c r="C16" i="69"/>
  <c r="E2" i="65"/>
  <c r="C18" i="44"/>
  <c r="H67" i="40" l="1"/>
  <c r="E70" i="39"/>
  <c r="D72" i="39"/>
  <c r="J65" i="40"/>
  <c r="I67" i="40"/>
  <c r="U19" i="39"/>
  <c r="AC43" i="39"/>
  <c r="AA43" i="39"/>
  <c r="S43" i="39"/>
  <c r="J7" i="37"/>
  <c r="AC7" i="37" s="1"/>
  <c r="V42" i="37" s="1"/>
  <c r="I42" i="37" s="1"/>
  <c r="C32" i="69"/>
  <c r="J6" i="69"/>
  <c r="J18" i="69" s="1"/>
  <c r="M17" i="69"/>
  <c r="C48" i="69"/>
  <c r="F58" i="69"/>
  <c r="U27" i="39"/>
  <c r="W19" i="39"/>
  <c r="AC19" i="39"/>
  <c r="S19" i="39"/>
  <c r="AA19" i="39"/>
  <c r="AA13" i="39"/>
  <c r="S13" i="39"/>
  <c r="AC13" i="39"/>
  <c r="W13" i="39"/>
  <c r="AB13" i="39"/>
  <c r="U13" i="39"/>
  <c r="D21" i="12"/>
  <c r="C21" i="12" s="1"/>
  <c r="K15" i="1"/>
  <c r="L19" i="6"/>
  <c r="L27" i="6" s="1"/>
  <c r="C33" i="21"/>
  <c r="G5" i="3"/>
  <c r="B3" i="3" s="1"/>
  <c r="F49" i="15"/>
  <c r="F58" i="15" s="1"/>
  <c r="F31" i="15"/>
  <c r="M7" i="15"/>
  <c r="M17" i="15" s="1"/>
  <c r="C6" i="15"/>
  <c r="C32" i="15" s="1"/>
  <c r="O8" i="1"/>
  <c r="P8" i="1" s="1"/>
  <c r="Q75" i="69"/>
  <c r="Q62" i="69"/>
  <c r="Q53" i="69"/>
  <c r="F1" i="69"/>
  <c r="Q67" i="69"/>
  <c r="Q58" i="69"/>
  <c r="Q74" i="69"/>
  <c r="Q61" i="69"/>
  <c r="F11" i="69"/>
  <c r="M11" i="69"/>
  <c r="J10"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E16" i="6"/>
  <c r="D113" i="46"/>
  <c r="H12" i="40"/>
  <c r="U12" i="40" s="1"/>
  <c r="E58" i="40"/>
  <c r="F24" i="43"/>
  <c r="C26" i="43" s="1"/>
  <c r="D24" i="43" s="1"/>
  <c r="F33" i="12"/>
  <c r="C34" i="12" s="1"/>
  <c r="D33" i="12" s="1"/>
  <c r="J12" i="39"/>
  <c r="W12" i="39" s="1"/>
  <c r="F12" i="39"/>
  <c r="AA12" i="39" s="1"/>
  <c r="E60" i="40"/>
  <c r="E65" i="39"/>
  <c r="H12" i="39"/>
  <c r="AB12" i="39" s="1"/>
  <c r="F12" i="40"/>
  <c r="AA12" i="40" s="1"/>
  <c r="F46" i="36"/>
  <c r="F59" i="34"/>
  <c r="W12" i="40"/>
  <c r="AC12" i="40"/>
  <c r="J7" i="35"/>
  <c r="G58" i="21"/>
  <c r="F58" i="33"/>
  <c r="F7" i="35"/>
  <c r="H7" i="35"/>
  <c r="H7" i="37"/>
  <c r="F7" i="37"/>
  <c r="D6" i="59"/>
  <c r="C5" i="59"/>
  <c r="D5" i="59" s="1"/>
  <c r="M19" i="44"/>
  <c r="M20" i="46"/>
  <c r="C19" i="46"/>
  <c r="C34" i="46" s="1"/>
  <c r="B40" i="1"/>
  <c r="F24" i="69"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8" i="1"/>
  <c r="AE7" i="1"/>
  <c r="F41" i="69"/>
  <c r="W7" i="37" l="1"/>
  <c r="J67" i="40"/>
  <c r="K65" i="40"/>
  <c r="E72" i="39"/>
  <c r="F70" i="39"/>
  <c r="J5" i="69"/>
  <c r="U12" i="39"/>
  <c r="J6" i="15"/>
  <c r="J18" i="15" s="1"/>
  <c r="C48" i="15"/>
  <c r="AB12" i="40"/>
  <c r="E413" i="3"/>
  <c r="E241" i="3"/>
  <c r="E446" i="3"/>
  <c r="E437" i="3"/>
  <c r="E221" i="3"/>
  <c r="E31" i="3"/>
  <c r="AA6" i="3"/>
  <c r="E327" i="3"/>
  <c r="E200" i="3"/>
  <c r="E389" i="3"/>
  <c r="E230" i="3"/>
  <c r="E143" i="3"/>
  <c r="M6" i="3"/>
  <c r="E69" i="3"/>
  <c r="E152" i="3"/>
  <c r="E46" i="3"/>
  <c r="E457" i="3"/>
  <c r="X6" i="3"/>
  <c r="E299" i="3"/>
  <c r="E103" i="3"/>
  <c r="E62" i="3"/>
  <c r="E520" i="3"/>
  <c r="AK6" i="3"/>
  <c r="AN6" i="3"/>
  <c r="E450" i="3"/>
  <c r="E537" i="3"/>
  <c r="E536" i="3"/>
  <c r="E545" i="3"/>
  <c r="N6" i="3"/>
  <c r="E425" i="3"/>
  <c r="E52" i="3"/>
  <c r="U6" i="3"/>
  <c r="E73" i="3"/>
  <c r="E211" i="3"/>
  <c r="E466" i="3"/>
  <c r="E198" i="3"/>
  <c r="E290" i="3"/>
  <c r="E40" i="3"/>
  <c r="E228" i="3"/>
  <c r="E334" i="3"/>
  <c r="E396" i="3"/>
  <c r="E392" i="3"/>
  <c r="E360" i="3"/>
  <c r="E144" i="3"/>
  <c r="E506" i="3"/>
  <c r="E366" i="3"/>
  <c r="E330" i="3"/>
  <c r="E350" i="3"/>
  <c r="E496" i="3"/>
  <c r="E352" i="3"/>
  <c r="E138" i="3"/>
  <c r="E519" i="3"/>
  <c r="E252" i="3"/>
  <c r="E544" i="3"/>
  <c r="E523" i="3"/>
  <c r="E13" i="3"/>
  <c r="E59" i="3"/>
  <c r="E253" i="3"/>
  <c r="E213" i="3"/>
  <c r="E47" i="3"/>
  <c r="E473" i="3"/>
  <c r="E79" i="3"/>
  <c r="E272" i="3"/>
  <c r="E445" i="3"/>
  <c r="E291" i="3"/>
  <c r="E365" i="3"/>
  <c r="E336" i="3"/>
  <c r="E65" i="3"/>
  <c r="E345" i="3"/>
  <c r="E440" i="3"/>
  <c r="E362" i="3"/>
  <c r="E314" i="3"/>
  <c r="E489" i="3"/>
  <c r="E183" i="3"/>
  <c r="E45" i="3"/>
  <c r="E42" i="3"/>
  <c r="E269" i="3"/>
  <c r="E562" i="3"/>
  <c r="E518" i="3"/>
  <c r="E167" i="3"/>
  <c r="E515" i="3"/>
  <c r="E494" i="3"/>
  <c r="E542" i="3"/>
  <c r="E254" i="3"/>
  <c r="E341" i="3"/>
  <c r="E316" i="3"/>
  <c r="E318" i="3"/>
  <c r="E380" i="3"/>
  <c r="AO6" i="3"/>
  <c r="E421" i="3"/>
  <c r="E132" i="3"/>
  <c r="E91" i="3"/>
  <c r="E359" i="3"/>
  <c r="E391" i="3"/>
  <c r="E127" i="3"/>
  <c r="E215" i="3"/>
  <c r="E548" i="3"/>
  <c r="E454" i="3"/>
  <c r="E283" i="3"/>
  <c r="E535" i="3"/>
  <c r="E156" i="3"/>
  <c r="E381" i="3"/>
  <c r="E49" i="3"/>
  <c r="E427" i="3"/>
  <c r="E193" i="3"/>
  <c r="E278" i="3"/>
  <c r="AD6" i="3"/>
  <c r="E464" i="3"/>
  <c r="E472" i="3"/>
  <c r="E452" i="3"/>
  <c r="E462" i="3"/>
  <c r="E482" i="3"/>
  <c r="E113" i="3"/>
  <c r="E257" i="3"/>
  <c r="E451" i="3"/>
  <c r="E305" i="3"/>
  <c r="E126" i="3"/>
  <c r="Y6" i="3"/>
  <c r="E51" i="3"/>
  <c r="E281" i="3"/>
  <c r="AF6" i="3"/>
  <c r="E559" i="3"/>
  <c r="E324" i="3"/>
  <c r="E325" i="3"/>
  <c r="E216" i="3"/>
  <c r="E373" i="3"/>
  <c r="T6" i="3"/>
  <c r="E219" i="3"/>
  <c r="E483" i="3"/>
  <c r="E532" i="3"/>
  <c r="E340" i="3"/>
  <c r="E521" i="3"/>
  <c r="E130" i="3"/>
  <c r="E461" i="3"/>
  <c r="E328" i="3"/>
  <c r="E155" i="3"/>
  <c r="E346" i="3"/>
  <c r="E541" i="3"/>
  <c r="E557" i="3"/>
  <c r="E297" i="3"/>
  <c r="E209" i="3"/>
  <c r="E54" i="3"/>
  <c r="E397" i="3"/>
  <c r="E184" i="3"/>
  <c r="E232" i="3"/>
  <c r="E401" i="3"/>
  <c r="E139" i="3"/>
  <c r="E556" i="3"/>
  <c r="E527" i="3"/>
  <c r="E248" i="3"/>
  <c r="AR6" i="3"/>
  <c r="E513" i="3"/>
  <c r="E72" i="3"/>
  <c r="E331" i="3"/>
  <c r="E150" i="3"/>
  <c r="E502" i="3"/>
  <c r="E320" i="3"/>
  <c r="E181" i="3"/>
  <c r="E571" i="3"/>
  <c r="E566" i="3"/>
  <c r="E273" i="3"/>
  <c r="E112" i="3"/>
  <c r="E175" i="3"/>
  <c r="E503" i="3"/>
  <c r="E206" i="3"/>
  <c r="E115" i="3"/>
  <c r="E321" i="3"/>
  <c r="I6" i="3"/>
  <c r="E561" i="3"/>
  <c r="E443" i="3"/>
  <c r="E194" i="3"/>
  <c r="E78"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250" i="3"/>
  <c r="E471" i="3"/>
  <c r="E408" i="3"/>
  <c r="E238" i="3"/>
  <c r="E44" i="3"/>
  <c r="E534" i="3"/>
  <c r="E387" i="3"/>
  <c r="R6" i="3"/>
  <c r="E125" i="3"/>
  <c r="AH6" i="3"/>
  <c r="P6" i="3"/>
  <c r="E84" i="3"/>
  <c r="AP6" i="3"/>
  <c r="E431" i="3"/>
  <c r="E70" i="3"/>
  <c r="E38" i="3"/>
  <c r="E151" i="3"/>
  <c r="E313" i="3"/>
  <c r="E53" i="3"/>
  <c r="E405" i="3"/>
  <c r="W6" i="3"/>
  <c r="E190" i="3"/>
  <c r="E560" i="3"/>
  <c r="E420" i="3"/>
  <c r="E111" i="3"/>
  <c r="E233" i="3"/>
  <c r="E261" i="3"/>
  <c r="L6" i="3"/>
  <c r="E467" i="3"/>
  <c r="E429" i="3"/>
  <c r="E67" i="3"/>
  <c r="E116" i="3"/>
  <c r="E214" i="3"/>
  <c r="E372" i="3"/>
  <c r="E486" i="3"/>
  <c r="E286" i="3"/>
  <c r="E284" i="3"/>
  <c r="E338" i="3"/>
  <c r="E497" i="3"/>
  <c r="E553" i="3"/>
  <c r="E563" i="3"/>
  <c r="E268" i="3"/>
  <c r="E565" i="3"/>
  <c r="E475" i="3"/>
  <c r="E333" i="3"/>
  <c r="E195" i="3"/>
  <c r="E266" i="3"/>
  <c r="Z6" i="3"/>
  <c r="E23" i="3"/>
  <c r="E265" i="3"/>
  <c r="AM6" i="3"/>
  <c r="E337"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41" i="3"/>
  <c r="E418" i="3"/>
  <c r="E92" i="3"/>
  <c r="E414" i="3"/>
  <c r="E202" i="3"/>
  <c r="E376" i="3"/>
  <c r="E294" i="3"/>
  <c r="E21" i="3"/>
  <c r="E64" i="3"/>
  <c r="E140" i="3"/>
  <c r="E343" i="3"/>
  <c r="E142" i="3"/>
  <c r="E410" i="3"/>
  <c r="E468" i="3"/>
  <c r="E109" i="3"/>
  <c r="E185" i="3"/>
  <c r="E148" i="3"/>
  <c r="E27" i="3"/>
  <c r="E412" i="3"/>
  <c r="E469" i="3"/>
  <c r="E293" i="3"/>
  <c r="E189" i="3"/>
  <c r="E37" i="3"/>
  <c r="E507" i="3"/>
  <c r="E303" i="3"/>
  <c r="E275" i="3"/>
  <c r="E203" i="3"/>
  <c r="E39" i="3"/>
  <c r="E402" i="3"/>
  <c r="E107" i="3"/>
  <c r="E172" i="3"/>
  <c r="E288" i="3"/>
  <c r="E255"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57" i="3"/>
  <c r="E552" i="3"/>
  <c r="E434" i="3"/>
  <c r="E77" i="3"/>
  <c r="E146" i="3"/>
  <c r="E430" i="3"/>
  <c r="E388" i="3"/>
  <c r="E222" i="3"/>
  <c r="E124" i="3"/>
  <c r="E83" i="3"/>
  <c r="E409" i="3"/>
  <c r="E375" i="3"/>
  <c r="E570" i="3"/>
  <c r="E282" i="3"/>
  <c r="E55" i="3"/>
  <c r="E394" i="3"/>
  <c r="E93" i="3"/>
  <c r="E348" i="3"/>
  <c r="E114" i="3"/>
  <c r="E192" i="3"/>
  <c r="E476" i="3"/>
  <c r="E481" i="3"/>
  <c r="E356" i="3"/>
  <c r="E326" i="3"/>
  <c r="E484" i="3"/>
  <c r="E382" i="3"/>
  <c r="E301" i="3"/>
  <c r="E240" i="3"/>
  <c r="E137" i="3"/>
  <c r="E71" i="3"/>
  <c r="E244" i="3"/>
  <c r="E488" i="3"/>
  <c r="E406" i="3"/>
  <c r="E227" i="3"/>
  <c r="E504" i="3"/>
  <c r="E516" i="3"/>
  <c r="E510" i="3"/>
  <c r="E572" i="3"/>
  <c r="E368" i="3"/>
  <c r="E522" i="3"/>
  <c r="AL6" i="3"/>
  <c r="E342" i="3"/>
  <c r="E351"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204" i="3"/>
  <c r="O6" i="3"/>
  <c r="E166" i="3"/>
  <c r="E332" i="3"/>
  <c r="E85" i="3"/>
  <c r="E533" i="3"/>
  <c r="E422" i="3"/>
  <c r="E129" i="3"/>
  <c r="E63" i="3"/>
  <c r="E442" i="3"/>
  <c r="E490" i="3"/>
  <c r="E423" i="3"/>
  <c r="E225" i="3"/>
  <c r="E161" i="3"/>
  <c r="E270" i="3"/>
  <c r="E395" i="3"/>
  <c r="E393"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101" i="3"/>
  <c r="E262" i="3"/>
  <c r="E99" i="3"/>
  <c r="E164" i="3"/>
  <c r="E82" i="3"/>
  <c r="E424" i="3"/>
  <c r="E263" i="3"/>
  <c r="E311" i="3"/>
  <c r="E186" i="3"/>
  <c r="E349" i="3"/>
  <c r="E470" i="3"/>
  <c r="E528" i="3"/>
  <c r="E231" i="3"/>
  <c r="E117" i="3"/>
  <c r="E459" i="3"/>
  <c r="E439" i="3"/>
  <c r="E22" i="3"/>
  <c r="E147" i="3"/>
  <c r="E135" i="3"/>
  <c r="E68" i="3"/>
  <c r="E86" i="3"/>
  <c r="E564" i="3"/>
  <c r="E20" i="3"/>
  <c r="E509" i="3"/>
  <c r="E358" i="3"/>
  <c r="E18" i="3"/>
  <c r="E377" i="3"/>
  <c r="E17" i="3"/>
  <c r="E511" i="3"/>
  <c r="E322" i="3"/>
  <c r="S6" i="3"/>
  <c r="E26" i="3"/>
  <c r="AB6" i="3"/>
  <c r="E329" i="3"/>
  <c r="E487" i="3"/>
  <c r="E567" i="3"/>
  <c r="E310" i="3"/>
  <c r="E371" i="3"/>
  <c r="E384" i="3"/>
  <c r="E512" i="3"/>
  <c r="E501" i="3"/>
  <c r="E514"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398" i="3"/>
  <c r="E98" i="3"/>
  <c r="E174" i="3"/>
  <c r="E110" i="3"/>
  <c r="E218" i="3"/>
  <c r="E435" i="3"/>
  <c r="E199" i="3"/>
  <c r="E187" i="3"/>
  <c r="E157" i="3"/>
  <c r="E280" i="3"/>
  <c r="H33" i="21"/>
  <c r="F33" i="21"/>
  <c r="J33" i="21"/>
  <c r="F68" i="69"/>
  <c r="J26" i="69"/>
  <c r="J29" i="69" s="1"/>
  <c r="J24" i="69"/>
  <c r="C24" i="69"/>
  <c r="C52" i="69"/>
  <c r="C47" i="69" s="1"/>
  <c r="C10" i="69"/>
  <c r="C5" i="69" s="1"/>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AA7" i="37"/>
  <c r="R42" i="37" s="1"/>
  <c r="S7" i="37"/>
  <c r="U7" i="37"/>
  <c r="AB7" i="37"/>
  <c r="T42" i="37" s="1"/>
  <c r="G42" i="37" s="1"/>
  <c r="AB7" i="35"/>
  <c r="T38" i="35" s="1"/>
  <c r="G38" i="35" s="1"/>
  <c r="U7" i="35"/>
  <c r="G58" i="33"/>
  <c r="H58" i="21"/>
  <c r="I46" i="37"/>
  <c r="J46" i="37" s="1"/>
  <c r="AA7" i="35"/>
  <c r="R38" i="35" s="1"/>
  <c r="S7" i="35"/>
  <c r="W7" i="35"/>
  <c r="AC7" i="35"/>
  <c r="V38" i="35" s="1"/>
  <c r="I38" i="35" s="1"/>
  <c r="G59" i="34"/>
  <c r="G4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3" i="46"/>
  <c r="I33"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F41" i="15"/>
  <c r="C19" i="44"/>
  <c r="G70" i="39" l="1"/>
  <c r="F72" i="39"/>
  <c r="L65" i="40"/>
  <c r="K67" i="40"/>
  <c r="F68" i="15"/>
  <c r="J5" i="15"/>
  <c r="J26" i="15" s="1"/>
  <c r="J29" i="15" s="1"/>
  <c r="C47" i="15"/>
  <c r="C59" i="15" s="1"/>
  <c r="AC33" i="21"/>
  <c r="W33" i="21"/>
  <c r="U33" i="21"/>
  <c r="AB33" i="21"/>
  <c r="H6" i="3"/>
  <c r="S33" i="21"/>
  <c r="AA33" i="21"/>
  <c r="AC6" i="3"/>
  <c r="C38" i="69"/>
  <c r="C60" i="69"/>
  <c r="C59" i="69"/>
  <c r="C65" i="69"/>
  <c r="M21" i="6"/>
  <c r="I21" i="6" s="1"/>
  <c r="S21" i="6" s="1"/>
  <c r="S8" i="1"/>
  <c r="M20" i="6"/>
  <c r="I20" i="6" s="1"/>
  <c r="S20" i="6" s="1"/>
  <c r="S7" i="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G46" i="37"/>
  <c r="H46" i="37" s="1"/>
  <c r="G47" i="37"/>
  <c r="H47" i="37" s="1"/>
  <c r="E37" i="46"/>
  <c r="G39" i="46"/>
  <c r="I39" i="46" s="1"/>
  <c r="E36" i="46"/>
  <c r="H46" i="36"/>
  <c r="H59" i="34"/>
  <c r="H58" i="33"/>
  <c r="G42" i="35"/>
  <c r="H42" i="35" s="1"/>
  <c r="G43" i="35"/>
  <c r="H43" i="35" s="1"/>
  <c r="R43" i="37"/>
  <c r="E42" i="37"/>
  <c r="E29" i="46"/>
  <c r="C27" i="46"/>
  <c r="C65" i="15"/>
  <c r="B3" i="11"/>
  <c r="C27" i="12"/>
  <c r="D26" i="12" s="1"/>
  <c r="C32" i="12" s="1"/>
  <c r="D30" i="12" s="1"/>
  <c r="J24" i="15"/>
  <c r="C38" i="15"/>
  <c r="Q58" i="44"/>
  <c r="Q67" i="44"/>
  <c r="Q49" i="44"/>
  <c r="Q55" i="44" s="1"/>
  <c r="C17" i="69"/>
  <c r="C17" i="15"/>
  <c r="F7" i="67"/>
  <c r="M65" i="40" l="1"/>
  <c r="L67" i="40"/>
  <c r="H70" i="39"/>
  <c r="G72" i="39"/>
  <c r="E6" i="3"/>
  <c r="S16" i="1"/>
  <c r="T8" i="1"/>
  <c r="T6" i="1"/>
  <c r="T9" i="1"/>
  <c r="T10" i="1"/>
  <c r="T13" i="1"/>
  <c r="T12" i="1"/>
  <c r="T11" i="1"/>
  <c r="T7" i="1"/>
  <c r="D11" i="6"/>
  <c r="D13" i="6"/>
  <c r="D6" i="6"/>
  <c r="E63" i="40"/>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6"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43" i="35"/>
  <c r="F43" i="35" s="1"/>
  <c r="E42" i="35"/>
  <c r="F42" i="35" s="1"/>
  <c r="I43" i="35"/>
  <c r="J43" i="35" s="1"/>
  <c r="E47" i="37"/>
  <c r="F47" i="37" s="1"/>
  <c r="E46" i="37"/>
  <c r="F46" i="37" s="1"/>
  <c r="I47" i="37"/>
  <c r="J47" i="37" s="1"/>
  <c r="F7" i="33"/>
  <c r="I59" i="34"/>
  <c r="J58" i="21"/>
  <c r="C38" i="35"/>
  <c r="C39" i="35"/>
  <c r="B3" i="35" s="1"/>
  <c r="B2" i="35" s="1"/>
  <c r="E4" i="67"/>
  <c r="C26" i="46"/>
  <c r="B2" i="46" s="1"/>
  <c r="D77" i="9"/>
  <c r="N75" i="9" s="1"/>
  <c r="F35" i="69"/>
  <c r="C14" i="69"/>
  <c r="C16" i="44"/>
  <c r="B7" i="67"/>
  <c r="E7" i="67"/>
  <c r="C14" i="15"/>
  <c r="M21" i="15"/>
  <c r="F35" i="15"/>
  <c r="M21" i="69"/>
  <c r="I70" i="39" l="1"/>
  <c r="H72" i="39"/>
  <c r="M67" i="40"/>
  <c r="N65" i="40"/>
  <c r="N67" i="40" s="1"/>
  <c r="C18" i="69"/>
  <c r="C15" i="69"/>
  <c r="J20" i="15"/>
  <c r="C34" i="15"/>
  <c r="F62" i="15"/>
  <c r="C61" i="15" s="1"/>
  <c r="J20" i="69"/>
  <c r="C34" i="69"/>
  <c r="C31" i="69" s="1"/>
  <c r="F62" i="69"/>
  <c r="C61" i="69" s="1"/>
  <c r="C58" i="69" s="1"/>
  <c r="C15" i="15"/>
  <c r="C18" i="15"/>
  <c r="C20" i="44"/>
  <c r="C17" i="44"/>
  <c r="I27" i="6"/>
  <c r="S19" i="6"/>
  <c r="S27" i="6" s="1"/>
  <c r="D16" i="6"/>
  <c r="A6" i="64"/>
  <c r="A20" i="51"/>
  <c r="B15" i="63" s="1"/>
  <c r="A6" i="51"/>
  <c r="B7" i="63" s="1"/>
  <c r="A20" i="64"/>
  <c r="N5" i="54"/>
  <c r="B43" i="63" s="1"/>
  <c r="H19" i="6"/>
  <c r="D27" i="6"/>
  <c r="D31" i="6" s="1"/>
  <c r="D8" i="66"/>
  <c r="D6" i="66"/>
  <c r="D7" i="66"/>
  <c r="C14" i="12"/>
  <c r="C17" i="12"/>
  <c r="C14" i="43"/>
  <c r="C17" i="43"/>
  <c r="K58" i="21"/>
  <c r="S7" i="33"/>
  <c r="AA7" i="33"/>
  <c r="R48" i="33" s="1"/>
  <c r="J46" i="36"/>
  <c r="AC7" i="33"/>
  <c r="V48" i="33" s="1"/>
  <c r="I48" i="33" s="1"/>
  <c r="W7" i="33"/>
  <c r="J59" i="34"/>
  <c r="U7" i="33"/>
  <c r="AB7" i="33"/>
  <c r="T48" i="33" s="1"/>
  <c r="G48" i="33" s="1"/>
  <c r="E3" i="67"/>
  <c r="B2" i="67"/>
  <c r="D4" i="46"/>
  <c r="B3" i="46"/>
  <c r="B4" i="46"/>
  <c r="H9" i="40" l="1"/>
  <c r="J9" i="40"/>
  <c r="F9" i="40"/>
  <c r="J70" i="39"/>
  <c r="I72" i="39"/>
  <c r="C19" i="69"/>
  <c r="C20" i="69" s="1"/>
  <c r="C26" i="69" s="1"/>
  <c r="C19" i="15"/>
  <c r="C20" i="15" s="1"/>
  <c r="C23" i="15" s="1"/>
  <c r="C21" i="44"/>
  <c r="C22" i="44" s="1"/>
  <c r="C25" i="44" s="1"/>
  <c r="C18" i="43"/>
  <c r="C18" i="12"/>
  <c r="C23" i="12" s="1"/>
  <c r="I5" i="6"/>
  <c r="I6" i="6"/>
  <c r="R19" i="6"/>
  <c r="H27" i="6"/>
  <c r="C19" i="43"/>
  <c r="C25" i="43" s="1"/>
  <c r="C24" i="43" s="1"/>
  <c r="G52" i="33"/>
  <c r="H52" i="33" s="1"/>
  <c r="G53" i="33"/>
  <c r="H53" i="33" s="1"/>
  <c r="K59" i="34"/>
  <c r="I52" i="33"/>
  <c r="J52" i="33" s="1"/>
  <c r="K46" i="36"/>
  <c r="R49" i="33"/>
  <c r="E48" i="33"/>
  <c r="I53" i="33" s="1"/>
  <c r="J53" i="33" s="1"/>
  <c r="L58" i="21"/>
  <c r="B3" i="67"/>
  <c r="B4" i="67"/>
  <c r="K70" i="39" l="1"/>
  <c r="J72" i="39"/>
  <c r="W9" i="40"/>
  <c r="AC9" i="40"/>
  <c r="V44" i="40" s="1"/>
  <c r="I44" i="40" s="1"/>
  <c r="I48" i="40" s="1"/>
  <c r="J48" i="40" s="1"/>
  <c r="AA9" i="40"/>
  <c r="R44" i="40" s="1"/>
  <c r="S9" i="40"/>
  <c r="AB9" i="40"/>
  <c r="T44" i="40" s="1"/>
  <c r="G44" i="40" s="1"/>
  <c r="U9" i="40"/>
  <c r="C23" i="69"/>
  <c r="C29" i="69" s="1"/>
  <c r="J14" i="69" s="1"/>
  <c r="C26" i="15"/>
  <c r="C29" i="15" s="1"/>
  <c r="C28" i="44"/>
  <c r="C31" i="44" s="1"/>
  <c r="C15" i="44" s="1"/>
  <c r="R27" i="6"/>
  <c r="R6" i="1"/>
  <c r="C22" i="43"/>
  <c r="C21" i="43" s="1"/>
  <c r="C28" i="43" s="1"/>
  <c r="C30" i="43" s="1"/>
  <c r="C32" i="43" s="1"/>
  <c r="B2" i="43" s="1"/>
  <c r="B5" i="43" s="1"/>
  <c r="J21" i="44"/>
  <c r="C33" i="15"/>
  <c r="C31" i="15" s="1"/>
  <c r="J59" i="15"/>
  <c r="J60" i="15" s="1"/>
  <c r="C48" i="33"/>
  <c r="C49" i="33"/>
  <c r="B3" i="33" s="1"/>
  <c r="B2" i="33" s="1"/>
  <c r="M58" i="21"/>
  <c r="E53" i="33"/>
  <c r="F53" i="33" s="1"/>
  <c r="E52" i="33"/>
  <c r="F52" i="33" s="1"/>
  <c r="L46" i="36"/>
  <c r="L59" i="34"/>
  <c r="M23" i="44"/>
  <c r="F37" i="44"/>
  <c r="G48" i="40" l="1"/>
  <c r="H48" i="40" s="1"/>
  <c r="G49" i="40"/>
  <c r="H49" i="40" s="1"/>
  <c r="R45" i="40"/>
  <c r="E44" i="40"/>
  <c r="L70" i="39"/>
  <c r="K72" i="39"/>
  <c r="J22" i="44"/>
  <c r="J19" i="44" s="1"/>
  <c r="C36" i="44"/>
  <c r="R16" i="1"/>
  <c r="J16" i="44"/>
  <c r="J15" i="44" s="1"/>
  <c r="J25" i="44" s="1"/>
  <c r="J19" i="69"/>
  <c r="J17" i="69" s="1"/>
  <c r="Q50" i="69"/>
  <c r="C56" i="69"/>
  <c r="C63" i="69" s="1"/>
  <c r="C13" i="69"/>
  <c r="Q71" i="69" s="1"/>
  <c r="C36" i="69"/>
  <c r="Q51" i="44"/>
  <c r="J13" i="69"/>
  <c r="J23" i="69" s="1"/>
  <c r="J22" i="69"/>
  <c r="J19" i="15"/>
  <c r="J17" i="15" s="1"/>
  <c r="J14" i="15"/>
  <c r="J13" i="15" s="1"/>
  <c r="J23" i="15" s="1"/>
  <c r="C36" i="15"/>
  <c r="Q50" i="15"/>
  <c r="C56" i="15"/>
  <c r="C63" i="15" s="1"/>
  <c r="C13" i="15"/>
  <c r="C37" i="15" s="1"/>
  <c r="C38" i="44"/>
  <c r="C35" i="44"/>
  <c r="B4" i="43"/>
  <c r="B3" i="43"/>
  <c r="Q49" i="15"/>
  <c r="C60" i="15"/>
  <c r="C58" i="15" s="1"/>
  <c r="Q72" i="44"/>
  <c r="C39" i="44"/>
  <c r="C43" i="44"/>
  <c r="M59" i="34"/>
  <c r="M46" i="36"/>
  <c r="N58" i="21"/>
  <c r="I49" i="40" l="1"/>
  <c r="J49" i="40" s="1"/>
  <c r="E49" i="40"/>
  <c r="F49" i="40" s="1"/>
  <c r="E48" i="40"/>
  <c r="F48" i="40" s="1"/>
  <c r="M70" i="39"/>
  <c r="L72" i="39"/>
  <c r="C44" i="40"/>
  <c r="C45" i="40"/>
  <c r="C33" i="44"/>
  <c r="C32" i="44" s="1"/>
  <c r="C42" i="44" s="1"/>
  <c r="Q71" i="44" s="1"/>
  <c r="Q70" i="44" s="1"/>
  <c r="J24" i="44"/>
  <c r="J18" i="44" s="1"/>
  <c r="J27" i="44" s="1"/>
  <c r="C55" i="69"/>
  <c r="C64" i="69" s="1"/>
  <c r="C57" i="69" s="1"/>
  <c r="C66" i="69" s="1"/>
  <c r="C67" i="69" s="1"/>
  <c r="C70" i="69" s="1"/>
  <c r="J22" i="15"/>
  <c r="J16" i="15" s="1"/>
  <c r="J25" i="15" s="1"/>
  <c r="C55" i="15"/>
  <c r="C64" i="15" s="1"/>
  <c r="C57" i="15" s="1"/>
  <c r="C66" i="15" s="1"/>
  <c r="C67" i="15" s="1"/>
  <c r="Q71" i="15"/>
  <c r="J35" i="69"/>
  <c r="C37" i="69"/>
  <c r="C30" i="69" s="1"/>
  <c r="C39" i="69" s="1"/>
  <c r="Q70" i="69" s="1"/>
  <c r="Q69" i="69" s="1"/>
  <c r="C30" i="15"/>
  <c r="C39" i="15" s="1"/>
  <c r="Q70" i="15" s="1"/>
  <c r="J35" i="15"/>
  <c r="J16" i="69"/>
  <c r="J25" i="69" s="1"/>
  <c r="L57" i="15"/>
  <c r="L60" i="15" s="1"/>
  <c r="O58" i="21"/>
  <c r="F7" i="21"/>
  <c r="N46" i="36"/>
  <c r="O46" i="36" s="1"/>
  <c r="J7" i="36"/>
  <c r="N59" i="34"/>
  <c r="O59" i="34" s="1"/>
  <c r="J7" i="34"/>
  <c r="L51" i="69"/>
  <c r="N70" i="39" l="1"/>
  <c r="M72" i="39"/>
  <c r="B61" i="40"/>
  <c r="F61" i="40" s="1"/>
  <c r="B55" i="40"/>
  <c r="F55" i="40" s="1"/>
  <c r="B58" i="40"/>
  <c r="F58" i="40" s="1"/>
  <c r="B62" i="40"/>
  <c r="F62" i="40" s="1"/>
  <c r="B56" i="40"/>
  <c r="F56" i="40" s="1"/>
  <c r="F63" i="40"/>
  <c r="B2" i="40" s="1"/>
  <c r="B60" i="40"/>
  <c r="F60" i="40" s="1"/>
  <c r="B59" i="40"/>
  <c r="F59" i="40" s="1"/>
  <c r="B57" i="40"/>
  <c r="F57" i="40" s="1"/>
  <c r="B54" i="40"/>
  <c r="F54" i="40" s="1"/>
  <c r="B53" i="40"/>
  <c r="F53" i="40" s="1"/>
  <c r="Q69" i="15"/>
  <c r="C40" i="15"/>
  <c r="Q48" i="15" s="1"/>
  <c r="Q54" i="15" s="1"/>
  <c r="C40" i="69"/>
  <c r="Q48" i="69" s="1"/>
  <c r="Q54" i="69" s="1"/>
  <c r="J39" i="15"/>
  <c r="J40" i="15" s="1"/>
  <c r="J39" i="69"/>
  <c r="J40" i="69" s="1"/>
  <c r="Q68" i="69"/>
  <c r="C44" i="44"/>
  <c r="C45" i="44" s="1"/>
  <c r="B2" i="44" s="1"/>
  <c r="Q67" i="15"/>
  <c r="L46" i="15"/>
  <c r="Q58" i="15"/>
  <c r="C70" i="15"/>
  <c r="AC7" i="34"/>
  <c r="V49" i="34" s="1"/>
  <c r="I49" i="34" s="1"/>
  <c r="W7" i="34"/>
  <c r="AA7" i="21"/>
  <c r="R48" i="21" s="1"/>
  <c r="S7" i="21"/>
  <c r="AC7" i="36"/>
  <c r="V36" i="36" s="1"/>
  <c r="I36" i="36" s="1"/>
  <c r="W7" i="36"/>
  <c r="H7" i="34"/>
  <c r="F7" i="34"/>
  <c r="F7" i="36"/>
  <c r="H7" i="36"/>
  <c r="J7" i="21"/>
  <c r="H7" i="21"/>
  <c r="L51" i="15"/>
  <c r="Q57" i="15" l="1"/>
  <c r="B4" i="40"/>
  <c r="B3" i="40"/>
  <c r="B5" i="40"/>
  <c r="J9" i="39"/>
  <c r="N72" i="39"/>
  <c r="O70" i="39"/>
  <c r="O72" i="39" s="1"/>
  <c r="B2" i="15"/>
  <c r="Q66" i="15"/>
  <c r="Q76" i="15" s="1"/>
  <c r="C46" i="15"/>
  <c r="J42" i="15"/>
  <c r="J43" i="15" s="1"/>
  <c r="C43" i="15"/>
  <c r="D8" i="12" s="1"/>
  <c r="L52" i="44"/>
  <c r="Q69" i="44" s="1"/>
  <c r="C46" i="69"/>
  <c r="B2" i="69"/>
  <c r="B3" i="69" s="1"/>
  <c r="E8" i="12" s="1"/>
  <c r="E10" i="12" s="1"/>
  <c r="C43" i="69"/>
  <c r="Q66" i="69"/>
  <c r="Q76" i="69" s="1"/>
  <c r="Q68" i="15"/>
  <c r="J42" i="69"/>
  <c r="J43" i="69" s="1"/>
  <c r="Q57" i="69"/>
  <c r="Q63" i="69" s="1"/>
  <c r="Q63" i="15"/>
  <c r="B3" i="44"/>
  <c r="B4" i="44"/>
  <c r="B5"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B3" i="15" l="1"/>
  <c r="D10" i="12"/>
  <c r="H9" i="39"/>
  <c r="F9" i="39"/>
  <c r="W9" i="39"/>
  <c r="AC9" i="39"/>
  <c r="V49" i="39" s="1"/>
  <c r="I49" i="39" s="1"/>
  <c r="I53" i="39" s="1"/>
  <c r="J53" i="39" s="1"/>
  <c r="Y21" i="70"/>
  <c r="Y13" i="70" s="1"/>
  <c r="Y17" i="70" s="1"/>
  <c r="L58" i="44"/>
  <c r="L61" i="44" s="1"/>
  <c r="Q59" i="44" s="1"/>
  <c r="Q64" i="44" s="1"/>
  <c r="R49" i="21"/>
  <c r="C48" i="21"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Y15" i="70" l="1"/>
  <c r="Y18" i="70"/>
  <c r="S9" i="39"/>
  <c r="AA9" i="39"/>
  <c r="R49" i="39" s="1"/>
  <c r="U9" i="39"/>
  <c r="AB9" i="39"/>
  <c r="T49" i="39" s="1"/>
  <c r="G49" i="39" s="1"/>
  <c r="Y14" i="70"/>
  <c r="Y19" i="70"/>
  <c r="Y20" i="70"/>
  <c r="Y16" i="70"/>
  <c r="Q68" i="44"/>
  <c r="Q77" i="44" s="1"/>
  <c r="C49" i="21"/>
  <c r="B3" i="21" s="1"/>
  <c r="E54" i="34"/>
  <c r="F54" i="34" s="1"/>
  <c r="E53" i="34"/>
  <c r="F53" i="34" s="1"/>
  <c r="I54" i="34"/>
  <c r="J54" i="34" s="1"/>
  <c r="E41" i="36"/>
  <c r="F41" i="36" s="1"/>
  <c r="E40" i="36"/>
  <c r="F40" i="36" s="1"/>
  <c r="I41" i="36"/>
  <c r="J41" i="36" s="1"/>
  <c r="C50" i="34"/>
  <c r="B3" i="34" s="1"/>
  <c r="B2" i="34" s="1"/>
  <c r="C49" i="34"/>
  <c r="C37" i="36"/>
  <c r="B3" i="36" s="1"/>
  <c r="B2" i="36" s="1"/>
  <c r="C36" i="36"/>
  <c r="G53" i="39" l="1"/>
  <c r="H53" i="39" s="1"/>
  <c r="G54" i="39"/>
  <c r="H54" i="39" s="1"/>
  <c r="E49" i="39"/>
  <c r="R50" i="39"/>
  <c r="B2" i="21"/>
  <c r="C10" i="12"/>
  <c r="C6" i="12" s="1"/>
  <c r="C50" i="39" l="1"/>
  <c r="C49" i="39"/>
  <c r="I54" i="39"/>
  <c r="J54" i="39" s="1"/>
  <c r="E54" i="39"/>
  <c r="F54" i="39" s="1"/>
  <c r="E53" i="39"/>
  <c r="F53" i="39" s="1"/>
  <c r="C24" i="12"/>
  <c r="C29" i="12"/>
  <c r="B60" i="39" l="1"/>
  <c r="F60" i="39" s="1"/>
  <c r="B63" i="39"/>
  <c r="F63" i="39" s="1"/>
  <c r="B65" i="39"/>
  <c r="F65" i="39" s="1"/>
  <c r="B59" i="39"/>
  <c r="F59" i="39" s="1"/>
  <c r="B58" i="39"/>
  <c r="F58" i="39" s="1"/>
  <c r="B64" i="39"/>
  <c r="F64" i="39" s="1"/>
  <c r="B67" i="39"/>
  <c r="F67" i="39" s="1"/>
  <c r="B62" i="39"/>
  <c r="F62" i="39" s="1"/>
  <c r="B61" i="39"/>
  <c r="F61" i="39" s="1"/>
  <c r="B66" i="39"/>
  <c r="F66" i="39" s="1"/>
  <c r="C28" i="12"/>
  <c r="C26" i="12" s="1"/>
  <c r="C31" i="12" s="1"/>
  <c r="C30" i="12" s="1"/>
  <c r="C35" i="12"/>
  <c r="C33" i="12" s="1"/>
  <c r="F68" i="39" l="1"/>
  <c r="B2" i="39" s="1"/>
  <c r="C36" i="12"/>
  <c r="B2" i="12" s="1"/>
  <c r="C19" i="9"/>
  <c r="D19" i="9"/>
  <c r="L43" i="9" l="1"/>
  <c r="B5" i="39"/>
  <c r="B3" i="39"/>
  <c r="B4" i="39"/>
  <c r="D22" i="9"/>
  <c r="L44" i="9"/>
  <c r="G19" i="9"/>
  <c r="B5" i="12"/>
  <c r="B4" i="12"/>
  <c r="M4" i="12"/>
  <c r="B3" i="12"/>
  <c r="D20" i="9"/>
  <c r="C21" i="9"/>
  <c r="C20" i="9"/>
  <c r="D21" i="9"/>
  <c r="G20" i="9" l="1"/>
  <c r="G21" i="9"/>
  <c r="C32" i="9"/>
  <c r="N43" i="9"/>
  <c r="G22" i="9"/>
  <c r="O43" i="9" l="1"/>
  <c r="O38" i="9"/>
  <c r="C42" i="9"/>
  <c r="C33" i="9"/>
  <c r="C34" i="9"/>
  <c r="C35" i="9"/>
  <c r="F42" i="9" s="1"/>
  <c r="R5" i="54" l="1"/>
  <c r="B48" i="63" s="1"/>
  <c r="D63" i="9"/>
  <c r="D14" i="66"/>
  <c r="N68" i="9"/>
  <c r="N38" i="9"/>
  <c r="K28" i="9" s="1"/>
  <c r="D42" i="9"/>
  <c r="Q5" i="54" s="1"/>
  <c r="B47" i="63" s="1"/>
  <c r="K26" i="9"/>
  <c r="K25" i="9"/>
  <c r="M38" i="9"/>
  <c r="K27" i="9" s="1"/>
  <c r="E42" i="9"/>
  <c r="P5" i="54" s="1"/>
  <c r="B46" i="63" s="1"/>
  <c r="D73" i="9" l="1"/>
  <c r="N73" i="9" s="1"/>
  <c r="C96" i="9"/>
  <c r="C91" i="9" s="1"/>
  <c r="C103" i="9"/>
  <c r="C90" i="9"/>
  <c r="C111" i="9"/>
  <c r="C104" i="9" s="1"/>
  <c r="C82" i="9"/>
  <c r="C81" i="9" s="1"/>
  <c r="C85" i="9" s="1"/>
  <c r="C86" i="9" s="1"/>
  <c r="D72" i="9" s="1"/>
  <c r="D70" i="9"/>
  <c r="D71" i="9"/>
  <c r="D66" i="9" s="1"/>
  <c r="N72" i="9" s="1"/>
  <c r="B5" i="66"/>
  <c r="F14" i="66"/>
  <c r="E14" i="66"/>
  <c r="C97" i="9" l="1"/>
  <c r="C98" i="9" s="1"/>
  <c r="E98" i="9" s="1"/>
  <c r="E99" i="9" s="1"/>
  <c r="D5" i="66"/>
  <c r="C5" i="66"/>
  <c r="C113" i="9"/>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<sst xmlns="http://schemas.openxmlformats.org/spreadsheetml/2006/main" count="7506" uniqueCount="3164">
  <si>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</si>
  <si>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</si>
  <si>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</si>
  <si>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</si>
  <si>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</si>
  <si>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</si>
  <si>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</si>
  <si>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</si>
  <si>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</si>
  <si>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</si>
  <si>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</si>
  <si>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</si>
  <si>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</si>
  <si>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</si>
  <si>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</si>
  <si>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</si>
  <si>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</si>
  <si>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</si>
  <si>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</si>
  <si>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</si>
  <si>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</si>
  <si>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</si>
  <si>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</si>
  <si>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</si>
  <si>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</si>
  <si>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</si>
  <si>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</si>
  <si>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</si>
  <si>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</si>
  <si>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</si>
  <si>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</si>
  <si>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</si>
  <si>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</si>
  <si>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</si>
  <si>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</si>
  <si>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</si>
  <si>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</si>
  <si>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</si>
  <si>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</si>
  <si>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</si>
  <si>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</si>
  <si>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</si>
  <si>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</si>
  <si>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</si>
  <si>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</si>
  <si>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</si>
  <si>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</si>
  <si>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</si>
  <si>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</si>
  <si>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</si>
  <si>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</si>
  <si>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</si>
  <si>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</si>
  <si>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</si>
  <si>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</si>
  <si>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</si>
  <si>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</si>
  <si>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</si>
  <si>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</si>
  <si>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</si>
  <si>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</si>
  <si>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</si>
  <si>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</si>
  <si>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</si>
  <si>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</si>
  <si>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</si>
  <si>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</si>
  <si>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</si>
  <si>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</si>
  <si>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</si>
  <si>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</si>
  <si>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</si>
  <si>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</si>
  <si>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</si>
  <si>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</si>
  <si>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</si>
  <si>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</si>
  <si>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</si>
  <si>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</si>
  <si>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</si>
  <si>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</si>
  <si>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</si>
  <si>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</si>
  <si>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</si>
  <si>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</si>
  <si>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</si>
  <si>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</si>
  <si>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</si>
  <si>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</si>
  <si>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</si>
  <si>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</si>
  <si>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</si>
  <si>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</si>
  <si>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</si>
  <si>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</si>
  <si>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</si>
  <si>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</si>
  <si>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</si>
  <si>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</si>
  <si>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</si>
  <si>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</si>
  <si>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</si>
  <si>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</si>
  <si>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</si>
  <si>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</si>
  <si>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</si>
  <si>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</si>
  <si>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</si>
  <si>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</si>
  <si>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</si>
  <si>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</si>
  <si>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</si>
  <si>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</si>
  <si>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</si>
  <si>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</si>
  <si>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</si>
  <si>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</si>
  <si>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</si>
  <si>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</si>
  <si>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</si>
  <si>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</si>
  <si>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</si>
  <si>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</si>
  <si>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</si>
  <si>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</si>
  <si>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</si>
  <si>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</si>
  <si>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</si>
  <si>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</si>
  <si>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</si>
  <si>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</si>
  <si>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</si>
  <si>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</si>
  <si>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</si>
  <si>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</si>
  <si>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</si>
  <si>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</si>
  <si>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</si>
  <si>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</si>
  <si>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</si>
  <si>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</si>
  <si>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</si>
  <si>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</si>
  <si>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</si>
  <si>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</si>
  <si>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</si>
  <si>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</si>
  <si>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</si>
  <si>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</si>
  <si>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</si>
  <si>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</si>
  <si>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</si>
  <si>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</si>
  <si>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</si>
  <si>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</si>
  <si>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</si>
  <si>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</si>
  <si>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</si>
  <si>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</si>
  <si>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</si>
  <si>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</si>
  <si>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</si>
  <si>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</si>
  <si>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</si>
  <si>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</si>
  <si>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</si>
  <si>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</si>
  <si>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</si>
  <si>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</si>
  <si>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</si>
  <si>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</si>
  <si>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</si>
  <si>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</si>
  <si>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</si>
  <si>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</si>
  <si>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</si>
  <si>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</si>
  <si>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</si>
  <si>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</si>
  <si>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</si>
  <si>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</si>
  <si>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</si>
  <si>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</si>
  <si>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</si>
  <si>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</si>
  <si>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</si>
  <si>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</si>
  <si>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</si>
  <si>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</si>
  <si>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</si>
  <si>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</si>
  <si>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</si>
  <si>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</si>
  <si>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</si>
  <si>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</si>
  <si>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</si>
  <si>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</si>
  <si>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</si>
  <si>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</si>
  <si>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</si>
  <si>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</si>
  <si>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</si>
  <si>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</si>
  <si>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</si>
  <si>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</si>
  <si>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</si>
  <si>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</si>
  <si>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</si>
  <si>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</si>
  <si>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</si>
  <si>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</si>
  <si>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</si>
  <si>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</si>
  <si>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</si>
  <si>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</si>
  <si>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</si>
  <si>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</si>
  <si>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</si>
  <si>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</si>
  <si>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</si>
  <si>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</si>
  <si>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</si>
  <si>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</si>
  <si>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</si>
  <si>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</si>
  <si>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</si>
  <si>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</si>
  <si>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</si>
  <si>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</si>
  <si>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</si>
  <si>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</si>
  <si>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</si>
  <si>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</si>
  <si>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</si>
  <si>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</si>
  <si>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</si>
  <si>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</si>
  <si>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</si>
  <si>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</si>
  <si>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</si>
  <si>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</si>
  <si>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</si>
  <si>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</si>
  <si>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</si>
  <si>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</si>
  <si>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</si>
  <si>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</si>
  <si>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</si>
  <si>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</si>
  <si>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</si>
  <si>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</si>
  <si>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</si>
  <si>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</si>
  <si>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</si>
  <si>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</si>
  <si>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</si>
  <si>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</si>
  <si>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</si>
  <si>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</si>
  <si>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</si>
  <si>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</si>
  <si>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</si>
  <si>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</si>
  <si>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</si>
  <si>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</si>
  <si>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</si>
  <si>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</si>
  <si>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</si>
  <si>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</si>
  <si>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</si>
  <si>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</si>
  <si>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</si>
  <si>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</si>
  <si>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</si>
  <si>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</si>
  <si>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</si>
  <si>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</si>
  <si>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</si>
  <si>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</si>
  <si>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</si>
  <si>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</si>
  <si>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</si>
  <si>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</si>
  <si>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</si>
  <si>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</si>
  <si>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</si>
  <si>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</si>
  <si>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</si>
  <si>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</si>
  <si>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</si>
  <si>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</si>
  <si>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</si>
  <si>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</si>
  <si>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</si>
  <si>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</si>
  <si>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</si>
  <si>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</si>
  <si>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</si>
  <si>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</si>
  <si>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</si>
  <si>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</si>
  <si>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</si>
  <si>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</si>
  <si>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</si>
  <si>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</si>
  <si>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</si>
  <si>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</si>
  <si>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</si>
  <si>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</si>
  <si>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</si>
  <si>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</si>
  <si>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</si>
  <si>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</si>
  <si>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</si>
  <si>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</si>
  <si>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</si>
  <si>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</si>
  <si>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</si>
  <si>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</si>
  <si>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</si>
  <si>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</si>
  <si>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</si>
  <si>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</si>
  <si>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</si>
  <si>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</si>
  <si>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</si>
  <si>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</si>
  <si>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</si>
  <si>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</si>
  <si>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</si>
  <si>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</si>
  <si>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</si>
  <si>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</si>
  <si>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</si>
  <si>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</si>
  <si>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</si>
  <si>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</si>
  <si>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</si>
  <si>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</si>
  <si>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</si>
  <si>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</si>
  <si>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</si>
  <si>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</si>
  <si>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</si>
  <si>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</si>
  <si>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</si>
  <si>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</si>
  <si>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</si>
  <si>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</si>
  <si>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</si>
  <si>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</si>
  <si>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</si>
  <si>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</si>
  <si>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</si>
  <si>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</si>
  <si>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</si>
  <si>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</si>
  <si>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</si>
  <si>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</si>
  <si>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</si>
  <si>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</si>
  <si>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</si>
  <si>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</si>
  <si>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</si>
  <si>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</si>
  <si>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</si>
  <si>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</si>
  <si>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</si>
  <si>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</si>
  <si>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</si>
  <si>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</si>
  <si>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</si>
  <si>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</si>
  <si>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</si>
  <si>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</si>
  <si>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</si>
  <si>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</si>
  <si>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</si>
  <si>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</si>
  <si>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</si>
  <si>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</si>
  <si>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</si>
  <si>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</si>
  <si>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</si>
  <si>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</si>
  <si>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</si>
  <si>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</si>
  <si>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</si>
  <si>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</si>
  <si>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</si>
  <si>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</si>
  <si>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</si>
  <si>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</si>
  <si>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</si>
  <si>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</si>
  <si>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</si>
  <si>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</si>
  <si>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</si>
  <si>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</si>
  <si>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</si>
  <si>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</si>
  <si>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</si>
  <si>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</si>
  <si>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</si>
  <si>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</si>
  <si>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</si>
  <si>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</si>
  <si>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</si>
  <si>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</si>
  <si>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</si>
  <si>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</si>
  <si>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</si>
  <si>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</si>
  <si>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</si>
  <si>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</si>
  <si>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</si>
  <si>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</si>
  <si>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</si>
  <si>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</si>
  <si>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</si>
  <si>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</si>
  <si>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</si>
  <si>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</si>
  <si>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</si>
  <si>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</si>
  <si>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</si>
  <si>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</si>
  <si>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</si>
  <si>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</si>
  <si>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</si>
  <si>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</si>
  <si>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</si>
  <si>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</si>
  <si>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</si>
  <si>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</si>
  <si>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</si>
  <si>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</si>
  <si>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</si>
  <si>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</si>
  <si>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</si>
  <si>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</si>
  <si>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</si>
  <si>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</si>
  <si>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</si>
  <si>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</si>
  <si>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</si>
  <si>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</si>
  <si>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</si>
  <si>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</si>
  <si>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</si>
  <si>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</si>
  <si>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</si>
  <si>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</si>
  <si>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</si>
  <si>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</si>
  <si>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</si>
  <si>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</si>
  <si>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</si>
  <si>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</si>
  <si>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</si>
  <si>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</si>
  <si>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</si>
  <si>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</si>
  <si>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</si>
  <si>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</si>
  <si>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</si>
  <si>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</si>
  <si>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</si>
  <si>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</si>
  <si>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</si>
  <si>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</si>
  <si>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</si>
  <si>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</si>
  <si>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</si>
  <si>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</si>
  <si>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</si>
  <si>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</si>
  <si>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</si>
  <si>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</si>
  <si>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</si>
  <si>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</si>
  <si>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</si>
  <si>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</si>
  <si>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</si>
  <si>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</si>
  <si>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</si>
  <si>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</si>
  <si>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</si>
  <si>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</si>
  <si>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</si>
  <si>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</si>
  <si>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</si>
  <si>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</si>
  <si>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</si>
  <si>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</si>
  <si>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</si>
  <si>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</si>
  <si>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</si>
  <si>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</si>
  <si>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</si>
  <si>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</si>
  <si>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</si>
  <si>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</si>
  <si>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</si>
  <si>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</si>
  <si>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</si>
  <si>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</si>
  <si>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</si>
  <si>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</si>
  <si>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</si>
  <si>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</si>
  <si>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</si>
  <si>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</si>
  <si>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</si>
  <si>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</si>
  <si>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</si>
  <si>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</si>
  <si>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</si>
  <si>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</si>
  <si>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</si>
  <si>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</si>
  <si>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</si>
  <si>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</si>
  <si>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</si>
  <si>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</si>
  <si>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</si>
  <si>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</si>
  <si>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</si>
  <si>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</si>
  <si>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</si>
  <si>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</si>
  <si>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</si>
  <si>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</si>
  <si>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</si>
  <si>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</si>
  <si>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</si>
  <si>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</si>
  <si>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</si>
  <si>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</si>
  <si>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</si>
  <si>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</si>
  <si>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</si>
  <si>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</si>
  <si>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</si>
  <si>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</si>
  <si>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</si>
  <si>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</si>
  <si>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</si>
  <si>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</si>
  <si>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</si>
  <si>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</si>
  <si>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</si>
  <si>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</si>
  <si>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</si>
  <si>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</si>
  <si>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</si>
  <si>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</si>
  <si>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</si>
  <si>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</si>
  <si>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</si>
  <si>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</si>
  <si>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</si>
  <si>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</si>
  <si>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</si>
  <si>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</si>
  <si>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</si>
  <si>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</si>
  <si>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</si>
  <si>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</si>
  <si>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</si>
  <si>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</si>
  <si>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</si>
  <si>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</si>
  <si>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</si>
  <si>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</si>
  <si>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</si>
  <si>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</si>
  <si>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</si>
  <si>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</si>
  <si>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</si>
  <si>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</si>
  <si>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</si>
  <si>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</si>
  <si>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</si>
  <si>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</si>
  <si>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</si>
  <si>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</si>
  <si>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</si>
  <si>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</si>
  <si>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</si>
  <si>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</si>
  <si>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</si>
  <si>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</si>
  <si>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</si>
  <si>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</si>
  <si>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</si>
  <si>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</si>
  <si>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</si>
  <si>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</si>
  <si>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</si>
  <si>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</si>
  <si>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</si>
  <si>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</si>
  <si>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</si>
  <si>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</si>
  <si>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</si>
  <si>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</si>
  <si>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</si>
  <si>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</si>
  <si>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</si>
  <si>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</si>
  <si>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</si>
  <si>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</si>
  <si>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</si>
  <si>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</si>
  <si>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</si>
  <si>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</si>
  <si>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</si>
  <si>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</si>
  <si>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</si>
  <si>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</si>
  <si>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</si>
  <si>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</si>
  <si>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</si>
  <si>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</si>
  <si>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</si>
  <si>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</si>
  <si>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</si>
  <si>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</si>
  <si>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</si>
  <si>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</si>
  <si>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</si>
  <si>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</si>
  <si>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</si>
  <si>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</si>
  <si>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</si>
  <si>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</si>
  <si>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</si>
  <si>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</si>
  <si>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</si>
  <si>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</si>
  <si>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</si>
  <si>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</si>
  <si>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</si>
  <si>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</si>
  <si>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</si>
  <si>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</si>
  <si>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</si>
  <si>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</si>
  <si>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</si>
  <si>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</si>
  <si>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</si>
  <si>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</si>
  <si>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</si>
  <si>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</si>
  <si>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</si>
  <si>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</si>
  <si>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</si>
  <si>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</si>
  <si>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</si>
  <si>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</si>
  <si>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</si>
  <si>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</si>
  <si>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</si>
  <si>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</si>
  <si>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</si>
  <si>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</si>
  <si>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</si>
  <si>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</si>
  <si>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</si>
  <si>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</si>
  <si>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</si>
  <si>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</si>
  <si>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</si>
  <si>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</si>
  <si>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</si>
  <si>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</si>
  <si>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</si>
  <si>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</si>
  <si>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</si>
  <si>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</si>
  <si>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</si>
  <si>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</si>
  <si>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</si>
  <si>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</si>
  <si>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</si>
  <si>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</si>
  <si>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</si>
  <si>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</si>
  <si>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</si>
  <si>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</si>
  <si>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</si>
  <si>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</si>
  <si>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</si>
  <si>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</si>
  <si>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</si>
  <si>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</si>
  <si>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</si>
  <si>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</si>
  <si>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</si>
  <si>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</si>
  <si>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</si>
  <si>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</si>
  <si>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</si>
  <si>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</si>
  <si>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</si>
  <si>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</si>
  <si>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</si>
  <si>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</si>
  <si>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</si>
  <si>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</si>
  <si>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</si>
  <si>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</si>
  <si>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</si>
  <si>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</si>
  <si>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</si>
  <si>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</si>
  <si>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</si>
  <si>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</si>
  <si>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</si>
  <si>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</si>
  <si>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</si>
  <si>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</si>
  <si>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</si>
  <si>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</si>
  <si>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</si>
  <si>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</si>
  <si>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</si>
  <si>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</si>
  <si>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</si>
  <si>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</si>
  <si>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</si>
  <si>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</si>
  <si>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</si>
  <si>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</si>
  <si>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</si>
  <si>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</si>
  <si>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</si>
  <si>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</si>
  <si>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</si>
  <si>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</si>
  <si>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</si>
  <si>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</si>
  <si>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</si>
  <si>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</si>
  <si>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</si>
  <si>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</si>
  <si>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</si>
  <si>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</si>
  <si>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</si>
  <si>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</si>
  <si>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</si>
  <si>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</si>
  <si>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</si>
  <si>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</si>
  <si>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</si>
  <si>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</si>
  <si>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</si>
  <si>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</si>
  <si>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</si>
  <si>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</si>
  <si>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</si>
  <si>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</si>
  <si>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</si>
  <si>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</si>
  <si>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</si>
  <si>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</si>
  <si>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</si>
  <si>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</si>
  <si>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</si>
  <si>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</si>
  <si>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</si>
  <si>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</si>
  <si>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</si>
  <si>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</si>
  <si>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</si>
  <si>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</si>
  <si>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</si>
  <si>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</si>
  <si>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</si>
  <si>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</si>
  <si>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</si>
  <si>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</si>
  <si>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</si>
  <si>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</si>
  <si>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</si>
  <si>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</si>
  <si>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</si>
  <si>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</si>
  <si>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</si>
  <si>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</si>
  <si>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</si>
  <si>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</si>
  <si>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</si>
  <si>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</si>
  <si>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</si>
  <si>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</si>
  <si>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</si>
  <si>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</si>
  <si>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</si>
  <si>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</si>
  <si>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</si>
  <si>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</si>
  <si>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</si>
  <si>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</si>
  <si>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</si>
  <si>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</si>
  <si>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</si>
  <si>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</si>
  <si>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</si>
  <si>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</si>
  <si>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</si>
  <si>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</si>
  <si>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</si>
  <si>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</si>
  <si>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</si>
  <si>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</si>
  <si>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</si>
  <si>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</si>
  <si>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</si>
  <si>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</si>
  <si>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</si>
  <si>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</si>
  <si>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</si>
  <si>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</si>
  <si>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</si>
  <si>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</si>
  <si>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</si>
  <si>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</si>
  <si>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</si>
  <si>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</si>
  <si>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</si>
  <si>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</si>
  <si>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</si>
  <si>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</si>
  <si>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</si>
  <si>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</si>
  <si>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</si>
  <si>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</si>
  <si>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</si>
  <si>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</si>
  <si>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</si>
  <si>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</si>
  <si>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</si>
  <si>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</si>
  <si>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</si>
  <si>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</si>
  <si>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</si>
  <si>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</si>
  <si>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</si>
  <si>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</si>
  <si>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</si>
  <si>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</si>
  <si>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</si>
  <si>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</si>
  <si>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</si>
  <si>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</si>
  <si>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</si>
  <si>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</si>
  <si>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</si>
  <si>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</si>
  <si>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</si>
  <si>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</si>
  <si>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</si>
  <si>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</si>
  <si>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</si>
  <si>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</si>
  <si>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</si>
  <si>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</si>
  <si>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</si>
  <si>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</si>
  <si>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</si>
  <si>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</si>
  <si>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</si>
  <si>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</si>
  <si>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</si>
  <si>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</si>
  <si>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</si>
  <si>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</si>
  <si>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</si>
  <si>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</si>
  <si>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</si>
  <si>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</si>
  <si>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</si>
  <si>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</si>
  <si>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</si>
  <si>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</si>
  <si>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</si>
  <si>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</si>
  <si>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</si>
  <si>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</si>
  <si>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</si>
  <si>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</si>
  <si>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</si>
  <si>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</si>
  <si>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</si>
  <si>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</si>
  <si>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</si>
  <si>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</si>
  <si>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</si>
  <si>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</si>
  <si>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</si>
  <si>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</si>
  <si>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</si>
  <si>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</si>
  <si>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</si>
  <si>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</si>
  <si>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</si>
  <si>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</si>
  <si>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</si>
  <si>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</si>
  <si>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</si>
  <si>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</si>
  <si>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</si>
  <si>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</si>
  <si>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</si>
  <si>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</si>
  <si>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</si>
  <si>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</si>
  <si>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</si>
  <si>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</si>
  <si>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</si>
  <si>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</si>
  <si>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</si>
  <si>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</si>
  <si>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</si>
  <si>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</si>
  <si>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</si>
  <si>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</si>
  <si>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</si>
  <si>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</si>
  <si>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</si>
  <si>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</si>
  <si>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</si>
  <si>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</si>
  <si>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</si>
  <si>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</si>
  <si>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</si>
  <si>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</si>
  <si>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</si>
  <si>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</si>
  <si>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</si>
  <si>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</si>
  <si>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</si>
  <si>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</si>
  <si>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</si>
  <si>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</si>
  <si>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</si>
  <si>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</si>
  <si>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</si>
  <si>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</si>
  <si>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</si>
  <si>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</si>
  <si>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</si>
  <si>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</si>
  <si>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</si>
  <si>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</si>
  <si>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</si>
  <si>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</si>
  <si>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</si>
  <si>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</si>
  <si>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</si>
  <si>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</si>
  <si>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</si>
  <si>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</si>
  <si>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</si>
  <si>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</si>
  <si>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</si>
  <si>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</si>
  <si>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</si>
  <si>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</si>
  <si>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</si>
  <si>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</si>
  <si>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</si>
  <si>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</si>
  <si>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</si>
  <si>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</si>
  <si>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</si>
  <si>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</si>
  <si>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</si>
  <si>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</si>
  <si>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</si>
  <si>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</si>
  <si>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</si>
  <si>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</si>
  <si>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</si>
  <si>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</si>
  <si>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</si>
  <si>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</si>
  <si>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</si>
  <si>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</si>
  <si>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</si>
  <si>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</si>
  <si>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</si>
  <si>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</si>
  <si>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</si>
  <si>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</si>
  <si>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</si>
  <si>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</si>
  <si>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</si>
  <si>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</si>
  <si>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</si>
  <si>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</si>
  <si>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</si>
  <si>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</si>
  <si>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</si>
  <si>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</si>
  <si>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</si>
  <si>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</si>
  <si>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</si>
  <si>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</si>
  <si>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</si>
  <si>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</si>
  <si>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</si>
  <si>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</si>
  <si>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</si>
  <si>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</si>
  <si>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</si>
  <si>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</si>
  <si>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</si>
  <si>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</si>
  <si>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</si>
  <si>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</si>
  <si>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</si>
  <si>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</si>
  <si>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</si>
  <si>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</si>
  <si>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</si>
  <si>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</si>
  <si>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</si>
  <si>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</si>
  <si>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</si>
  <si>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</si>
  <si>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</si>
  <si>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</si>
  <si>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</si>
  <si>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</si>
  <si>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</si>
  <si>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</si>
  <si>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</si>
  <si>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</si>
  <si>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</si>
  <si>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</si>
  <si>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</si>
  <si>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</si>
  <si>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</si>
  <si>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</si>
  <si>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</si>
  <si>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</si>
  <si>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</si>
  <si>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</si>
  <si>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</si>
  <si>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</si>
  <si>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</si>
  <si>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</si>
  <si>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</si>
  <si>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</si>
  <si>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</si>
  <si>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</si>
  <si>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</si>
  <si>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</si>
  <si>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</si>
  <si>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</si>
  <si>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</si>
  <si>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</si>
  <si>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</si>
  <si>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</si>
  <si>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</si>
  <si>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</si>
  <si>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</si>
  <si>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</si>
  <si>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</si>
  <si>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</si>
  <si>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</si>
  <si>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</si>
  <si>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</si>
  <si>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</si>
  <si>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</si>
  <si>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</si>
  <si>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</si>
  <si>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</si>
  <si>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</si>
  <si>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</si>
  <si>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</si>
  <si>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</si>
  <si>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</si>
  <si>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</si>
  <si>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</si>
  <si>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</si>
  <si>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</si>
  <si>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</si>
  <si>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</si>
  <si>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</si>
  <si>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</si>
  <si>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</si>
  <si>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</si>
  <si>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</si>
  <si>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</si>
  <si>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</si>
  <si>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</si>
  <si>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</si>
  <si>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</si>
  <si>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</si>
  <si>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</si>
  <si>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</si>
  <si>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</si>
  <si>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</si>
  <si>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</si>
  <si>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</si>
  <si>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</si>
  <si>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</si>
  <si>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</si>
  <si>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</si>
  <si>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</si>
  <si>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</si>
  <si>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</si>
  <si>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</si>
  <si>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</si>
  <si>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</si>
  <si>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</si>
  <si>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</si>
  <si>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</si>
  <si>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</si>
  <si>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</si>
  <si>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</si>
  <si>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</si>
  <si>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</si>
  <si>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</si>
  <si>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</si>
  <si>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</si>
  <si>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</si>
  <si>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</si>
  <si>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</si>
  <si>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</si>
  <si>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</si>
  <si>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</si>
  <si>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</si>
  <si>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</si>
  <si>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</si>
  <si>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</si>
  <si>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</si>
  <si>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</si>
  <si>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</si>
  <si>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</si>
  <si>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</si>
  <si>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</si>
  <si>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</si>
  <si>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</si>
  <si>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</si>
  <si>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</si>
  <si>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</si>
  <si>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</si>
  <si>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</si>
  <si>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</si>
  <si>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</si>
  <si>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</si>
  <si>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</si>
  <si>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</si>
  <si>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</si>
  <si>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</si>
  <si>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</si>
  <si>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</si>
  <si>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</si>
  <si>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</si>
  <si>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</si>
  <si>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</si>
  <si>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</si>
  <si>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</si>
  <si>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</si>
  <si>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</si>
  <si>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</si>
  <si>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</si>
  <si>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</si>
  <si>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</si>
  <si>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</si>
  <si>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</si>
  <si>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</si>
  <si>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</si>
  <si>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</si>
  <si>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</si>
  <si>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</si>
  <si>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</si>
  <si>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</si>
  <si>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</si>
  <si>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</si>
  <si>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</si>
  <si>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</si>
  <si>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</si>
  <si>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</si>
  <si>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</si>
  <si>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</si>
  <si>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</si>
  <si>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</si>
  <si>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</si>
  <si>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</si>
  <si>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</si>
  <si>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</si>
  <si>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</si>
  <si>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</si>
  <si>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</si>
  <si>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</si>
  <si>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</si>
  <si>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</si>
  <si>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</si>
  <si>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</si>
  <si>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</si>
  <si>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</si>
  <si>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</si>
  <si>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</si>
  <si>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</si>
  <si>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</si>
  <si>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</si>
  <si>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</si>
  <si>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</si>
  <si>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</si>
  <si>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</si>
  <si>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</si>
  <si>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</si>
  <si>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</si>
  <si>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</si>
  <si>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</si>
  <si>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</si>
  <si>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</si>
  <si>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</si>
  <si>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</si>
  <si>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</si>
  <si>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</si>
  <si>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</si>
  <si>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</si>
  <si>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</si>
  <si>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</si>
  <si>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</si>
  <si>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</si>
  <si>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</si>
  <si>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</si>
  <si>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</si>
  <si>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</si>
  <si>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</si>
  <si>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</si>
  <si>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</si>
  <si>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</si>
  <si>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</si>
  <si>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</si>
  <si>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</si>
  <si>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</si>
  <si>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</si>
  <si>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</si>
  <si>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</si>
  <si>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</si>
  <si>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</si>
  <si>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</si>
  <si>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</si>
  <si>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</si>
  <si>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</si>
  <si>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</si>
  <si>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</si>
  <si>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</si>
  <si>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</si>
  <si>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</si>
  <si>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</si>
  <si>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</si>
  <si>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</si>
  <si>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</si>
  <si>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</si>
  <si>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</si>
  <si>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</si>
  <si>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</si>
  <si>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</si>
  <si>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</si>
  <si>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</si>
  <si>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</si>
  <si>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</si>
  <si>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</si>
  <si>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</si>
  <si>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</si>
  <si>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</si>
  <si>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</si>
  <si>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</si>
  <si>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</si>
  <si>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</si>
  <si>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</si>
  <si>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</si>
  <si>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</si>
  <si>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</si>
  <si>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</si>
  <si>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</si>
  <si>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</si>
  <si>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</si>
  <si>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</si>
  <si>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</si>
  <si>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</si>
  <si>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</si>
  <si>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</si>
  <si>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</si>
  <si>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</si>
  <si>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</si>
  <si>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</si>
  <si>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</si>
  <si>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</si>
  <si>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</si>
  <si>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</si>
  <si>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</si>
  <si>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</si>
  <si>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</si>
  <si>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</si>
  <si>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</si>
  <si>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</si>
  <si>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</si>
  <si>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</si>
  <si>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</si>
  <si>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</si>
  <si>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</si>
  <si>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</si>
  <si>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</si>
  <si>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</si>
  <si>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</si>
  <si>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</si>
  <si>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</si>
  <si>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</si>
  <si>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</si>
  <si>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</si>
  <si>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</si>
  <si>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</si>
  <si>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</si>
  <si>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</si>
  <si>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</si>
  <si>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</si>
  <si>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</si>
  <si>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</si>
  <si>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</si>
  <si>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</si>
  <si>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</si>
  <si>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</si>
  <si>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</si>
  <si>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</si>
  <si>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</si>
  <si>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</si>
  <si>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</si>
  <si>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</si>
  <si>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</si>
  <si>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</si>
  <si>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</si>
  <si>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</si>
  <si>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</si>
  <si>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</si>
  <si>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</si>
  <si>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</si>
  <si>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</si>
  <si>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</si>
  <si>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</si>
  <si>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</si>
  <si>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</si>
  <si>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</si>
  <si>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</si>
  <si>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</si>
  <si>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</si>
  <si>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</si>
  <si>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</si>
  <si>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</si>
  <si>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</si>
  <si>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</si>
  <si>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</si>
  <si>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</si>
  <si>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</si>
  <si>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</si>
  <si>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</si>
  <si>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</si>
  <si>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</si>
  <si>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</si>
  <si>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</si>
  <si>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</si>
  <si>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</si>
  <si>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</si>
  <si>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</si>
  <si>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</si>
  <si>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</si>
  <si>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</si>
  <si>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</si>
  <si>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</si>
  <si>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</si>
  <si>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</si>
  <si>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</si>
  <si>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</si>
  <si>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</si>
  <si>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</si>
  <si>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</si>
  <si>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</si>
  <si>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</si>
  <si>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</si>
  <si>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</si>
  <si>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</si>
  <si>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</si>
  <si>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</si>
  <si>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</si>
  <si>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</si>
  <si>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</si>
  <si>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</si>
  <si>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</si>
  <si>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</si>
  <si>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</si>
  <si>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</si>
  <si>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</si>
  <si>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</si>
  <si>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</si>
  <si>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</si>
  <si>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</si>
  <si>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</si>
  <si>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</si>
  <si>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</si>
  <si>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</si>
  <si>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</si>
  <si>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</si>
  <si>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</si>
  <si>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</si>
  <si>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</si>
  <si>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</si>
  <si>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</si>
  <si>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</si>
  <si>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</si>
  <si>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</si>
  <si>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</si>
  <si>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</si>
  <si>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</si>
  <si>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</si>
  <si>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</si>
  <si>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</si>
  <si>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</si>
  <si>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</si>
  <si>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</si>
  <si>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</si>
  <si>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</si>
  <si>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</si>
  <si>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</si>
  <si>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</si>
  <si>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</si>
  <si>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</si>
  <si>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</si>
  <si>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</si>
  <si>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</si>
  <si>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</si>
  <si>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</si>
  <si>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</si>
  <si>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</si>
  <si>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</si>
  <si>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</si>
  <si>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</si>
  <si>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</si>
  <si>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</si>
  <si>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</si>
  <si>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</si>
  <si>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</si>
  <si>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</si>
  <si>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</si>
  <si>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</si>
  <si>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</si>
  <si>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</si>
  <si>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</si>
  <si>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</si>
  <si>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</si>
  <si>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</si>
  <si>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</si>
  <si>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</si>
  <si>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</si>
  <si>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</si>
  <si>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</si>
  <si>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</si>
  <si>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</si>
  <si>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</si>
  <si>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</si>
  <si>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</si>
  <si>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</si>
  <si>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</si>
  <si>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</si>
  <si>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</si>
  <si>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</si>
  <si>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</si>
  <si>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</si>
  <si>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</si>
  <si>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</si>
  <si>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</si>
  <si>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</si>
  <si>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</si>
  <si>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</si>
  <si>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</si>
  <si>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</si>
  <si>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</si>
  <si>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</si>
  <si>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</si>
  <si>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</si>
  <si>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</si>
  <si>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</si>
  <si>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</si>
  <si>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</si>
  <si>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</si>
  <si>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</si>
  <si>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</si>
  <si>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</si>
  <si>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</si>
  <si>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</si>
  <si>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</si>
  <si>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</si>
  <si>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</si>
  <si>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</si>
  <si>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</si>
  <si>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</si>
  <si>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</si>
  <si>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</si>
  <si>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</si>
  <si>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</si>
  <si>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</si>
  <si>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</si>
  <si>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</si>
  <si>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</si>
  <si>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</si>
  <si>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</si>
  <si>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</si>
  <si>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</si>
  <si>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</si>
  <si>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</si>
  <si>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</si>
  <si>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</si>
  <si>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</si>
  <si>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</si>
  <si>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</si>
  <si>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</si>
  <si>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</si>
  <si>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</si>
  <si>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</si>
  <si>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</si>
  <si>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</si>
  <si>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</si>
  <si>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</si>
  <si>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</si>
  <si>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</si>
  <si>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</si>
  <si>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</si>
  <si>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</si>
  <si>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</si>
  <si>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</si>
  <si>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</si>
  <si>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</si>
  <si>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</si>
  <si>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</si>
  <si>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</si>
  <si>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</si>
  <si>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</si>
  <si>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</si>
  <si>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</si>
  <si>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</si>
  <si>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</si>
  <si>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</si>
  <si>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</si>
  <si>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</si>
  <si>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</si>
  <si>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</si>
  <si>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</si>
  <si>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</si>
  <si>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</si>
  <si>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</si>
  <si>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</si>
  <si>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</si>
  <si>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</si>
  <si>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</si>
  <si>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</si>
  <si>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</si>
  <si>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</si>
  <si>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</si>
  <si>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</si>
  <si>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</si>
  <si>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</si>
  <si>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</si>
  <si>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</si>
  <si>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</si>
  <si>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</si>
  <si>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</si>
  <si>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</si>
  <si>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</si>
  <si>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</si>
  <si>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</si>
  <si>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</si>
  <si>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</si>
  <si>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</si>
  <si>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</si>
  <si>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</si>
  <si>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</si>
  <si>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</si>
  <si>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</si>
  <si>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</si>
  <si>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</si>
  <si>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</si>
  <si>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</si>
  <si>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</si>
  <si>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</si>
  <si>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</si>
  <si>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</si>
  <si>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</si>
  <si>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</si>
  <si>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</si>
  <si>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</si>
  <si>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</si>
  <si>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</si>
  <si>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</si>
  <si>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</si>
  <si>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</si>
  <si>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</si>
  <si>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</si>
  <si>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</si>
  <si>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</si>
  <si>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</si>
  <si>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</si>
  <si>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</si>
  <si>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</si>
  <si>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</si>
  <si>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</si>
  <si>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</si>
  <si>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</si>
  <si>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</si>
  <si>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</si>
  <si>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</si>
  <si>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</si>
  <si>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</si>
  <si>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</si>
  <si>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</si>
  <si>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</si>
  <si>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</si>
  <si>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</si>
  <si>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</si>
  <si>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</si>
  <si>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</si>
  <si>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</si>
  <si>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</si>
  <si>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</si>
  <si>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</si>
  <si>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</si>
  <si>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</si>
  <si>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</si>
  <si>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</si>
  <si>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</si>
  <si>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</si>
  <si>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</si>
  <si>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</si>
  <si>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</si>
  <si>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</si>
  <si>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</si>
  <si>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</si>
  <si>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</si>
  <si>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</si>
  <si>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</si>
  <si>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</si>
  <si>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</si>
  <si>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</si>
  <si>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</si>
  <si>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</si>
  <si>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</si>
  <si>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</si>
  <si>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</si>
  <si>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</si>
  <si>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</si>
  <si>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</si>
  <si>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</si>
  <si>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</si>
  <si>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</si>
  <si>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</si>
  <si>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</si>
  <si>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</si>
  <si>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</si>
  <si>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</si>
  <si>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</si>
  <si>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</si>
  <si>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</si>
  <si>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</si>
  <si>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</si>
  <si>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</si>
  <si>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</si>
  <si>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</si>
  <si>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</si>
  <si>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</si>
  <si>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</si>
  <si>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</si>
  <si>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</si>
  <si>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</si>
  <si>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</si>
  <si>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</si>
  <si>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</si>
  <si>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</si>
  <si>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</si>
  <si>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</si>
  <si>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</si>
  <si>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</si>
  <si>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</si>
  <si>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</si>
  <si>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</si>
  <si>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</si>
  <si>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</si>
  <si>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</si>
  <si>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</si>
  <si>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</si>
  <si>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</si>
  <si>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</si>
  <si>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</si>
  <si>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</si>
  <si>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</si>
  <si>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</si>
  <si>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</si>
  <si>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</si>
  <si>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</si>
  <si>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</si>
  <si>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</si>
  <si>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</si>
  <si>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</si>
  <si>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</si>
  <si>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</si>
  <si>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</si>
  <si>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</si>
  <si>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</si>
  <si>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</si>
  <si>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</si>
  <si>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</si>
  <si>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</si>
  <si>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</si>
  <si>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</si>
  <si>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</si>
  <si>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</si>
  <si>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</si>
  <si>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</si>
  <si>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</si>
  <si>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</si>
  <si>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</si>
  <si>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</si>
  <si>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</si>
  <si>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</si>
  <si>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</si>
  <si>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</si>
  <si>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</si>
  <si>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</si>
  <si>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</si>
  <si>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</si>
  <si>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</si>
  <si>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</si>
  <si>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</si>
  <si>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</si>
  <si>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</si>
  <si>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</si>
  <si>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</si>
  <si>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</si>
  <si>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</si>
  <si>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</si>
  <si>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</si>
  <si>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</si>
  <si>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</si>
  <si>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</si>
  <si>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</si>
  <si>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</si>
  <si>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</si>
  <si>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</si>
  <si>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</si>
  <si>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</si>
  <si>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</si>
  <si>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</si>
  <si>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</si>
  <si>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</si>
  <si>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</si>
  <si>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</si>
  <si>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</si>
  <si>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</si>
  <si>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</si>
  <si>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</si>
  <si>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</si>
  <si>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</si>
  <si>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</si>
  <si>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</si>
  <si>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</si>
  <si>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</si>
  <si>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</si>
  <si>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</si>
  <si>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</si>
  <si>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</si>
  <si>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</si>
  <si>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</si>
  <si>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</si>
  <si>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</si>
  <si>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</si>
  <si>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</si>
  <si>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</si>
  <si>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</si>
  <si>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</si>
  <si>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</si>
  <si>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</si>
  <si>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</si>
  <si>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</si>
  <si>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</si>
  <si>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</si>
  <si>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</si>
  <si>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</si>
  <si>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</si>
  <si>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</si>
  <si>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</si>
  <si>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</si>
  <si>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</si>
  <si>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</si>
  <si>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</si>
  <si>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</si>
  <si>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</si>
  <si>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</si>
  <si>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</si>
  <si>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</si>
  <si>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</si>
  <si>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</si>
  <si>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</si>
  <si>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</si>
  <si>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</si>
  <si>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</si>
  <si>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</si>
  <si>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</si>
  <si>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</si>
  <si>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</si>
  <si>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</si>
  <si>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</si>
  <si>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</si>
  <si>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</si>
  <si>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</si>
  <si>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</si>
  <si>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</si>
  <si>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</si>
  <si>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</si>
  <si>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</si>
  <si>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</si>
  <si>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</si>
  <si>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</si>
  <si>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</si>
  <si>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</si>
  <si>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</si>
  <si>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</si>
  <si>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</si>
  <si>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</si>
  <si>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</si>
  <si>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</si>
  <si>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</si>
  <si>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</si>
  <si>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</si>
  <si>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</si>
  <si>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</si>
  <si>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</si>
  <si>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</si>
  <si>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</si>
  <si>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</si>
  <si>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</si>
  <si>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</si>
  <si>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</si>
  <si>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</si>
  <si>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</si>
  <si>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</si>
  <si>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</si>
  <si>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</si>
  <si>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</si>
  <si>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</si>
  <si>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</si>
  <si>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</si>
  <si>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</si>
  <si>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</si>
  <si>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</si>
  <si>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</si>
  <si>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</si>
  <si>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</si>
  <si>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</si>
  <si>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</si>
  <si>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</si>
  <si>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</si>
  <si>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</si>
  <si>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</si>
  <si>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</si>
  <si>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</si>
  <si>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</si>
  <si>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</si>
  <si>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</si>
  <si>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</si>
  <si>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</si>
  <si>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</si>
  <si>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</si>
  <si>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</si>
  <si>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</si>
  <si>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</si>
  <si>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</si>
  <si>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</si>
  <si>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</si>
  <si>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</si>
  <si>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</si>
  <si>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</si>
  <si>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</si>
  <si>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</si>
  <si>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</si>
  <si>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</si>
  <si>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</si>
  <si>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</si>
  <si>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</si>
  <si>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</si>
  <si>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</si>
  <si>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</si>
  <si>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</si>
  <si>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</si>
  <si>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</si>
  <si>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</si>
  <si>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</si>
  <si>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</si>
  <si>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</si>
  <si>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</si>
  <si>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</si>
  <si>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</si>
  <si>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</si>
  <si>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</si>
  <si>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</si>
  <si>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</si>
  <si>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</si>
  <si>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</si>
  <si>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</si>
  <si>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</si>
  <si>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</si>
  <si>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</si>
  <si>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</si>
  <si>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</si>
  <si>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</si>
  <si>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</si>
  <si>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</si>
  <si>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</si>
  <si>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</si>
  <si>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</si>
  <si>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</si>
  <si>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</si>
  <si>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</si>
  <si>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</si>
  <si>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</si>
  <si>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</si>
  <si>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</si>
  <si>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</si>
  <si>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</si>
  <si>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</si>
  <si>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</si>
  <si>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</si>
  <si>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</si>
  <si>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</si>
  <si>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</si>
  <si>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</si>
  <si>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</si>
  <si>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</si>
  <si>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</si>
  <si>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</si>
  <si>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</si>
  <si>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</si>
  <si>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</si>
  <si>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</si>
  <si>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</si>
  <si>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</si>
  <si>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</si>
  <si>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</si>
  <si>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</si>
  <si>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</si>
  <si>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</si>
  <si>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</si>
  <si>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</si>
  <si>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</si>
  <si>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</si>
  <si>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</si>
  <si>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</si>
  <si>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</si>
  <si>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</si>
  <si>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</si>
  <si>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</si>
  <si>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</si>
  <si>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</si>
  <si>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</si>
  <si>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</si>
  <si>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</si>
  <si>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</si>
  <si>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</si>
  <si>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</si>
  <si>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</si>
  <si>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</si>
  <si>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</si>
  <si>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</si>
  <si>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</si>
  <si>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</si>
  <si>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</si>
  <si>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</si>
  <si>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</si>
  <si>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</si>
  <si>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</si>
  <si>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</si>
  <si>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</si>
  <si>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</si>
  <si>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</si>
  <si>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</si>
  <si>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</si>
  <si>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</si>
  <si>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</si>
  <si>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</si>
  <si>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</si>
  <si>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</si>
  <si>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</si>
  <si>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</si>
  <si>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</si>
  <si>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</si>
  <si>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</si>
  <si>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</si>
  <si>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</si>
  <si>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</si>
  <si>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</si>
  <si>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</si>
  <si>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</si>
  <si>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</si>
  <si>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</si>
  <si>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</si>
  <si>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</si>
  <si>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</si>
  <si>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</si>
  <si>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</si>
  <si>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</si>
  <si>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</si>
  <si>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</si>
  <si>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</si>
  <si>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</si>
  <si>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</si>
  <si>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</si>
  <si>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</si>
  <si>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</si>
  <si>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</si>
  <si>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</si>
  <si>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</si>
  <si>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</si>
  <si>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</si>
  <si>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</si>
  <si>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</si>
  <si>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</si>
  <si>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</si>
  <si>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</si>
  <si>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</si>
  <si>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</si>
  <si>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</si>
  <si>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</si>
  <si>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</si>
  <si>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</si>
  <si>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</si>
  <si>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</si>
  <si>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</si>
  <si>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</si>
  <si>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</si>
  <si>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</si>
  <si>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</si>
  <si>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</si>
  <si>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</si>
  <si>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</si>
  <si>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</si>
  <si>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</si>
  <si>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</si>
  <si>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</si>
  <si>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</si>
  <si>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</si>
  <si>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</si>
  <si>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</si>
  <si>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</si>
  <si>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</si>
  <si>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</si>
  <si>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</si>
  <si>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</si>
  <si>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</si>
  <si>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</si>
  <si>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</si>
  <si>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</si>
  <si>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</si>
  <si>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</si>
  <si>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</si>
  <si>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</si>
  <si>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</si>
  <si>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</si>
  <si>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</si>
  <si>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</si>
  <si>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</si>
  <si>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</si>
  <si>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</si>
  <si>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</si>
  <si>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</si>
  <si>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</si>
  <si>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</si>
  <si>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</si>
  <si>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</si>
  <si>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</si>
  <si>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</si>
  <si>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</si>
  <si>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</si>
  <si>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</si>
  <si>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</si>
  <si>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</si>
  <si>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</si>
  <si>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</si>
  <si>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</si>
  <si>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</si>
  <si>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</si>
  <si>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</si>
  <si>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</si>
  <si>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</si>
  <si>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</si>
  <si>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</si>
  <si>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</si>
  <si>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</si>
  <si>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</si>
  <si>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</si>
  <si>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</si>
  <si>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</si>
  <si>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</si>
  <si>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</si>
  <si>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</si>
  <si>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</si>
  <si>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</si>
  <si>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</si>
  <si>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</si>
  <si>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</si>
  <si>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</si>
  <si>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</si>
  <si>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</si>
  <si>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</si>
  <si>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</si>
  <si>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</si>
  <si>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</si>
  <si>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</si>
  <si>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</si>
  <si>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</si>
  <si>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</si>
  <si>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</si>
  <si>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</si>
  <si>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</si>
  <si>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</si>
  <si>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</si>
  <si>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</si>
  <si>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</si>
  <si>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</si>
  <si>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</si>
  <si>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</si>
  <si>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</si>
  <si>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</si>
  <si>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</si>
  <si>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</si>
  <si>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</si>
  <si>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</si>
  <si>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</si>
  <si>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</si>
  <si>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</si>
  <si>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</si>
  <si>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</si>
  <si>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</si>
  <si>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</si>
  <si>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</si>
  <si>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</si>
  <si>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</si>
  <si>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</si>
  <si>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</si>
  <si>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</si>
  <si>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</si>
  <si>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</si>
  <si>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</si>
  <si>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</si>
  <si>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</si>
  <si>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</si>
  <si>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</si>
  <si>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</si>
  <si>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</si>
  <si>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</si>
  <si>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</si>
  <si>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</si>
  <si>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</si>
  <si>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</si>
  <si>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</si>
  <si>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</si>
  <si>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</si>
  <si>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</si>
  <si>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</si>
  <si>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</si>
  <si>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</si>
  <si>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</si>
  <si>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</si>
  <si>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</si>
  <si>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</si>
  <si>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</si>
  <si>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</si>
  <si>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</si>
  <si>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</si>
  <si>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</si>
  <si>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</si>
  <si>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</si>
  <si>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</si>
  <si>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</si>
  <si>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</si>
  <si>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</si>
  <si>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</si>
  <si>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</si>
  <si>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</si>
  <si>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</si>
  <si>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</si>
  <si>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</si>
  <si>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</si>
  <si>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</si>
  <si>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</si>
  <si>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</si>
  <si>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</si>
  <si>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</si>
  <si>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</si>
  <si>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</si>
  <si>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</si>
  <si>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</si>
  <si>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</si>
  <si>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</si>
  <si>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</si>
  <si>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</si>
  <si>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</si>
  <si>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</si>
  <si>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</si>
  <si>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</si>
  <si>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</si>
  <si>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</si>
  <si>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</si>
  <si>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</si>
  <si>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</si>
  <si>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</si>
  <si>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</si>
  <si>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</si>
  <si>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</si>
  <si>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</si>
  <si>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</si>
  <si>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</si>
  <si>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</si>
  <si>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</si>
  <si>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</si>
  <si>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</si>
  <si>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</si>
  <si>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</si>
  <si>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</si>
  <si>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</si>
  <si>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</si>
  <si>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</si>
  <si>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</si>
  <si>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</si>
  <si>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</si>
  <si>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</si>
  <si>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</si>
  <si>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</si>
  <si>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</si>
  <si>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</si>
  <si>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</si>
  <si>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</si>
  <si>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</si>
  <si>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</si>
  <si>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</si>
  <si>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</si>
  <si>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</si>
  <si>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</si>
  <si>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</si>
  <si>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</si>
  <si>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</si>
  <si>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</si>
  <si>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</si>
  <si>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</si>
  <si>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</si>
  <si>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</si>
  <si>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</si>
  <si>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</si>
  <si>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</si>
  <si>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</si>
  <si>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</si>
  <si>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</si>
  <si>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</si>
  <si>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</si>
  <si>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</si>
  <si>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</si>
  <si>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</si>
  <si>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</si>
  <si>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</si>
  <si>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</si>
  <si>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</si>
  <si>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</si>
  <si>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</si>
  <si>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</si>
  <si>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</si>
  <si>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</si>
  <si>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</si>
  <si>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</si>
  <si>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</si>
  <si>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</si>
  <si>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</si>
  <si>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</si>
  <si>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</si>
  <si>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</si>
  <si>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</si>
  <si>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</si>
  <si>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</si>
  <si>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</si>
  <si>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</si>
  <si>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</si>
  <si>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</si>
  <si>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</si>
  <si>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</si>
  <si>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</si>
  <si>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</si>
  <si>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</si>
  <si>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</si>
  <si>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</si>
  <si>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</si>
  <si>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</si>
  <si>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</si>
  <si>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</si>
  <si>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</si>
  <si>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</si>
  <si>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</si>
  <si>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</si>
  <si>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</si>
  <si>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</si>
  <si>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</si>
  <si>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</si>
  <si>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</si>
  <si>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</si>
  <si>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</si>
  <si>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</si>
  <si>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</si>
  <si>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</si>
  <si>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</si>
  <si>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</si>
  <si>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</si>
  <si>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</si>
  <si>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</si>
  <si>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</si>
  <si>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</si>
  <si>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</si>
  <si>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</si>
  <si>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</si>
  <si>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</si>
  <si>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</si>
  <si>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</si>
  <si>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</si>
  <si>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</si>
  <si>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</si>
  <si>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</si>
  <si>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</si>
  <si>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</si>
  <si>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</si>
  <si>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</si>
  <si>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</si>
  <si>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</si>
  <si>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</si>
  <si>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</si>
  <si>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</si>
  <si>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</si>
  <si>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</si>
  <si>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</si>
  <si>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</si>
  <si>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</si>
  <si>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</si>
  <si>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</si>
  <si>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</si>
  <si>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</si>
  <si>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</si>
  <si>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</si>
  <si>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</si>
  <si>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</si>
  <si>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</si>
  <si>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</si>
  <si>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</si>
  <si>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</si>
  <si>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</si>
  <si>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</si>
  <si>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</si>
  <si>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</si>
  <si>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</si>
  <si>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</si>
  <si>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</si>
  <si>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</si>
  <si>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</si>
  <si>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</si>
  <si>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</si>
  <si>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</si>
  <si>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</si>
  <si>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</si>
  <si>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</si>
  <si>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</si>
  <si>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</si>
  <si>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</si>
  <si>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</si>
  <si>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</si>
  <si>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</si>
  <si>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</si>
  <si>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</si>
  <si>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</si>
  <si>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</si>
  <si>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</si>
  <si>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</si>
  <si>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</si>
  <si>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</si>
  <si>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</si>
  <si>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</si>
  <si>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</si>
  <si>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</si>
  <si>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</si>
  <si>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</si>
  <si>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</si>
  <si>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</si>
  <si>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</si>
  <si>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</si>
  <si>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</si>
  <si>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</si>
  <si>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</si>
  <si>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</si>
  <si>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</si>
  <si>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</si>
  <si>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</si>
  <si>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</si>
  <si>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</si>
  <si>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</si>
  <si>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</si>
  <si>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</si>
  <si>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</si>
  <si>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</si>
  <si>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</si>
  <si>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</si>
  <si>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</si>
  <si>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</si>
  <si>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</si>
  <si>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</si>
  <si>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</si>
  <si>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</si>
  <si>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</si>
  <si>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</si>
  <si>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</si>
  <si>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</si>
  <si>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</si>
  <si>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</si>
  <si>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</si>
  <si>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</si>
  <si>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</si>
  <si>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</si>
  <si>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</si>
  <si>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</si>
  <si>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</si>
  <si>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</si>
  <si>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</si>
  <si>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</si>
  <si>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</si>
  <si>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</si>
  <si>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</si>
  <si>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</si>
  <si>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</si>
  <si>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</si>
  <si>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</si>
  <si>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</si>
  <si>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</si>
  <si>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</si>
  <si>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</si>
  <si>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</si>
  <si>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</si>
  <si>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</si>
  <si>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</si>
  <si>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</si>
  <si>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</si>
  <si>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</si>
  <si>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</si>
  <si>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</si>
  <si>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</si>
  <si>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</si>
  <si>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</si>
  <si>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</si>
  <si>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</si>
  <si>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</si>
  <si>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</si>
  <si>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</si>
  <si>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</si>
  <si>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</si>
  <si>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</si>
  <si>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</si>
  <si>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</si>
  <si>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</si>
  <si>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</si>
  <si>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</si>
  <si>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</si>
  <si>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</si>
  <si>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</si>
  <si>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</si>
  <si>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</si>
  <si>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</si>
  <si>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</si>
  <si>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</si>
  <si>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</si>
  <si>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</si>
  <si>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</si>
  <si>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</si>
  <si>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</si>
  <si>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</si>
  <si>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</si>
  <si>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</si>
  <si>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</si>
  <si>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</si>
  <si>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</si>
  <si>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</si>
  <si>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</si>
  <si>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</si>
  <si>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</si>
  <si>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</si>
  <si>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</si>
  <si>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</si>
  <si>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</si>
  <si>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</si>
  <si>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</si>
  <si>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</si>
  <si>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</si>
  <si>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</si>
  <si>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</si>
  <si>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</si>
  <si>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</si>
  <si>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</si>
  <si>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</si>
  <si>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</si>
  <si>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</si>
  <si>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</si>
  <si>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</si>
  <si>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</si>
  <si>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</si>
  <si>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</si>
  <si>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</si>
  <si>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</si>
  <si>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</si>
  <si>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</si>
  <si>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</si>
  <si>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</si>
  <si>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</si>
  <si>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</si>
  <si>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</si>
  <si>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</si>
  <si>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</si>
  <si>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</si>
  <si>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</si>
  <si>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</si>
  <si>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</si>
  <si>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</si>
  <si>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</si>
  <si>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</si>
  <si>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</si>
  <si>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</si>
  <si>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</si>
  <si>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</si>
  <si>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</si>
  <si>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</si>
  <si>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</si>
  <si>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</si>
  <si>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</si>
  <si>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</si>
  <si>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</si>
  <si>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</si>
  <si>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</si>
  <si>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</si>
  <si>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</si>
  <si>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</si>
  <si>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</si>
  <si>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</si>
  <si>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</si>
  <si>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</si>
  <si>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</si>
  <si>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</si>
  <si>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</si>
  <si>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</si>
  <si>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</si>
  <si>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</si>
  <si>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</si>
  <si>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</si>
  <si>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</si>
  <si>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</si>
  <si>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</si>
  <si>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</si>
  <si>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</si>
  <si>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</si>
  <si>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</si>
  <si>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</si>
  <si>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</si>
  <si>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</si>
  <si>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</si>
  <si>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</si>
  <si>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</si>
  <si>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</si>
  <si>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</si>
  <si>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</si>
  <si>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</si>
  <si>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</si>
  <si>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</si>
  <si>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</si>
  <si>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</si>
  <si>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</si>
  <si>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</si>
  <si>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</si>
  <si>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</si>
  <si>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</si>
  <si>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</si>
  <si>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</si>
  <si>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</si>
  <si>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</si>
  <si>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</si>
  <si>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</si>
  <si>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</si>
  <si>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</si>
  <si>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</si>
  <si>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</si>
  <si>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</si>
  <si>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</si>
  <si>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</si>
  <si>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</si>
  <si>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</si>
  <si>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</si>
  <si>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</si>
  <si>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</si>
  <si>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</si>
  <si>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</si>
  <si>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</si>
  <si>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</si>
  <si>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</si>
  <si>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</si>
  <si>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</si>
  <si>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</si>
  <si>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</si>
  <si>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</si>
  <si>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</si>
  <si>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</si>
  <si>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</si>
  <si>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</si>
  <si>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</si>
  <si>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</si>
  <si>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</si>
  <si>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</si>
  <si>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</si>
  <si>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</si>
  <si>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</si>
  <si>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</si>
  <si>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</si>
  <si>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</si>
  <si>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</si>
  <si>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</si>
  <si>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</si>
  <si>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</si>
  <si>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</si>
  <si>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</si>
  <si>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</si>
  <si>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</si>
  <si>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</si>
  <si>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</si>
  <si>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</si>
  <si>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</si>
  <si>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</si>
  <si>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</si>
  <si>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</si>
  <si>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</si>
  <si>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</si>
  <si>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</si>
  <si>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</si>
  <si>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</si>
  <si>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</si>
  <si>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</si>
  <si>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</si>
  <si>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</si>
  <si>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</si>
  <si>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</si>
  <si>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</si>
  <si>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</si>
  <si>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</si>
  <si>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</si>
  <si>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</si>
  <si>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</si>
  <si>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</si>
  <si>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</si>
  <si>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</si>
  <si>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</si>
  <si>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</si>
  <si>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</si>
  <si>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</si>
  <si>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</si>
  <si>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</si>
  <si>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</si>
  <si>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</si>
  <si>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</si>
  <si>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</si>
  <si>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</si>
  <si>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</si>
  <si>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</si>
  <si>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</si>
  <si>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</si>
  <si>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</si>
  <si>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</si>
  <si>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</si>
  <si>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</si>
  <si>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</si>
  <si>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</si>
  <si>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</si>
  <si>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</si>
  <si>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</si>
  <si>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</si>
  <si>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</si>
  <si>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</si>
  <si>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</si>
  <si>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</si>
  <si>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</si>
  <si>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</si>
  <si>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</si>
  <si>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</si>
  <si>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</si>
  <si>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</si>
  <si>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</si>
  <si>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</si>
  <si>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</si>
  <si>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</si>
  <si>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</si>
  <si>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</si>
  <si>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</si>
  <si>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</si>
  <si>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</si>
  <si>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</si>
  <si>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</si>
  <si>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</si>
  <si>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</si>
  <si>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</si>
  <si>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</si>
  <si>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</si>
  <si>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</si>
  <si>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</si>
  <si>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</si>
  <si>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</si>
  <si>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</si>
  <si>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</si>
  <si>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</si>
  <si>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</si>
  <si>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</si>
  <si>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</si>
  <si>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</si>
  <si>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</si>
  <si>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</si>
  <si>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</si>
  <si>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</si>
  <si>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</si>
  <si>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</si>
  <si>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</si>
  <si>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</si>
  <si>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</si>
  <si>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</si>
  <si>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</si>
  <si>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</si>
  <si>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</si>
  <si>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</si>
  <si>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</si>
  <si>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</si>
  <si>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</si>
  <si>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</si>
  <si>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</si>
  <si>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</si>
  <si>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</si>
  <si>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</si>
  <si>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</si>
  <si>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</si>
  <si>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</si>
  <si>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</si>
  <si>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</si>
  <si>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</si>
  <si>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</si>
  <si>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</si>
  <si>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</si>
  <si>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</si>
  <si>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</si>
  <si>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</si>
  <si>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</si>
  <si>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</si>
  <si>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</si>
  <si>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</si>
  <si>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</si>
  <si>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</si>
  <si>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</si>
  <si>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</si>
  <si>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</si>
  <si>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</si>
  <si>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</si>
  <si>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</si>
  <si>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</si>
  <si>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</si>
  <si>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</si>
  <si>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</si>
  <si>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</si>
  <si>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</si>
  <si>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</si>
  <si>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</si>
  <si>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</si>
  <si>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</si>
  <si>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</si>
  <si>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</si>
  <si>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</si>
  <si>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</si>
  <si>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</si>
  <si>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</si>
  <si>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</si>
  <si>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</si>
  <si>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</si>
  <si>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</si>
  <si>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</si>
  <si>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</si>
  <si>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</si>
  <si>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</si>
  <si>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</si>
  <si>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</si>
  <si>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</si>
  <si>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</si>
  <si>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</si>
  <si>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</si>
  <si>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</si>
  <si>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</si>
  <si>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</si>
  <si>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</si>
  <si>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</si>
  <si>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</si>
  <si>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</si>
  <si>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</si>
  <si>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</si>
  <si>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</si>
  <si>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</si>
  <si>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</si>
  <si>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</si>
  <si>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</si>
  <si>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</si>
  <si>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</si>
  <si>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</si>
  <si>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</si>
  <si>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</si>
  <si>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</si>
  <si>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</si>
  <si>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</si>
  <si>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</si>
  <si>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</si>
  <si>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</si>
  <si>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</si>
  <si>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</si>
  <si>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</si>
  <si>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</si>
  <si>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</si>
  <si>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</si>
  <si>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</si>
  <si>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</si>
  <si>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</si>
  <si>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</si>
  <si>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</si>
  <si>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</si>
  <si>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</si>
  <si>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</si>
  <si>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</si>
  <si>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</si>
  <si>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</si>
  <si>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</si>
  <si>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</si>
  <si>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</si>
  <si>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</si>
  <si>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</si>
  <si>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</si>
  <si>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</si>
  <si>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</si>
  <si>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</si>
  <si>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</si>
  <si>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</si>
  <si>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</si>
  <si>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</si>
  <si>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</si>
  <si>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</si>
  <si>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</si>
  <si>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</si>
  <si>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</si>
  <si>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</si>
  <si>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</si>
  <si>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</si>
  <si>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</si>
  <si>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</si>
  <si>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</si>
  <si>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</si>
  <si>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</si>
  <si>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</si>
  <si>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</si>
  <si>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</si>
  <si>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</si>
  <si>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</si>
  <si>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</si>
  <si>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</si>
  <si>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</si>
  <si>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</si>
  <si>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</si>
  <si>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</si>
  <si>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</si>
  <si>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</si>
  <si>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</si>
  <si>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</si>
  <si>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</si>
  <si>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</si>
  <si>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</si>
  <si>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</si>
  <si>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</si>
  <si>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</si>
  <si>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</si>
  <si>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</si>
  <si>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</si>
  <si>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</si>
  <si>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</si>
  <si>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</si>
  <si>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</si>
  <si>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</si>
  <si>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</si>
  <si>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</si>
  <si>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</si>
  <si>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</si>
  <si>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</si>
  <si>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</si>
  <si>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</si>
  <si>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</si>
  <si>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</si>
  <si>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</si>
  <si>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</si>
  <si>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</si>
  <si>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</si>
  <si>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</si>
  <si>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</si>
  <si>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</si>
  <si>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</si>
  <si>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</si>
  <si>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</si>
  <si>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</si>
  <si>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</si>
  <si>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</si>
  <si>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</si>
  <si>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</si>
  <si>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</si>
  <si>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</si>
  <si>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</si>
  <si>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</si>
  <si>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</si>
  <si>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</si>
  <si>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</si>
  <si>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</si>
  <si>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</si>
  <si>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</si>
  <si>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</si>
  <si>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</si>
  <si>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</si>
  <si>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</si>
  <si>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</si>
  <si>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</si>
  <si>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</si>
  <si>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</si>
  <si>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</si>
  <si>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</si>
  <si>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</si>
  <si>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</si>
  <si>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</si>
  <si>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</si>
  <si>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</si>
  <si>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</si>
  <si>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</si>
  <si>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</si>
  <si>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</si>
  <si>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</si>
  <si>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</si>
  <si>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</si>
  <si>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</si>
  <si>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</si>
  <si>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</si>
  <si>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</si>
  <si>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</si>
  <si>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</si>
  <si>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</si>
  <si>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</si>
  <si>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</si>
  <si>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</si>
  <si>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</si>
  <si>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</si>
  <si>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</si>
  <si>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</si>
  <si>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</si>
  <si>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</si>
  <si>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</si>
  <si>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</si>
  <si>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</si>
  <si>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</si>
  <si>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</si>
  <si>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</si>
  <si>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</si>
  <si>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</si>
  <si>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</si>
  <si>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</si>
  <si>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</si>
  <si>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</si>
  <si>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</si>
  <si>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</si>
  <si>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</si>
  <si>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</si>
  <si>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</si>
  <si>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</si>
  <si>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</si>
  <si>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</si>
  <si>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</si>
  <si>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</si>
  <si>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</si>
  <si>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一致</t>
  </si>
  <si>
    <t>商业</t>
  </si>
  <si>
    <t>地上</t>
  </si>
  <si>
    <t>平层住宅</t>
  </si>
  <si>
    <t>底商</t>
  </si>
  <si>
    <t>否</t>
  </si>
  <si>
    <t>地下</t>
  </si>
  <si>
    <t>车库</t>
  </si>
  <si>
    <t>高层住宅</t>
  </si>
  <si>
    <t>商业</t>
    <phoneticPr fontId="7" type="noConversion"/>
  </si>
  <si>
    <t>估价对象周边居住用地比例一般、居住小区规模和社区发展完善程度一般，有格林童话施姐、郦城水岸等项目，综合评价居住社区成熟度一般</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</si>
  <si>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</si>
  <si>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</si>
  <si>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</si>
  <si>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</si>
  <si>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</si>
  <si>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</si>
  <si>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</si>
  <si>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</si>
  <si>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</si>
  <si>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</si>
  <si>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</si>
  <si>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</si>
  <si>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</si>
  <si>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</si>
  <si>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</si>
  <si>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</si>
  <si>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</si>
  <si>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</si>
  <si>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</si>
  <si>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</si>
  <si>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</si>
  <si>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</si>
  <si>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</si>
  <si>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</si>
  <si>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</si>
  <si>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</si>
  <si>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</si>
  <si>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</si>
  <si>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</si>
  <si>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</si>
  <si>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</si>
  <si>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</si>
  <si>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</si>
  <si>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</si>
  <si>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</si>
  <si>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</si>
  <si>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</si>
  <si>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</si>
  <si>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</si>
  <si>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</si>
  <si>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</si>
  <si>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</si>
  <si>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</si>
  <si>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</si>
  <si>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</si>
  <si>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</si>
  <si>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</si>
  <si>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</si>
  <si>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</si>
  <si>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</si>
  <si>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</si>
  <si>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</si>
  <si>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</si>
  <si>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</si>
  <si>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</si>
  <si>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</si>
  <si>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</si>
  <si>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</si>
  <si>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</si>
  <si>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</si>
  <si>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</si>
  <si>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不动产收益法</t>
  </si>
  <si>
    <t>土地（套用方法）</t>
  </si>
  <si>
    <t>押一</t>
  </si>
  <si>
    <t>按租金收入计税</t>
  </si>
  <si>
    <t>不动产收益法车</t>
    <phoneticPr fontId="14" type="noConversion"/>
  </si>
  <si>
    <t>江苏省</t>
    <phoneticPr fontId="6" type="noConversion"/>
  </si>
  <si>
    <t>容积率</t>
    <phoneticPr fontId="3" type="noConversion"/>
  </si>
  <si>
    <t>建筑密度</t>
  </si>
  <si>
    <t>建筑密度</t>
    <phoneticPr fontId="3" type="noConversion"/>
  </si>
  <si>
    <t>估算楼层</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</si>
  <si>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</si>
  <si>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</si>
  <si>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</si>
  <si>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</si>
  <si>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</si>
  <si>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</si>
  <si>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</si>
  <si>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</si>
  <si>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</si>
  <si>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</si>
  <si>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</si>
  <si>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</si>
  <si>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</si>
  <si>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</si>
  <si>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</si>
  <si>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</si>
  <si>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</si>
  <si>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</si>
  <si>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</si>
  <si>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</si>
  <si>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</si>
  <si>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</si>
  <si>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</si>
  <si>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</si>
  <si>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</si>
  <si>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</si>
  <si>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</si>
  <si>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</si>
  <si>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</si>
  <si>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</si>
  <si>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</si>
  <si>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</si>
  <si>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</si>
  <si>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</si>
  <si>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</si>
  <si>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</si>
  <si>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</si>
  <si>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</si>
  <si>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</si>
  <si>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</si>
  <si>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</si>
  <si>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</si>
  <si>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</si>
  <si>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</si>
  <si>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</si>
  <si>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</si>
  <si>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</si>
  <si>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</si>
  <si>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</si>
  <si>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</si>
  <si>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</si>
  <si>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</si>
  <si>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</si>
  <si>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</si>
  <si>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</si>
  <si>
    <t>锦屏镇</t>
  </si>
  <si>
    <t>LTC2018-04号</t>
  </si>
  <si>
    <t>批发零售用地</t>
  </si>
  <si>
    <t>≥1且≤1.5</t>
  </si>
  <si>
    <t>≤45%</t>
  </si>
  <si>
    <t>海州区郁洲南路西、支三路南、香海湖北</t>
  </si>
  <si>
    <t>LTC2018-05号</t>
  </si>
  <si>
    <t>开工中</t>
  </si>
  <si>
    <t>2018-01-30</t>
  </si>
  <si>
    <t>2018-02-20</t>
  </si>
  <si>
    <t>2018-03-01</t>
  </si>
  <si>
    <t>连云港市本级网挂[2018]02号</t>
  </si>
  <si>
    <t>连云港市瑞开房地产开发有限公司</t>
  </si>
  <si>
    <t>江苏鸿晟贸易有限公司</t>
  </si>
  <si>
    <t>3星</t>
  </si>
  <si>
    <t>楼面地价</t>
  </si>
  <si>
    <t>比较法-住宅、综合</t>
  </si>
  <si>
    <t>剩余法-待开发</t>
  </si>
  <si>
    <t>三通</t>
  </si>
  <si>
    <t>项目全部</t>
  </si>
  <si>
    <t>土地</t>
  </si>
  <si>
    <t>王鹏</t>
  </si>
  <si>
    <t>郑燚</t>
  </si>
  <si>
    <t>海州区郁洲南路东、梧桐路南</t>
    <phoneticPr fontId="228" type="noConversion"/>
  </si>
  <si>
    <t>估价对象周边道路状况一般、公共交通通达情况较差，有5、122路经过、停车便捷程度，综合评价交通便捷度一般</t>
    <phoneticPr fontId="3" type="noConversion"/>
  </si>
  <si>
    <t>估价对象周边商业氛围成熟度一般，人流量一般，住宅底商为主，商业繁华度一般</t>
    <phoneticPr fontId="3" type="noConversion"/>
  </si>
  <si>
    <t>连云港海州区锦屏山东南侧4号地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</si>
</sst>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27" fillId="0" borderId="0" xfId="0" applyFont="1" applyAlignment="1"/>
    <xf numFmtId="1" fontId="0" fillId="0" borderId="0" xfId="0" applyNumberFormat="1">
      <alignment vertical="center"/>
    </xf>
    <xf numFmtId="2" fontId="163" fillId="0" borderId="2" xfId="1"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45" fillId="0" borderId="0" xfId="0"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7</xdr:row>
      <xdr:rowOff>9525</xdr:rowOff>
    </xdr:from>
    <xdr:to>
      <xdr:col>11</xdr:col>
      <xdr:colOff>885825</xdr:colOff>
      <xdr:row>38</xdr:row>
      <xdr:rowOff>114300</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09675"/>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江苏省连云港海州区锦屏山东南侧4号地出让国有建设用地使用权预评估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受贵公司委托，我公司对江苏省连云港海州区锦屏山东南侧4号地出让国有建设用地使用权进行了预评估。</v>
      </c>
      <c r="AM6" s="2619"/>
    </row>
    <row r="7" spans="1:55" s="2593" customFormat="1">
      <c r="A7" s="2594" t="s">
        <v>2638</v>
      </c>
      <c r="B7" s="2595" t="str">
        <f>'预评函-1'!A6</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294029.7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2021年3月22日（评估专业人员勘察现场之日）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根据《国有土地使用证》[]，估价对象（分摊）出让国有建设用地使用权面积为85225.54平方米。根据《建设工程规划许可证》[]、《出让合同》[]，估价对象规划建筑面积为294029.7平方米。</v>
      </c>
    </row>
    <row r="16" spans="1:55" s="2593" customFormat="1">
      <c r="A16" s="2594" t="s">
        <v>2650</v>
      </c>
      <c r="B16" s="2595" t="str">
        <f>'预评函-1'!A22</f>
        <v>本次估价对象为出让国有建设用地使用权，《国有土地使用证》[]证载土地终止日期为商业2053年10月13日。截至估价期日，出让国有建设用地使用权剩余土地使用年限为。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3月22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估价期日：2021年3月22日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85225.54</v>
      </c>
    </row>
    <row r="44" spans="1:2">
      <c r="A44" s="2594" t="s">
        <v>2721</v>
      </c>
      <c r="B44" s="2595" t="str">
        <f>'预评函-2'!O3</f>
        <v>规划建筑面积/㎡</v>
      </c>
    </row>
    <row r="45" spans="1:2">
      <c r="A45" s="2594" t="s">
        <v>2703</v>
      </c>
      <c r="B45" s="2595">
        <f>'预评函-2'!O5</f>
        <v>294029.7</v>
      </c>
    </row>
    <row r="46" spans="1:2">
      <c r="A46" s="2594" t="s">
        <v>2704</v>
      </c>
      <c r="B46" s="2595">
        <f ca="1">'预评函-2'!P5</f>
        <v>5684</v>
      </c>
    </row>
    <row r="47" spans="1:2">
      <c r="A47" s="2594" t="s">
        <v>2705</v>
      </c>
      <c r="B47" s="2595">
        <f ca="1">'预评函-2'!Q5</f>
        <v>1648</v>
      </c>
    </row>
    <row r="48" spans="1:2">
      <c r="A48" s="2594" t="s">
        <v>2706</v>
      </c>
      <c r="B48" s="2595">
        <f ca="1">'预评函-2'!R5</f>
        <v>48445</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王鹏</v>
      </c>
    </row>
    <row r="70" spans="1:2">
      <c r="A70" s="2594" t="s">
        <v>2671</v>
      </c>
      <c r="B70" s="2601">
        <f ca="1">'预评函-3'!B20</f>
        <v>2002110030</v>
      </c>
    </row>
    <row r="71" spans="1:2">
      <c r="A71" s="2594" t="s">
        <v>2672</v>
      </c>
      <c r="B71" s="2595" t="str">
        <f>'预评函-3'!A21</f>
        <v>郑燚</v>
      </c>
    </row>
    <row r="72" spans="1:2" s="2609" customFormat="1" ht="15" thickBot="1">
      <c r="A72" s="2616" t="s">
        <v>2672</v>
      </c>
      <c r="B72" s="2622">
        <f ca="1">'预评函-3'!B21</f>
        <v>2014110011</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N16" sqref="N16"/>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51" t="str">
        <f>IF(B10="北京市","北京市",C10)&amp;F10&amp;B16&amp;"国有建设用地使用权"&amp;B9&amp;"预评估"</f>
        <v>江苏省连云港海州区锦屏山东南侧4号地出让国有建设用地使用权预评估</v>
      </c>
      <c r="C1" s="3352"/>
      <c r="D1" s="3352"/>
      <c r="E1" s="3352"/>
      <c r="F1" s="3352"/>
      <c r="G1" s="3352"/>
      <c r="H1" s="3352"/>
      <c r="I1" s="3353"/>
      <c r="J1" s="3073"/>
      <c r="K1" s="2309" t="str">
        <f>IF(B10="北京市","北京市",C10)&amp;F10&amp;B16&amp;"国有建设用地使用权"&amp;B9</f>
        <v>江苏省连云港海州区锦屏山东南侧4号地出让国有建设用地使用权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江苏省连云港海州区锦屏山东南侧4号地出让国有建设用地使用权</v>
      </c>
      <c r="L2" s="3052"/>
      <c r="M2" s="3052"/>
      <c r="N2" s="3053"/>
      <c r="O2" s="3054"/>
      <c r="P2" s="3053"/>
      <c r="Q2" s="3053"/>
      <c r="R2" s="3053"/>
      <c r="S2" s="3053"/>
      <c r="T2" s="3053"/>
      <c r="U2" s="3053"/>
    </row>
    <row r="3" spans="1:21">
      <c r="A3" s="1587" t="s">
        <v>1928</v>
      </c>
      <c r="B3" s="1588">
        <v>44277</v>
      </c>
      <c r="C3" s="2996" t="s">
        <v>1984</v>
      </c>
      <c r="D3" s="1588">
        <f>B3</f>
        <v>44277</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3158</v>
      </c>
      <c r="C4" s="1758">
        <f ca="1">SUMIF(土地估价师,B4,估价师及机构信息!E3:E16)</f>
        <v>2002110030</v>
      </c>
      <c r="D4" s="1755" t="s">
        <v>3159</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2952</v>
      </c>
      <c r="C8" s="1597"/>
      <c r="D8" s="3357"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58"/>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2999</v>
      </c>
      <c r="C10" s="1601" t="s">
        <v>3077</v>
      </c>
      <c r="D10" s="1593"/>
      <c r="E10" s="1602" t="s">
        <v>1935</v>
      </c>
      <c r="F10" s="1603" t="s">
        <v>3163</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54"/>
      <c r="C12" s="3355"/>
      <c r="D12" s="3356"/>
      <c r="E12" s="1619" t="s">
        <v>2050</v>
      </c>
      <c r="F12" s="3372" t="s">
        <v>2868</v>
      </c>
      <c r="G12" s="3373"/>
      <c r="H12" s="3373"/>
      <c r="I12" s="3374"/>
      <c r="J12" s="3073"/>
      <c r="K12" s="3056"/>
      <c r="L12" s="3052"/>
      <c r="M12" s="3052"/>
      <c r="N12" s="3053"/>
      <c r="O12" s="3054"/>
      <c r="P12" s="3053"/>
      <c r="Q12" s="3053"/>
      <c r="R12" s="3053"/>
      <c r="S12" s="3053"/>
      <c r="T12" s="3053"/>
      <c r="U12" s="3053"/>
    </row>
    <row r="13" spans="1:21">
      <c r="A13" s="1610" t="s">
        <v>2048</v>
      </c>
      <c r="B13" s="3354"/>
      <c r="C13" s="3355"/>
      <c r="D13" s="3356"/>
      <c r="E13" s="1619" t="s">
        <v>2050</v>
      </c>
      <c r="F13" s="3372" t="s">
        <v>2869</v>
      </c>
      <c r="G13" s="3373"/>
      <c r="H13" s="3373"/>
      <c r="I13" s="3374"/>
      <c r="J13" s="3073"/>
      <c r="K13" s="3056"/>
      <c r="L13" s="3052"/>
      <c r="M13" s="3052"/>
      <c r="N13" s="3053"/>
      <c r="O13" s="3054"/>
      <c r="P13" s="3053"/>
      <c r="Q13" s="3053"/>
      <c r="R13" s="3053"/>
      <c r="S13" s="3053"/>
      <c r="T13" s="3053"/>
      <c r="U13" s="3053"/>
    </row>
    <row r="14" spans="1:21">
      <c r="A14" s="1587" t="s">
        <v>2051</v>
      </c>
      <c r="B14" s="1619"/>
      <c r="C14" s="1757" t="s">
        <v>3000</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42.75">
      <c r="A16" s="3001" t="s">
        <v>1936</v>
      </c>
      <c r="B16" s="1605" t="s">
        <v>2947</v>
      </c>
      <c r="C16" s="1619" t="s">
        <v>1937</v>
      </c>
      <c r="D16" s="2487" t="s">
        <v>1938</v>
      </c>
      <c r="E16" s="1642" t="s">
        <v>3001</v>
      </c>
      <c r="F16" s="1642"/>
      <c r="G16" s="1642" t="s">
        <v>35</v>
      </c>
      <c r="H16" s="1642"/>
      <c r="I16" s="1609" t="s">
        <v>1943</v>
      </c>
      <c r="J16" s="3073"/>
      <c r="K16" s="2310" t="str">
        <f>IF(D17="","",D16&amp;TEXT(D17,"yyyy年m月d日;;"))</f>
        <v/>
      </c>
      <c r="L16" s="1619" t="str">
        <f>IF(OR(K16="",M16=""),"","、")</f>
        <v/>
      </c>
      <c r="M16" s="2310" t="str">
        <f>IF(E17="","",E16&amp;TEXT(E17,"yyyy年m月d日;;"))</f>
        <v>商业2053年10月13日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56170</v>
      </c>
      <c r="F17" s="1620"/>
      <c r="G17" s="1620"/>
      <c r="H17" s="1620"/>
      <c r="I17" s="1620"/>
      <c r="J17" s="3073"/>
      <c r="K17" s="3051" t="str">
        <f>CONCATENATE(K16,L16,M16,N16,O16,P16,Q16,R16,S16,T16,,U16)</f>
        <v>商业2053年10月13日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32.58</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69"/>
      <c r="E20" s="3370"/>
      <c r="F20" s="3370"/>
      <c r="G20" s="3370"/>
      <c r="H20" s="3370"/>
      <c r="I20" s="3371"/>
      <c r="J20" s="3073"/>
      <c r="K20" s="3056"/>
      <c r="L20" s="3052"/>
      <c r="M20" s="3052"/>
      <c r="N20" s="3053"/>
      <c r="O20" s="3054"/>
      <c r="P20" s="3053"/>
      <c r="Q20" s="3053"/>
      <c r="R20" s="3053"/>
      <c r="S20" s="3053"/>
      <c r="T20" s="3053"/>
      <c r="U20" s="3053"/>
    </row>
    <row r="21" spans="1:21">
      <c r="A21" s="1679" t="s">
        <v>1947</v>
      </c>
      <c r="B21" s="1680" t="s">
        <v>1948</v>
      </c>
      <c r="C21" s="1675">
        <f>'数据-汇总表'!E3</f>
        <v>294029.7</v>
      </c>
      <c r="D21" s="1676" t="s">
        <v>1949</v>
      </c>
      <c r="E21" s="3359" t="s">
        <v>1987</v>
      </c>
      <c r="F21" s="3360"/>
      <c r="G21" s="3360"/>
      <c r="H21" s="3360"/>
      <c r="I21" s="3361"/>
      <c r="J21" s="3073"/>
      <c r="K21" s="3056"/>
      <c r="L21" s="3052"/>
      <c r="M21" s="3052"/>
      <c r="N21" s="3053"/>
      <c r="O21" s="3054"/>
      <c r="P21" s="3053"/>
      <c r="Q21" s="3053"/>
      <c r="R21" s="3053"/>
      <c r="S21" s="3053"/>
      <c r="T21" s="3053"/>
      <c r="U21" s="3053"/>
    </row>
    <row r="22" spans="1:21">
      <c r="A22" s="2801" t="s">
        <v>943</v>
      </c>
      <c r="B22" s="1587" t="s">
        <v>1950</v>
      </c>
      <c r="C22" s="1609">
        <f>'数据-汇总表'!D3</f>
        <v>85225.54</v>
      </c>
      <c r="D22" s="1610" t="s">
        <v>1949</v>
      </c>
      <c r="E22" s="3359" t="s">
        <v>2870</v>
      </c>
      <c r="F22" s="3360"/>
      <c r="G22" s="3360"/>
      <c r="H22" s="3360"/>
      <c r="I22" s="3361"/>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62" t="s">
        <v>1955</v>
      </c>
      <c r="C24" s="3363"/>
      <c r="D24" s="3364" t="s">
        <v>1956</v>
      </c>
      <c r="E24" s="3365"/>
      <c r="F24" s="1628" t="s">
        <v>1957</v>
      </c>
      <c r="G24" s="3073"/>
      <c r="H24" s="3073"/>
      <c r="I24" s="3077"/>
      <c r="J24" s="3073"/>
      <c r="K24" s="3350"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5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5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36" t="s">
        <v>1990</v>
      </c>
      <c r="B31" s="1680" t="s">
        <v>1991</v>
      </c>
      <c r="C31" s="3375"/>
      <c r="D31" s="3376"/>
      <c r="E31" s="3073"/>
      <c r="F31" s="3073"/>
      <c r="G31" s="3073"/>
      <c r="H31" s="3073"/>
      <c r="I31" s="3077"/>
      <c r="J31" s="3073"/>
      <c r="K31" s="3059"/>
      <c r="L31" s="3053"/>
      <c r="M31" s="3053"/>
      <c r="N31" s="3053"/>
      <c r="O31" s="3053"/>
      <c r="P31" s="3053"/>
      <c r="Q31" s="3053"/>
      <c r="R31" s="3053"/>
      <c r="S31" s="3053"/>
      <c r="T31" s="3053"/>
      <c r="U31" s="3053"/>
    </row>
    <row r="32" spans="1:21">
      <c r="A32" s="3336"/>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36"/>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37"/>
      <c r="B34" s="1587" t="s">
        <v>1994</v>
      </c>
      <c r="C34" s="3338"/>
      <c r="D34" s="3339"/>
      <c r="E34" s="3073"/>
      <c r="F34" s="3073"/>
      <c r="G34" s="3073"/>
      <c r="H34" s="3073"/>
      <c r="I34" s="3077"/>
      <c r="J34" s="3073"/>
      <c r="K34" s="3059"/>
      <c r="L34" s="3053"/>
      <c r="M34" s="3053"/>
      <c r="N34" s="3053"/>
      <c r="O34" s="3053"/>
      <c r="P34" s="3053"/>
      <c r="Q34" s="3053"/>
      <c r="R34" s="3053"/>
      <c r="S34" s="3053"/>
      <c r="T34" s="3053"/>
      <c r="U34" s="3053"/>
    </row>
    <row r="35" spans="1:28">
      <c r="A35" s="3340" t="s">
        <v>839</v>
      </c>
      <c r="B35" s="1642"/>
      <c r="C35" s="1689" t="str">
        <f>IF(B35="场地平整","——","具体情况：")</f>
        <v>具体情况：</v>
      </c>
      <c r="D35" s="3342"/>
      <c r="E35" s="3343"/>
      <c r="F35" s="3343"/>
      <c r="G35" s="3343"/>
      <c r="H35" s="3343"/>
      <c r="I35" s="3344"/>
      <c r="J35" s="3073"/>
      <c r="K35" s="3060"/>
      <c r="L35" s="3052"/>
      <c r="M35" s="3052"/>
      <c r="N35" s="3053"/>
      <c r="O35" s="3054"/>
      <c r="P35" s="3053"/>
      <c r="Q35" s="3053"/>
      <c r="R35" s="3053"/>
      <c r="S35" s="3053"/>
      <c r="T35" s="3053"/>
      <c r="U35" s="3053"/>
    </row>
    <row r="36" spans="1:28">
      <c r="A36" s="3336"/>
      <c r="B36" s="3345" t="s">
        <v>2043</v>
      </c>
      <c r="C36" s="3346"/>
      <c r="D36" s="1705"/>
      <c r="E36" s="3347"/>
      <c r="F36" s="3347"/>
      <c r="G36" s="1610" t="str">
        <f>IF(B35="场地未平整","估价结果处理","")</f>
        <v/>
      </c>
      <c r="H36" s="3348"/>
      <c r="I36" s="3348"/>
      <c r="J36" s="3073"/>
      <c r="K36" s="3060"/>
      <c r="L36" s="3052"/>
      <c r="M36" s="3052"/>
      <c r="N36" s="3053"/>
      <c r="O36" s="3054"/>
      <c r="P36" s="3053"/>
      <c r="Q36" s="3053"/>
      <c r="R36" s="3053"/>
      <c r="S36" s="3053"/>
      <c r="T36" s="3053"/>
      <c r="U36" s="3053"/>
    </row>
    <row r="37" spans="1:28" ht="28.5">
      <c r="A37" s="3336"/>
      <c r="B37" s="3366"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36"/>
      <c r="B38" s="3367"/>
      <c r="C38" s="1595" t="s">
        <v>842</v>
      </c>
      <c r="D38" s="1704">
        <f>ROUNDDOWN(MIN(('数据-取费表'!$B$2-D37)/365,D34),1)</f>
        <v>121.3</v>
      </c>
      <c r="E38" s="1647" t="s">
        <v>843</v>
      </c>
      <c r="F38" s="3073"/>
      <c r="G38" s="3073"/>
      <c r="H38" s="3073"/>
      <c r="I38" s="3077"/>
      <c r="J38" s="3073"/>
      <c r="K38" s="3060"/>
      <c r="L38" s="3053"/>
      <c r="M38" s="3053"/>
      <c r="N38" s="3053"/>
      <c r="O38" s="3053"/>
      <c r="P38" s="3053"/>
      <c r="Q38" s="3053"/>
      <c r="R38" s="3053"/>
      <c r="S38" s="3053"/>
      <c r="T38" s="3053"/>
      <c r="U38" s="3053"/>
    </row>
    <row r="39" spans="1:28">
      <c r="A39" s="3337"/>
      <c r="B39" s="3368"/>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49" t="s">
        <v>1974</v>
      </c>
      <c r="T40" s="1651" t="str">
        <f>NUMBERSTRING(7-K40,1)&amp;"通"</f>
        <v>七通</v>
      </c>
      <c r="U40" s="3053"/>
    </row>
    <row r="41" spans="1:28">
      <c r="A41" s="1589"/>
      <c r="B41" s="3341" t="s">
        <v>1712</v>
      </c>
      <c r="C41" s="3341"/>
      <c r="D41" s="3341"/>
      <c r="E41" s="3341"/>
      <c r="F41" s="1652" t="str">
        <f>C10</f>
        <v>江苏省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49"/>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B17" sqref="B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85225.54</v>
      </c>
      <c r="B3" s="22">
        <f>IF(C3="否",G5-AT5,G5)</f>
        <v>294029.7</v>
      </c>
      <c r="C3" s="23" t="s">
        <v>3005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294029.7</v>
      </c>
      <c r="H5" s="27">
        <f t="shared" ref="H5:AT5" si="0">SUM(H13:H641)</f>
        <v>294029.7</v>
      </c>
      <c r="I5" s="27">
        <f t="shared" si="0"/>
        <v>0</v>
      </c>
      <c r="J5" s="27">
        <f t="shared" si="0"/>
        <v>0</v>
      </c>
      <c r="K5" s="27">
        <f t="shared" si="0"/>
        <v>294029.7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294029.7</v>
      </c>
      <c r="BA5" s="29">
        <f t="shared" si="1"/>
        <v>294029.7</v>
      </c>
      <c r="BB5" s="29">
        <f t="shared" si="1"/>
        <v>0</v>
      </c>
      <c r="BC5" s="29">
        <f t="shared" si="1"/>
        <v>294029.7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85225.54</v>
      </c>
      <c r="F6" s="27" t="s">
        <v>1</v>
      </c>
      <c r="G6" s="27" t="s">
        <v>2</v>
      </c>
      <c r="H6" s="33">
        <f>SUMIF(I$12:AB$12,"总值",I6:AB6)</f>
        <v>85225.54</v>
      </c>
      <c r="I6" s="27">
        <f t="shared" ref="I6:AB6" si="2">ROUND($A$3*I5/$B$3,2)</f>
        <v>0</v>
      </c>
      <c r="J6" s="27">
        <f t="shared" si="2"/>
        <v>0</v>
      </c>
      <c r="K6" s="27">
        <f t="shared" si="2"/>
        <v>85225.54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85225.54</v>
      </c>
      <c r="AZ6" s="27" t="s">
        <v>3</v>
      </c>
      <c r="BA6" s="27">
        <f>ROUND($AY$6*BA5/$AZ$5,2)</f>
        <v>85225.54</v>
      </c>
      <c r="BB6" s="27">
        <f>ROUND($AY$6*BB5/$AZ$5,2)</f>
        <v>0</v>
      </c>
      <c r="BC6" s="27">
        <f t="shared" ref="BC6:BH6" si="4">ROUND($AY$6*BC5/$AZ$5,2)</f>
        <v>85225.54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3002</v>
      </c>
      <c r="J9" s="51"/>
      <c r="K9" s="2731" t="s">
        <v>3002</v>
      </c>
      <c r="L9" s="51"/>
      <c r="M9" s="2731"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3001</v>
      </c>
      <c r="L10" s="51"/>
      <c r="M10" s="2733" t="s">
        <v>3007</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3003</v>
      </c>
      <c r="J11" s="71"/>
      <c r="K11" s="2732" t="s">
        <v>3004</v>
      </c>
      <c r="L11" s="71"/>
      <c r="M11" s="70" t="s">
        <v>3007</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t="s">
        <v>3078</v>
      </c>
      <c r="B13" s="2726">
        <v>3.45</v>
      </c>
      <c r="C13" s="2726"/>
      <c r="D13" s="2727" t="s">
        <v>1669</v>
      </c>
      <c r="E13" s="27">
        <f t="shared" ref="E13:E20" si="6">IF($C$3="是",ROUND($A$3*G13/$B$3,2),ROUND($A$3*(G13-AT13)/$B$3,2))</f>
        <v>85225.54</v>
      </c>
      <c r="F13" s="81"/>
      <c r="G13" s="82">
        <f t="shared" ref="G13:G20" si="7">H13+AC13+AT13</f>
        <v>294029.7</v>
      </c>
      <c r="H13" s="33">
        <f t="shared" ref="H13:H20" si="8">SUMIF(I$12:AB$12,"总值",I13:AB13)</f>
        <v>294029.7</v>
      </c>
      <c r="I13" s="2730"/>
      <c r="J13" s="2730"/>
      <c r="K13" s="2730">
        <v>294029.7</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容积率</v>
      </c>
      <c r="AW13" s="17">
        <f t="shared" si="10"/>
        <v>3.45</v>
      </c>
      <c r="AX13" s="17">
        <f t="shared" si="10"/>
        <v>0</v>
      </c>
      <c r="AY13" s="983">
        <f t="shared" ref="AY13:AY20" si="11">ROUND($AY$6*AZ13/$AZ$5,2)</f>
        <v>85225.54</v>
      </c>
      <c r="AZ13" s="27">
        <f t="shared" ref="AZ13:AZ20" si="12">BA13+BL13</f>
        <v>294029.7</v>
      </c>
      <c r="BA13" s="27">
        <f t="shared" ref="BA13:BA20" si="13">SUM(BB13:BK13)</f>
        <v>294029.7</v>
      </c>
      <c r="BB13" s="27">
        <f t="shared" ref="BB13:BB20" si="14">IF($D13="是",I13-J13,0)</f>
        <v>0</v>
      </c>
      <c r="BC13" s="27">
        <f t="shared" ref="BC13:BC20" si="15">IF($D13="是",K13-L13,0)</f>
        <v>294029.7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3080</v>
      </c>
      <c r="B14" s="3299">
        <v>0.4</v>
      </c>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建筑密度</v>
      </c>
      <c r="AW14" s="17">
        <f t="shared" si="10"/>
        <v>0.4</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3081</v>
      </c>
      <c r="B17" s="2726">
        <f>K13/(B14*A3)</f>
        <v>8.6250465529464524</v>
      </c>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估算楼层</v>
      </c>
      <c r="AW17" s="17">
        <f t="shared" si="10"/>
        <v>8.6250465529464524</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302">
        <f>K13/A3</f>
        <v>3.4500186211785815</v>
      </c>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3.4500186211785815</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D3" sqref="D3"/>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8" t="s">
        <v>203</v>
      </c>
      <c r="B2" s="3388"/>
      <c r="C2" s="3388"/>
      <c r="D2" s="1888" t="s">
        <v>204</v>
      </c>
      <c r="E2" s="106" t="s">
        <v>205</v>
      </c>
      <c r="F2" s="3082"/>
      <c r="G2" s="1180"/>
      <c r="H2" s="1181"/>
      <c r="I2" s="1182" t="s">
        <v>849</v>
      </c>
      <c r="J2" s="3082"/>
      <c r="K2" s="3082"/>
      <c r="L2" s="3082"/>
      <c r="M2" s="3082"/>
      <c r="N2" s="3082"/>
      <c r="O2" s="3082"/>
      <c r="P2" s="3082"/>
    </row>
    <row r="3" spans="1:16" ht="15.75" thickBot="1">
      <c r="A3" s="3389" t="s">
        <v>206</v>
      </c>
      <c r="B3" s="3389"/>
      <c r="C3" s="3389"/>
      <c r="D3" s="107">
        <f>'数据-基础表'!AY6</f>
        <v>85225.54</v>
      </c>
      <c r="E3" s="107">
        <f>'数据-基础表'!AZ5</f>
        <v>294029.7</v>
      </c>
      <c r="F3" s="3082"/>
      <c r="G3" s="278" t="s">
        <v>850</v>
      </c>
      <c r="H3" s="273" t="s">
        <v>851</v>
      </c>
      <c r="I3" s="1889">
        <f>ROUND('数据-基础表'!B3/'数据-基础表'!A3,2)</f>
        <v>3.45</v>
      </c>
      <c r="J3" s="3082"/>
      <c r="K3" s="3082"/>
      <c r="L3" s="3082"/>
      <c r="M3" s="3082"/>
      <c r="N3" s="3082"/>
      <c r="O3" s="3082"/>
      <c r="P3" s="3082"/>
    </row>
    <row r="4" spans="1:16" ht="15">
      <c r="A4" s="3390"/>
      <c r="B4" s="3391"/>
      <c r="C4" s="3392"/>
      <c r="D4" s="108" t="s">
        <v>204</v>
      </c>
      <c r="E4" s="109" t="s">
        <v>205</v>
      </c>
      <c r="F4" s="3082"/>
      <c r="G4" s="1183"/>
      <c r="H4" s="273" t="s">
        <v>852</v>
      </c>
      <c r="I4" s="1889">
        <f>ROUND(SUMIF('数据-基础表'!I9:AS9,"地上",'数据-基础表'!I5:AS5)/'数据-基础表'!A3,2)</f>
        <v>3.45</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89">
        <f>ROUND(E31/D31,2)</f>
        <v>3.45</v>
      </c>
      <c r="J5" s="3082"/>
      <c r="K5" s="3082"/>
      <c r="L5" s="3082"/>
      <c r="M5" s="3082"/>
      <c r="N5" s="3082"/>
      <c r="O5" s="3082"/>
      <c r="P5" s="3082"/>
    </row>
    <row r="6" spans="1:16" ht="15" thickBot="1">
      <c r="A6" s="113"/>
      <c r="B6" s="3393" t="s">
        <v>208</v>
      </c>
      <c r="C6" s="3393"/>
      <c r="D6" s="111">
        <f>ROUND($D$3*E6/$E$3,2)</f>
        <v>85225.54</v>
      </c>
      <c r="E6" s="112">
        <f>E3-E5</f>
        <v>294029.7</v>
      </c>
      <c r="F6" s="3082"/>
      <c r="G6" s="1183"/>
      <c r="H6" s="273" t="s">
        <v>852</v>
      </c>
      <c r="I6" s="1889">
        <f>ROUND(F31/D31,2)</f>
        <v>3.45</v>
      </c>
      <c r="J6" s="3082"/>
      <c r="K6" s="3082"/>
      <c r="L6" s="3082"/>
      <c r="M6" s="3082"/>
      <c r="N6" s="3082"/>
      <c r="O6" s="3082"/>
      <c r="P6" s="3082"/>
    </row>
    <row r="7" spans="1:16" ht="15">
      <c r="A7" s="3385"/>
      <c r="B7" s="3386"/>
      <c r="C7" s="3387"/>
      <c r="D7" s="108" t="s">
        <v>204</v>
      </c>
      <c r="E7" s="114" t="s">
        <v>231</v>
      </c>
      <c r="F7" s="3082"/>
      <c r="G7" s="1138" t="s">
        <v>1636</v>
      </c>
      <c r="H7" s="1139"/>
      <c r="I7" s="1759">
        <f>I6</f>
        <v>3.45</v>
      </c>
      <c r="J7" s="3082"/>
      <c r="K7" s="3082"/>
      <c r="L7" s="3082"/>
      <c r="M7" s="3082"/>
      <c r="N7" s="3082"/>
      <c r="O7" s="3082"/>
      <c r="P7" s="3082"/>
    </row>
    <row r="8" spans="1:16">
      <c r="A8" s="110" t="s">
        <v>209</v>
      </c>
      <c r="B8" s="115" t="s">
        <v>210</v>
      </c>
      <c r="C8" s="111" t="s">
        <v>211</v>
      </c>
      <c r="D8" s="111">
        <f t="shared" ref="D8:D15" si="0">ROUND($D$3*E8/$E$3,2)</f>
        <v>85225.54</v>
      </c>
      <c r="E8" s="116">
        <f>SUMIF('数据-基础表'!BB10:BK10,"地上",'数据-基础表'!BB5:BK5)</f>
        <v>294029.7</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85225.54</v>
      </c>
      <c r="E16" s="120">
        <f>SUM(E8:E15)</f>
        <v>294029.7</v>
      </c>
      <c r="F16" s="3082"/>
      <c r="G16" s="3083"/>
      <c r="H16" s="955" t="s">
        <v>219</v>
      </c>
      <c r="I16" s="956"/>
      <c r="J16" s="1897"/>
      <c r="K16" s="3379" t="s">
        <v>2548</v>
      </c>
      <c r="L16" s="3380"/>
      <c r="M16" s="3380"/>
      <c r="N16" s="3380"/>
      <c r="O16" s="3380"/>
      <c r="P16" s="3381"/>
    </row>
    <row r="17" spans="1:19" ht="15">
      <c r="A17" s="121" t="s">
        <v>216</v>
      </c>
      <c r="B17" s="122" t="s">
        <v>217</v>
      </c>
      <c r="C17" s="2177" t="s">
        <v>2301</v>
      </c>
      <c r="D17" s="108" t="s">
        <v>204</v>
      </c>
      <c r="E17" s="124" t="s">
        <v>205</v>
      </c>
      <c r="F17" s="125"/>
      <c r="G17" s="1318"/>
      <c r="H17" s="957" t="s">
        <v>218</v>
      </c>
      <c r="I17" s="958" t="s">
        <v>2300</v>
      </c>
      <c r="J17" s="1897"/>
      <c r="K17" s="3382" t="s">
        <v>2549</v>
      </c>
      <c r="L17" s="3383"/>
      <c r="M17" s="3384"/>
      <c r="N17" s="3382" t="s">
        <v>2550</v>
      </c>
      <c r="O17" s="3383"/>
      <c r="P17" s="3384"/>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0</v>
      </c>
      <c r="S19" s="2180">
        <f t="shared" si="5"/>
        <v>0</v>
      </c>
    </row>
    <row r="20" spans="1:19">
      <c r="A20" s="137"/>
      <c r="B20" s="115" t="s">
        <v>226</v>
      </c>
      <c r="C20" s="2737" t="s">
        <v>3009</v>
      </c>
      <c r="D20" s="111">
        <f t="shared" si="1"/>
        <v>85225.54</v>
      </c>
      <c r="E20" s="134">
        <f t="shared" si="2"/>
        <v>294029.7</v>
      </c>
      <c r="F20" s="3084">
        <f>'数据-基础表'!K13</f>
        <v>294029.7</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85225.54</v>
      </c>
      <c r="S20" s="2180">
        <f t="shared" si="5"/>
        <v>294029.7</v>
      </c>
    </row>
    <row r="21" spans="1:19">
      <c r="A21" s="137"/>
      <c r="B21" s="115" t="s">
        <v>226</v>
      </c>
      <c r="C21" s="2737"/>
      <c r="D21" s="111">
        <f t="shared" si="1"/>
        <v>0</v>
      </c>
      <c r="E21" s="134">
        <f t="shared" si="2"/>
        <v>0</v>
      </c>
      <c r="F21" s="3084"/>
      <c r="G21" s="3085">
        <f>'数据-基础表'!M13</f>
        <v>0</v>
      </c>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85225.54</v>
      </c>
      <c r="E27" s="141">
        <f>IF(SUM(E19:E26)='数据-基础表'!BA5,SUM(E19:E26),IF(F27="地上面积有误","面积有误","地下面积有误"))</f>
        <v>294029.7</v>
      </c>
      <c r="F27" s="134">
        <f>IF(SUM(F19:F26)=E8,SUM(F19:F26),"地上面积有误")</f>
        <v>294029.7</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85225.54</v>
      </c>
      <c r="S27" s="273">
        <f>IF(SUM(S19:S26)=$E$3,SUM(S19:S26),SUM(S19:S26)&amp;"误差"&amp;ROUND(SUM(S19:S26)-E3,2))</f>
        <v>294029.7</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85225.54</v>
      </c>
      <c r="E31" s="1322">
        <f>E27+E30</f>
        <v>294029.7</v>
      </c>
      <c r="F31" s="1323">
        <f>F27+F30</f>
        <v>294029.7</v>
      </c>
      <c r="G31" s="1324">
        <f>G27+G30</f>
        <v>0</v>
      </c>
      <c r="H31" s="3082"/>
      <c r="I31" s="3082"/>
      <c r="J31" s="3082"/>
      <c r="K31" s="3082"/>
      <c r="L31" s="3082"/>
      <c r="M31" s="3082"/>
      <c r="N31" s="3082"/>
      <c r="O31" s="3082"/>
      <c r="P31" s="3082"/>
    </row>
    <row r="32" spans="1:19">
      <c r="A32" s="1897"/>
      <c r="B32" s="2221" t="s">
        <v>2309</v>
      </c>
      <c r="C32" s="2488"/>
      <c r="D32" s="1183"/>
      <c r="E32" s="1183">
        <f>SUMIF(C19:C26,"*住宅*",E19:E26)</f>
        <v>0</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10.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44277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2971</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f>'数据-汇总表'!C19</f>
        <v>0</v>
      </c>
      <c r="B6" s="2216" t="str">
        <f>IF(A6=0,"","经营性")</f>
        <v/>
      </c>
      <c r="C6" s="171"/>
      <c r="D6" s="2187">
        <f>SUMIF(项目基本情况!D$15:I$15,C6,项目基本情况!D$18:I$18)</f>
        <v>0</v>
      </c>
      <c r="E6" s="2188" t="str">
        <f>IF(B6="","",SUMIF(项目基本情况!D$15:I$15,C6,项目基本情况!D$17:I$17))</f>
        <v/>
      </c>
      <c r="F6" s="172">
        <f>SUMIF(项目基本情况!D$15:I$15,C6,项目基本情况!D$19:I$19)</f>
        <v>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3001</v>
      </c>
      <c r="D7" s="2187">
        <f>SUMIF(项目基本情况!D$15:I$15,C7,项目基本情况!D$18:I$18)</f>
        <v>40</v>
      </c>
      <c r="E7" s="2188">
        <f>IF(B7="","",SUMIF(项目基本情况!D$15:I$15,C7,项目基本情况!D$17:I$17))</f>
        <v>56170</v>
      </c>
      <c r="F7" s="172">
        <f>SUMIF(项目基本情况!D$15:I$15,C7,项目基本情况!D$19:I$19)</f>
        <v>32.58</v>
      </c>
      <c r="G7" s="173">
        <f t="shared" ref="G7:G11" si="2">IF(ISERROR(ROUND(POWER(1+H7,D7-F7)*(POWER(1+H7,F7)-1)/(POWER(1+H7,D7)-1),3)),0,ROUND(POWER(1+H7,D7-F7)*(POWER(1+H7,F7)-1)/(POWER(1+H7,D7)-1),3))</f>
        <v>0.92800000000000005</v>
      </c>
      <c r="H7" s="2738">
        <v>0.05</v>
      </c>
      <c r="I7" s="2738">
        <v>5.5E-2</v>
      </c>
      <c r="J7" s="174">
        <v>0.08</v>
      </c>
      <c r="K7" s="177">
        <f>SUMIF('数据-汇总表'!C$19:C$33,'数据-取费表'!A7,'数据-汇总表'!E$19:E$33)</f>
        <v>294029.7</v>
      </c>
      <c r="L7" s="2739">
        <v>2300</v>
      </c>
      <c r="M7" s="175">
        <f t="shared" si="0"/>
        <v>67627</v>
      </c>
      <c r="N7" s="2740">
        <v>0</v>
      </c>
      <c r="O7" s="175">
        <f t="shared" ref="O7:O14" si="3">IF($N$5="成新度","——",ROUND(M7*N7,0))</f>
        <v>0</v>
      </c>
      <c r="P7" s="176">
        <f t="shared" ref="P7:P14" si="4">IF($N$5="成新度","——",M7-O7)</f>
        <v>67627</v>
      </c>
      <c r="Q7" s="2741">
        <v>0.1</v>
      </c>
      <c r="R7" s="177">
        <f>SUMIF('数据-汇总表'!C$19:C$33,A7,'数据-汇总表'!R$19:R$33)</f>
        <v>85225.54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0.15</v>
      </c>
      <c r="X7" s="2200"/>
      <c r="Y7" s="180">
        <v>1</v>
      </c>
      <c r="Z7" s="181"/>
      <c r="AA7" s="174"/>
      <c r="AB7" s="174"/>
      <c r="AC7" s="2203"/>
      <c r="AD7" s="182"/>
      <c r="AE7" s="959">
        <f t="shared" ref="AE7:AE13" ca="1" si="6">IF(AN7="",0,SUMIF(INDIRECT("'"&amp;AN7&amp;"'"&amp;"!E:E"),$AE$5,INDIRECT("'"&amp;AN7&amp;"'"&amp;"!F:F")))</f>
        <v>29.58</v>
      </c>
      <c r="AF7" s="139"/>
      <c r="AG7" s="1195">
        <f t="shared" ref="AG7:AG13" si="7">IF(AF7="",0,AE7-AF7)</f>
        <v>0</v>
      </c>
      <c r="AH7" s="3298">
        <f>K7</f>
        <v>294029.7</v>
      </c>
      <c r="AI7" s="185">
        <v>365</v>
      </c>
      <c r="AJ7" s="186"/>
      <c r="AK7" s="187">
        <v>0.01</v>
      </c>
      <c r="AL7" s="188">
        <v>1.5E-3</v>
      </c>
      <c r="AM7" s="2244">
        <v>0.01</v>
      </c>
      <c r="AN7" s="2246" t="s">
        <v>3072</v>
      </c>
      <c r="AO7" s="3092"/>
      <c r="AP7" s="1186">
        <f t="shared" ref="AP7:AP13" si="8">ROUND(1-1/(1+H7)^F7,3)</f>
        <v>0.79600000000000004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0.92800000000000005</v>
      </c>
      <c r="H16" s="201">
        <f>ROUND(SUMPRODUCT(H6:H13,K6:K13)/SUMPRODUCT((H6:H13&gt;0)*(K6:K13)),3)</f>
        <v>0.05</v>
      </c>
      <c r="I16" s="202"/>
      <c r="J16" s="202"/>
      <c r="K16" s="203">
        <f>SUM(K6:K15)</f>
        <v>294029.7</v>
      </c>
      <c r="L16" s="204">
        <f>ROUND(M16*10000/SUM(K6:K14),0)</f>
        <v>2300</v>
      </c>
      <c r="M16" s="204">
        <f>SUM(M6:M14)</f>
        <v>67627</v>
      </c>
      <c r="N16" s="205">
        <f>ROUND(SUMPRODUCT(M6:M14,N6:N14)/M16,3)</f>
        <v>0</v>
      </c>
      <c r="O16" s="204">
        <f>SUM(O6:O14)</f>
        <v>0</v>
      </c>
      <c r="P16" s="204">
        <f>SUM(P6:P14)</f>
        <v>67627</v>
      </c>
      <c r="Q16" s="206">
        <f>ROUND(SUMPRODUCT(Q6:Q13,K6:K13)/SUMPRODUCT((Q6:Q13&gt;0)*(K6:K13)),2)</f>
        <v>0.1</v>
      </c>
      <c r="R16" s="2190">
        <f>SUM(R6:R13)</f>
        <v>85225.54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0.79600000000000004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70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2973</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150</v>
      </c>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2977</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16</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5</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83" t="s">
        <v>3010</v>
      </c>
      <c r="D3" s="3126"/>
      <c r="E3" s="3127" t="s">
        <v>1657</v>
      </c>
      <c r="F3" s="3128" t="s">
        <v>1645</v>
      </c>
      <c r="G3" s="3129" t="s">
        <v>2887</v>
      </c>
      <c r="H3" s="3123"/>
      <c r="I3" s="3123"/>
      <c r="J3" s="3123"/>
      <c r="K3" s="3123"/>
      <c r="L3" s="3123"/>
      <c r="M3" s="3123"/>
      <c r="N3" s="3123"/>
      <c r="O3" s="3123"/>
      <c r="P3" s="3123"/>
      <c r="Q3" s="3123"/>
      <c r="R3" s="3123"/>
    </row>
    <row r="4" spans="1:18" ht="40.5">
      <c r="A4" s="3127"/>
      <c r="B4" s="3130" t="s">
        <v>1658</v>
      </c>
      <c r="C4" s="3284" t="s">
        <v>3162</v>
      </c>
      <c r="D4" s="3126"/>
      <c r="E4" s="3132"/>
      <c r="F4" s="3133" t="s">
        <v>1659</v>
      </c>
      <c r="G4" s="3134" t="s">
        <v>2884</v>
      </c>
      <c r="H4" s="3123"/>
      <c r="I4" s="3123"/>
      <c r="J4" s="3123"/>
      <c r="K4" s="3123"/>
      <c r="L4" s="3123"/>
      <c r="M4" s="3123"/>
      <c r="N4" s="3123"/>
      <c r="O4" s="3123"/>
      <c r="P4" s="3123"/>
      <c r="Q4" s="3123"/>
      <c r="R4" s="3123"/>
    </row>
    <row r="5" spans="1:18" ht="27">
      <c r="A5" s="3127"/>
      <c r="B5" s="3130" t="s">
        <v>1660</v>
      </c>
      <c r="C5" s="3131"/>
      <c r="D5" s="3126"/>
      <c r="E5" s="3132"/>
      <c r="F5" s="3130" t="s">
        <v>2528</v>
      </c>
      <c r="G5" s="3134" t="s">
        <v>2885</v>
      </c>
      <c r="H5" s="3123"/>
      <c r="I5" s="3123"/>
      <c r="J5" s="3123"/>
      <c r="K5" s="3123"/>
      <c r="L5" s="3123"/>
      <c r="M5" s="3123"/>
      <c r="N5" s="3123"/>
      <c r="O5" s="3123"/>
      <c r="P5" s="3123"/>
      <c r="Q5" s="3123"/>
      <c r="R5" s="3123"/>
    </row>
    <row r="6" spans="1:18" ht="54">
      <c r="A6" s="3127"/>
      <c r="B6" s="3130" t="s">
        <v>1646</v>
      </c>
      <c r="C6" s="3285" t="s">
        <v>3161</v>
      </c>
      <c r="D6" s="3126"/>
      <c r="E6" s="3132"/>
      <c r="F6" s="3130" t="s">
        <v>2529</v>
      </c>
      <c r="G6" s="3134" t="s">
        <v>2883</v>
      </c>
      <c r="H6" s="3123"/>
      <c r="I6" s="3123"/>
      <c r="J6" s="3123"/>
      <c r="K6" s="3123"/>
      <c r="L6" s="3123"/>
      <c r="M6" s="3123"/>
      <c r="N6" s="3123"/>
      <c r="O6" s="3123"/>
      <c r="P6" s="3123"/>
      <c r="Q6" s="3123"/>
      <c r="R6" s="3123"/>
    </row>
    <row r="7" spans="1:18" ht="27.75" thickBot="1">
      <c r="A7" s="3127"/>
      <c r="B7" s="3130" t="s">
        <v>2528</v>
      </c>
      <c r="C7" s="3285" t="s">
        <v>3011</v>
      </c>
      <c r="D7" s="3135"/>
      <c r="E7" s="3136"/>
      <c r="F7" s="3137" t="s">
        <v>1661</v>
      </c>
      <c r="G7" s="3138" t="s">
        <v>2886</v>
      </c>
      <c r="H7" s="3123"/>
      <c r="I7" s="3123"/>
      <c r="J7" s="3123"/>
      <c r="K7" s="3123"/>
      <c r="L7" s="3123"/>
      <c r="M7" s="3123"/>
      <c r="N7" s="3123"/>
      <c r="O7" s="3123"/>
      <c r="P7" s="3123"/>
      <c r="Q7" s="3123"/>
      <c r="R7" s="3123"/>
    </row>
    <row r="8" spans="1:18">
      <c r="A8" s="3127"/>
      <c r="B8" s="3130" t="s">
        <v>2529</v>
      </c>
      <c r="C8" s="3285" t="s">
        <v>3012</v>
      </c>
      <c r="D8" s="3135"/>
      <c r="E8" s="3135"/>
      <c r="F8" s="3139"/>
      <c r="G8" s="3139"/>
      <c r="H8" s="3123"/>
      <c r="I8" s="3123"/>
      <c r="J8" s="3123"/>
      <c r="K8" s="3123"/>
      <c r="L8" s="3123"/>
      <c r="M8" s="3123"/>
      <c r="N8" s="3123"/>
      <c r="O8" s="3123"/>
      <c r="P8" s="3123"/>
      <c r="Q8" s="3123"/>
      <c r="R8" s="3123"/>
    </row>
    <row r="9" spans="1:18" ht="27">
      <c r="A9" s="3127"/>
      <c r="B9" s="3130" t="s">
        <v>1647</v>
      </c>
      <c r="C9" s="3284" t="s">
        <v>3013</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3014</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估价对象周边商业氛围成熟度一般，人流量一般，住宅底商为主，商业繁华度一般</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估价对象周边道路状况一般、公共交通通达情况较差，有5、122路经过、停车便捷程度，综合评价交通便捷度一般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294029.7</v>
      </c>
      <c r="C1" s="3193"/>
      <c r="D1" s="3193"/>
      <c r="E1" s="3193"/>
      <c r="F1" s="3193"/>
      <c r="G1" s="3194"/>
      <c r="H1" s="3194"/>
      <c r="I1" s="3194"/>
      <c r="J1" s="3194"/>
    </row>
    <row r="2" spans="1:10" ht="16.5">
      <c r="A2" s="3184" t="s">
        <v>2825</v>
      </c>
      <c r="B2" s="3184">
        <f>SUM(C14:C23)</f>
        <v>85225.54</v>
      </c>
      <c r="C2" s="3193"/>
      <c r="D2" s="3193"/>
      <c r="E2" s="3193"/>
      <c r="F2" s="3193"/>
      <c r="G2" s="3194"/>
      <c r="H2" s="3194"/>
      <c r="I2" s="3194"/>
      <c r="J2" s="3194"/>
    </row>
    <row r="3" spans="1:10" ht="16.5">
      <c r="A3" s="3184" t="s">
        <v>2826</v>
      </c>
      <c r="B3" s="3186">
        <f>项目基本情况!D3</f>
        <v>44277</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48445</v>
      </c>
      <c r="C5" s="3184">
        <f ca="1">ROUND(B5*10000/$B$1,0)</f>
        <v>1648</v>
      </c>
      <c r="D5" s="3184">
        <f ca="1">ROUND(B5*10000/$B$2,0)</f>
        <v>5684</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294029.7</v>
      </c>
      <c r="C14" s="3190">
        <f>结果表!K38</f>
        <v>85225.54</v>
      </c>
      <c r="D14" s="3190">
        <f ca="1">结果表!C42</f>
        <v>48445</v>
      </c>
      <c r="E14" s="3190">
        <f ca="1">ROUND(D14*10000/B14,0)</f>
        <v>1648</v>
      </c>
      <c r="F14" s="3190">
        <f ca="1">ROUND(D14*10000/C14,0)</f>
        <v>5684</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85" zoomScaleNormal="100" zoomScaleSheetLayoutView="85" zoomScalePageLayoutView="80" workbookViewId="0">
      <selection activeCell="K18" sqref="K1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t="s">
        <v>3156</v>
      </c>
      <c r="E1" s="1719" t="s">
        <v>2046</v>
      </c>
      <c r="F1" s="1721" t="s">
        <v>3157</v>
      </c>
      <c r="G1" s="309"/>
      <c r="H1" s="309"/>
      <c r="I1" s="309"/>
      <c r="J1" s="1911"/>
      <c r="K1" s="1911"/>
      <c r="L1" s="1911"/>
      <c r="M1" s="1911"/>
      <c r="N1" s="1911"/>
      <c r="O1" s="1911"/>
      <c r="P1" s="1911"/>
      <c r="Q1" s="1911"/>
      <c r="R1" s="1911"/>
      <c r="S1" s="1911"/>
      <c r="T1" s="1911"/>
      <c r="U1" s="1911"/>
      <c r="V1" s="1911"/>
    </row>
    <row r="2" spans="1:22" ht="21.75" customHeight="1" thickBot="1">
      <c r="A2" s="3440" t="str">
        <f>项目基本情况!K2</f>
        <v>江苏省连云港海州区锦屏山东南侧4号地出让国有建设用地使用权</v>
      </c>
      <c r="B2" s="3441"/>
      <c r="C2" s="3442"/>
      <c r="D2" s="3442"/>
      <c r="E2" s="3442"/>
      <c r="F2" s="3442"/>
      <c r="G2" s="3441"/>
      <c r="H2" s="3441"/>
      <c r="I2" s="3443"/>
      <c r="J2" s="1912"/>
      <c r="K2" s="1911"/>
      <c r="L2" s="1911"/>
      <c r="M2" s="1911"/>
      <c r="N2" s="1911"/>
      <c r="O2" s="1911"/>
      <c r="P2" s="1911"/>
      <c r="Q2" s="1911"/>
      <c r="R2" s="1911"/>
      <c r="S2" s="1911"/>
      <c r="T2" s="1911"/>
      <c r="U2" s="1911"/>
      <c r="V2" s="1911"/>
    </row>
    <row r="3" spans="1:22" ht="14.25">
      <c r="A3" s="3433" t="s">
        <v>298</v>
      </c>
      <c r="B3" s="3434"/>
      <c r="C3" s="3434"/>
      <c r="D3" s="3434"/>
      <c r="E3" s="3434"/>
      <c r="F3" s="3434"/>
      <c r="G3" s="3434"/>
      <c r="H3" s="3434"/>
      <c r="I3" s="3434"/>
      <c r="J3" s="1912"/>
      <c r="K3" s="1911"/>
      <c r="L3" s="1911"/>
      <c r="M3" s="1911"/>
      <c r="N3" s="1911"/>
      <c r="O3" s="1911"/>
      <c r="P3" s="1911"/>
      <c r="Q3" s="1911"/>
      <c r="R3" s="1911"/>
      <c r="S3" s="1911"/>
      <c r="T3" s="1911"/>
      <c r="U3" s="1911"/>
      <c r="V3" s="1911"/>
    </row>
    <row r="4" spans="1:22" ht="14.25">
      <c r="A4" s="256" t="s">
        <v>299</v>
      </c>
      <c r="B4" s="257" t="s">
        <v>300</v>
      </c>
      <c r="C4" s="258" t="s">
        <v>3153</v>
      </c>
      <c r="D4" s="258" t="s">
        <v>3154</v>
      </c>
      <c r="E4" s="3399" t="s">
        <v>301</v>
      </c>
      <c r="F4" s="3400"/>
      <c r="G4" s="3400"/>
      <c r="H4" s="3400"/>
      <c r="I4" s="3435"/>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398" t="s">
        <v>302</v>
      </c>
      <c r="B5" s="3427">
        <v>25</v>
      </c>
      <c r="C5" s="3425">
        <v>20</v>
      </c>
      <c r="D5" s="3429">
        <v>23</v>
      </c>
      <c r="E5" s="259" t="s">
        <v>303</v>
      </c>
      <c r="F5" s="260"/>
      <c r="G5" s="260"/>
      <c r="H5" s="260"/>
      <c r="I5" s="261"/>
      <c r="J5" s="1912"/>
      <c r="K5" s="1911"/>
      <c r="L5" s="1911"/>
      <c r="M5" s="1911"/>
      <c r="N5" s="1911"/>
      <c r="O5" s="1911"/>
      <c r="P5" s="1911"/>
      <c r="Q5" s="1911"/>
      <c r="R5" s="1911"/>
      <c r="S5" s="1911"/>
      <c r="T5" s="1911"/>
      <c r="U5" s="1911"/>
      <c r="V5" s="1911"/>
    </row>
    <row r="6" spans="1:22" ht="14.25">
      <c r="A6" s="3398"/>
      <c r="B6" s="3427"/>
      <c r="C6" s="3428"/>
      <c r="D6" s="3429"/>
      <c r="E6" s="259" t="s">
        <v>304</v>
      </c>
      <c r="F6" s="260"/>
      <c r="G6" s="260"/>
      <c r="H6" s="260"/>
      <c r="I6" s="261"/>
      <c r="J6" s="1912"/>
      <c r="K6" s="1911"/>
      <c r="L6" s="1911"/>
      <c r="M6" s="1911"/>
      <c r="N6" s="1911"/>
      <c r="O6" s="1911"/>
      <c r="P6" s="1911"/>
      <c r="Q6" s="1911"/>
      <c r="R6" s="1911"/>
      <c r="S6" s="1911"/>
      <c r="T6" s="1911"/>
      <c r="U6" s="1911"/>
      <c r="V6" s="1911"/>
    </row>
    <row r="7" spans="1:22" ht="14.25">
      <c r="A7" s="3398"/>
      <c r="B7" s="3427"/>
      <c r="C7" s="3426"/>
      <c r="D7" s="3429"/>
      <c r="E7" s="259" t="s">
        <v>305</v>
      </c>
      <c r="F7" s="260"/>
      <c r="G7" s="260"/>
      <c r="H7" s="260"/>
      <c r="I7" s="261"/>
      <c r="J7" s="1912"/>
      <c r="K7" s="1911"/>
      <c r="L7" s="1911"/>
      <c r="M7" s="1911"/>
      <c r="N7" s="1911"/>
      <c r="O7" s="1911"/>
      <c r="P7" s="1911"/>
      <c r="Q7" s="1911"/>
      <c r="R7" s="1911"/>
      <c r="S7" s="1911"/>
      <c r="T7" s="1911"/>
      <c r="U7" s="1911"/>
      <c r="V7" s="1911"/>
    </row>
    <row r="8" spans="1:22" ht="14.25">
      <c r="A8" s="3398" t="s">
        <v>306</v>
      </c>
      <c r="B8" s="3427">
        <v>15</v>
      </c>
      <c r="C8" s="3425">
        <v>9</v>
      </c>
      <c r="D8" s="3429">
        <v>8</v>
      </c>
      <c r="E8" s="259" t="s">
        <v>307</v>
      </c>
      <c r="F8" s="260"/>
      <c r="G8" s="260"/>
      <c r="H8" s="260"/>
      <c r="I8" s="261"/>
      <c r="J8" s="1912"/>
      <c r="K8" s="1911"/>
      <c r="L8" s="1911"/>
      <c r="M8" s="1911"/>
      <c r="N8" s="1911"/>
      <c r="O8" s="1911"/>
      <c r="P8" s="1911"/>
      <c r="Q8" s="1911"/>
      <c r="R8" s="1911"/>
      <c r="S8" s="1911"/>
      <c r="T8" s="1911"/>
      <c r="U8" s="1911"/>
      <c r="V8" s="1911"/>
    </row>
    <row r="9" spans="1:22" ht="14.25">
      <c r="A9" s="3398"/>
      <c r="B9" s="3427"/>
      <c r="C9" s="3426"/>
      <c r="D9" s="3429"/>
      <c r="E9" s="259" t="s">
        <v>308</v>
      </c>
      <c r="F9" s="260"/>
      <c r="G9" s="260"/>
      <c r="H9" s="260"/>
      <c r="I9" s="261"/>
      <c r="J9" s="1912"/>
      <c r="K9" s="1911"/>
      <c r="L9" s="1911"/>
      <c r="M9" s="1911"/>
      <c r="N9" s="1911"/>
      <c r="O9" s="1911"/>
      <c r="P9" s="1911"/>
      <c r="Q9" s="1911"/>
      <c r="R9" s="1911"/>
      <c r="S9" s="1911"/>
      <c r="T9" s="1911"/>
      <c r="U9" s="1911"/>
      <c r="V9" s="1911"/>
    </row>
    <row r="10" spans="1:22" ht="14.25">
      <c r="A10" s="3398" t="s">
        <v>309</v>
      </c>
      <c r="B10" s="3427">
        <v>15</v>
      </c>
      <c r="C10" s="3425">
        <v>7</v>
      </c>
      <c r="D10" s="3429">
        <v>14</v>
      </c>
      <c r="E10" s="259" t="s">
        <v>310</v>
      </c>
      <c r="F10" s="260"/>
      <c r="G10" s="260"/>
      <c r="H10" s="260"/>
      <c r="I10" s="261"/>
      <c r="J10" s="1912"/>
      <c r="K10" s="1911"/>
      <c r="L10" s="1911"/>
      <c r="M10" s="1911"/>
      <c r="N10" s="1911"/>
      <c r="O10" s="1911"/>
      <c r="P10" s="1911"/>
      <c r="Q10" s="1911"/>
      <c r="R10" s="1911"/>
      <c r="S10" s="1911"/>
      <c r="T10" s="1911"/>
      <c r="U10" s="1911"/>
      <c r="V10" s="1911"/>
    </row>
    <row r="11" spans="1:22" ht="14.25">
      <c r="A11" s="3398"/>
      <c r="B11" s="3427"/>
      <c r="C11" s="3426"/>
      <c r="D11" s="3429"/>
      <c r="E11" s="259" t="s">
        <v>311</v>
      </c>
      <c r="F11" s="260"/>
      <c r="G11" s="260"/>
      <c r="H11" s="260"/>
      <c r="I11" s="261"/>
      <c r="J11" s="1912"/>
      <c r="K11" s="1911"/>
      <c r="L11" s="1911"/>
      <c r="M11" s="1911"/>
      <c r="N11" s="1911"/>
      <c r="O11" s="1911"/>
      <c r="P11" s="1911"/>
      <c r="Q11" s="1911"/>
      <c r="R11" s="1911"/>
      <c r="S11" s="1911"/>
      <c r="T11" s="1911"/>
      <c r="U11" s="1911"/>
      <c r="V11" s="1911"/>
    </row>
    <row r="12" spans="1:22" ht="14.25">
      <c r="A12" s="3398" t="s">
        <v>312</v>
      </c>
      <c r="B12" s="3427">
        <v>15</v>
      </c>
      <c r="C12" s="3425">
        <v>7</v>
      </c>
      <c r="D12" s="3429">
        <v>14</v>
      </c>
      <c r="E12" s="259" t="s">
        <v>313</v>
      </c>
      <c r="F12" s="260"/>
      <c r="G12" s="260"/>
      <c r="H12" s="260"/>
      <c r="I12" s="261"/>
      <c r="J12" s="1912"/>
      <c r="K12" s="1911"/>
      <c r="L12" s="1911"/>
      <c r="M12" s="1911"/>
      <c r="N12" s="1911"/>
      <c r="O12" s="1911"/>
      <c r="P12" s="1911"/>
      <c r="Q12" s="1911"/>
      <c r="R12" s="1911"/>
      <c r="S12" s="1911"/>
      <c r="T12" s="1911"/>
      <c r="U12" s="1911"/>
      <c r="V12" s="1911"/>
    </row>
    <row r="13" spans="1:22" ht="14.25">
      <c r="A13" s="3398"/>
      <c r="B13" s="3427"/>
      <c r="C13" s="3426"/>
      <c r="D13" s="3429"/>
      <c r="E13" s="259" t="s">
        <v>314</v>
      </c>
      <c r="F13" s="260"/>
      <c r="G13" s="260"/>
      <c r="H13" s="260"/>
      <c r="I13" s="261"/>
      <c r="J13" s="1912"/>
      <c r="K13" s="1911"/>
      <c r="L13" s="1911"/>
      <c r="M13" s="1911"/>
      <c r="N13" s="1911"/>
      <c r="O13" s="1911"/>
      <c r="P13" s="1911"/>
      <c r="Q13" s="1911"/>
      <c r="R13" s="1911"/>
      <c r="S13" s="1911"/>
      <c r="T13" s="1911"/>
      <c r="U13" s="1911"/>
      <c r="V13" s="1911"/>
    </row>
    <row r="14" spans="1:22" ht="14.25">
      <c r="A14" s="3398" t="s">
        <v>315</v>
      </c>
      <c r="B14" s="3427">
        <v>30</v>
      </c>
      <c r="C14" s="3425">
        <v>15</v>
      </c>
      <c r="D14" s="3429">
        <v>27</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398"/>
      <c r="B15" s="3427"/>
      <c r="C15" s="3428"/>
      <c r="D15" s="3429"/>
      <c r="E15" s="259" t="s">
        <v>317</v>
      </c>
      <c r="F15" s="260"/>
      <c r="G15" s="260"/>
      <c r="H15" s="260"/>
      <c r="I15" s="261"/>
      <c r="J15" s="1912"/>
      <c r="K15" s="1911"/>
      <c r="L15" s="1911"/>
      <c r="M15" s="1911"/>
      <c r="N15" s="1911"/>
      <c r="O15" s="1911"/>
      <c r="P15" s="1911"/>
      <c r="Q15" s="1911"/>
      <c r="R15" s="1911"/>
      <c r="S15" s="1911"/>
      <c r="T15" s="1911"/>
      <c r="U15" s="1911"/>
      <c r="V15" s="1911"/>
    </row>
    <row r="16" spans="1:22" ht="14.25">
      <c r="A16" s="3398"/>
      <c r="B16" s="3427"/>
      <c r="C16" s="3426"/>
      <c r="D16" s="3429"/>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58</v>
      </c>
      <c r="D17" s="263">
        <f>SUM(D5:D16)</f>
        <v>86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30" t="s">
        <v>2960</v>
      </c>
      <c r="F18" s="3431"/>
      <c r="G18" s="3431"/>
      <c r="H18" s="3431"/>
      <c r="I18" s="3431"/>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24728</v>
      </c>
      <c r="D19" s="269">
        <f ca="1">SUMIF(INDIRECT("'"&amp;D4&amp;"'"&amp;"!A:A"),结果表!B19,INDIRECT("'"&amp;D4&amp;"'"&amp;"!B:B"))</f>
        <v>64257</v>
      </c>
      <c r="E19" s="266" t="s">
        <v>323</v>
      </c>
      <c r="F19" s="267" t="s">
        <v>322</v>
      </c>
      <c r="G19" s="270">
        <f ca="1">ROUND(C19*$C$18+D19*$D$18,0)</f>
        <v>48445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841</v>
      </c>
      <c r="D20" s="275">
        <f ca="1">SUMIF(INDIRECT("'"&amp;D4&amp;"'"&amp;"!A:A"),结果表!B20,INDIRECT("'"&amp;D4&amp;"'"&amp;"!B:B"))</f>
        <v>2185</v>
      </c>
      <c r="E20" s="272"/>
      <c r="F20" s="273" t="s">
        <v>325</v>
      </c>
      <c r="G20" s="276">
        <f ca="1">ROUND(C20*$C$18+D20*$D$18,0)</f>
        <v>1647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2901</v>
      </c>
      <c r="D21" s="149">
        <f ca="1">SUMIF(INDIRECT("'"&amp;D4&amp;"'"&amp;"!A:A"),结果表!B21,INDIRECT("'"&amp;D4&amp;"'"&amp;"!B:B"))</f>
        <v>7540</v>
      </c>
      <c r="E21" s="272"/>
      <c r="F21" s="278" t="s">
        <v>327</v>
      </c>
      <c r="G21" s="280">
        <f ca="1">ROUND(C21*$C$18+D21*$D$18,0)</f>
        <v>5684</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1.5985522484632804</v>
      </c>
      <c r="E22" s="282"/>
      <c r="F22" s="283"/>
      <c r="G22" s="284">
        <f ca="1">ROUND(G19/('数据-汇总表'!D3/666.67),0)</f>
        <v>379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0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05"/>
      <c r="B25" s="1274" t="s">
        <v>331</v>
      </c>
      <c r="C25" s="288">
        <f>IF(B30=0,0,C30)</f>
        <v>0</v>
      </c>
      <c r="D25" s="289"/>
      <c r="E25" s="309"/>
      <c r="F25" s="309"/>
      <c r="G25" s="309"/>
      <c r="H25" s="309"/>
      <c r="I25" s="309"/>
      <c r="J25" s="1911"/>
      <c r="K25" s="1208" t="str">
        <f ca="1">项目基本情况!B16&amp;"国有建设用地使用权价格："&amp;O38&amp;"万元"</f>
        <v>出让国有建设用地使用权价格：48445万元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大写金额：人民币肆亿捌仟肆佰肆拾伍万元整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单位面积地价：5684元/平方米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楼面地价：1648元/平方米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2961</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32" t="s">
        <v>2962</v>
      </c>
      <c r="B31" s="3432"/>
      <c r="C31" s="3432"/>
      <c r="D31" s="3432"/>
      <c r="E31" s="3432"/>
      <c r="F31" s="3432"/>
      <c r="G31" s="3432"/>
      <c r="H31" s="3432"/>
      <c r="I31" s="3432"/>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48445</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1648</v>
      </c>
      <c r="D33" s="1333" t="s">
        <v>1682</v>
      </c>
      <c r="E33" s="3404"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5684</v>
      </c>
      <c r="D34" s="1335" t="s">
        <v>1682</v>
      </c>
      <c r="E34" s="344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379</v>
      </c>
      <c r="D35" s="1338" t="s">
        <v>1684</v>
      </c>
      <c r="E35" s="3449"/>
      <c r="F35" s="299" t="s">
        <v>342</v>
      </c>
      <c r="G35" s="969"/>
      <c r="H35" s="968" t="s">
        <v>343</v>
      </c>
      <c r="I35" s="309"/>
      <c r="J35" s="1911"/>
      <c r="K35" s="3422" t="s">
        <v>350</v>
      </c>
      <c r="L35" s="3422" t="s">
        <v>351</v>
      </c>
      <c r="M35" s="1217" t="s">
        <v>352</v>
      </c>
      <c r="N35" s="3422" t="s">
        <v>353</v>
      </c>
      <c r="O35" s="3422" t="s">
        <v>354</v>
      </c>
      <c r="P35" s="1911"/>
      <c r="V35" s="1911"/>
    </row>
    <row r="36" spans="1:26" ht="16.5" customHeight="1">
      <c r="A36" s="301" t="s">
        <v>344</v>
      </c>
      <c r="B36" s="302" t="s">
        <v>333</v>
      </c>
      <c r="C36" s="303" t="s">
        <v>345</v>
      </c>
      <c r="D36" s="303" t="s">
        <v>346</v>
      </c>
      <c r="E36" s="304" t="s">
        <v>347</v>
      </c>
      <c r="F36" s="309"/>
      <c r="G36" s="309"/>
      <c r="H36" s="309"/>
      <c r="I36" s="309"/>
      <c r="J36" s="1913"/>
      <c r="K36" s="3423"/>
      <c r="L36" s="3423"/>
      <c r="M36" s="1219" t="s">
        <v>355</v>
      </c>
      <c r="N36" s="3423"/>
      <c r="O36" s="3423"/>
      <c r="P36" s="1911"/>
      <c r="V36" s="1911"/>
    </row>
    <row r="37" spans="1:26" ht="16.5" customHeight="1" thickBot="1">
      <c r="A37" s="1213" t="s">
        <v>348</v>
      </c>
      <c r="B37" s="305"/>
      <c r="C37" s="292"/>
      <c r="D37" s="292"/>
      <c r="E37" s="293"/>
      <c r="F37" s="309"/>
      <c r="G37" s="309"/>
      <c r="H37" s="309"/>
      <c r="I37" s="309"/>
      <c r="J37" s="1913"/>
      <c r="K37" s="3424"/>
      <c r="L37" s="3424"/>
      <c r="M37" s="1220"/>
      <c r="N37" s="3424"/>
      <c r="O37" s="3424"/>
      <c r="P37" s="1911"/>
      <c r="V37" s="1911"/>
    </row>
    <row r="38" spans="1:26" ht="16.5" customHeight="1" thickBot="1">
      <c r="A38" s="1213" t="s">
        <v>349</v>
      </c>
      <c r="B38" s="305"/>
      <c r="C38" s="292"/>
      <c r="D38" s="292"/>
      <c r="E38" s="293"/>
      <c r="F38" s="309"/>
      <c r="G38" s="309"/>
      <c r="H38" s="309"/>
      <c r="I38" s="309"/>
      <c r="J38" s="1913"/>
      <c r="K38" s="1221">
        <f>'数据-汇总表'!D3</f>
        <v>85225.54</v>
      </c>
      <c r="L38" s="1222">
        <f>'数据-汇总表'!E3</f>
        <v>294029.7</v>
      </c>
      <c r="M38" s="1222">
        <f ca="1">C34</f>
        <v>5684</v>
      </c>
      <c r="N38" s="1222">
        <f ca="1">C33</f>
        <v>1648</v>
      </c>
      <c r="O38" s="1223">
        <f ca="1">C32</f>
        <v>48445</v>
      </c>
      <c r="P38" s="1911"/>
      <c r="V38" s="1911"/>
    </row>
    <row r="39" spans="1:26" ht="16.5" customHeight="1" thickBot="1">
      <c r="A39" s="1218"/>
      <c r="B39" s="306"/>
      <c r="C39" s="307"/>
      <c r="D39" s="307"/>
      <c r="E39" s="308"/>
      <c r="F39" s="309"/>
      <c r="G39" s="309"/>
      <c r="H39" s="309"/>
      <c r="I39" s="309"/>
      <c r="J39" s="1913"/>
      <c r="K39" s="3462" t="str">
        <f>MID(A44,3,LEN(A44)-2)</f>
        <v/>
      </c>
      <c r="L39" s="3463"/>
      <c r="M39" s="3463"/>
      <c r="N39" s="3464"/>
      <c r="O39" s="1340" t="str">
        <f>C44</f>
        <v>——</v>
      </c>
      <c r="P39" s="1911"/>
      <c r="V39" s="1911"/>
    </row>
    <row r="40" spans="1:26" ht="19.5" thickBot="1">
      <c r="A40" s="104" t="s">
        <v>864</v>
      </c>
      <c r="B40" s="309"/>
      <c r="C40" s="309"/>
      <c r="D40" s="309"/>
      <c r="E40" s="309"/>
      <c r="F40" s="309"/>
      <c r="G40" s="309"/>
      <c r="H40" s="309"/>
      <c r="I40" s="309"/>
      <c r="J40" s="1913"/>
      <c r="K40" s="3462" t="str">
        <f t="shared" ref="K40:K41" si="0">MID(A45,3,LEN(A45)-2)</f>
        <v/>
      </c>
      <c r="L40" s="3463"/>
      <c r="M40" s="3463"/>
      <c r="N40" s="3464"/>
      <c r="O40" s="1340" t="str">
        <f>C45</f>
        <v>——</v>
      </c>
      <c r="P40" s="1911"/>
      <c r="V40" s="1911"/>
    </row>
    <row r="41" spans="1:26" ht="16.5" thickBot="1">
      <c r="A41" s="310" t="s">
        <v>356</v>
      </c>
      <c r="B41" s="311"/>
      <c r="C41" s="312" t="s">
        <v>357</v>
      </c>
      <c r="D41" s="313" t="s">
        <v>358</v>
      </c>
      <c r="E41" s="313" t="s">
        <v>359</v>
      </c>
      <c r="F41" s="314" t="s">
        <v>360</v>
      </c>
      <c r="G41" s="309"/>
      <c r="H41" s="309"/>
      <c r="I41" s="309"/>
      <c r="J41" s="1913"/>
      <c r="K41" s="3462" t="str">
        <f t="shared" si="0"/>
        <v/>
      </c>
      <c r="L41" s="3463"/>
      <c r="M41" s="3463"/>
      <c r="N41" s="3464"/>
      <c r="O41" s="1340" t="str">
        <f>C46</f>
        <v>——</v>
      </c>
      <c r="P41" s="1911"/>
      <c r="V41" s="1911"/>
    </row>
    <row r="42" spans="1:26" ht="29.25">
      <c r="A42" s="3406" t="s">
        <v>2056</v>
      </c>
      <c r="B42" s="3407"/>
      <c r="C42" s="262">
        <f ca="1">C32</f>
        <v>48445</v>
      </c>
      <c r="D42" s="315">
        <f ca="1">C33</f>
        <v>1648</v>
      </c>
      <c r="E42" s="315">
        <f ca="1">C34</f>
        <v>5684</v>
      </c>
      <c r="F42" s="316">
        <f ca="1">C35</f>
        <v>379</v>
      </c>
      <c r="G42" s="309"/>
      <c r="H42" s="309"/>
      <c r="I42" s="317"/>
      <c r="J42" s="1913"/>
      <c r="K42" s="1224" t="s">
        <v>361</v>
      </c>
      <c r="L42" s="1930" t="s">
        <v>362</v>
      </c>
      <c r="M42" s="1225" t="s">
        <v>363</v>
      </c>
      <c r="N42" s="1931" t="s">
        <v>364</v>
      </c>
      <c r="O42" s="1932" t="s">
        <v>365</v>
      </c>
      <c r="P42" s="1911"/>
      <c r="V42" s="1911"/>
    </row>
    <row r="43" spans="1:26" ht="30">
      <c r="A43" s="3417" t="s">
        <v>2711</v>
      </c>
      <c r="B43" s="3418"/>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24728</v>
      </c>
      <c r="M43" s="1228">
        <f>C18</f>
        <v>0.4</v>
      </c>
      <c r="N43" s="1229">
        <f ca="1">IF(N42="测算结果/万元",G19,G20)</f>
        <v>48445</v>
      </c>
      <c r="O43" s="1230">
        <f ca="1">IF(O42="最终结果/万元",C32,C33)</f>
        <v>48445</v>
      </c>
      <c r="P43" s="1911"/>
      <c r="V43" s="1911"/>
    </row>
    <row r="44" spans="1:26" ht="30.75" thickBot="1">
      <c r="A44" s="3406" t="str">
        <f>IF(OR(项目基本情况!E8="抵押价格",项目基本情况!E8="已注销及未注销"),"3.抵押价格","——")</f>
        <v>——</v>
      </c>
      <c r="B44" s="3407"/>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64257</v>
      </c>
      <c r="M44" s="1233">
        <f>D18</f>
        <v>0.6</v>
      </c>
      <c r="N44" s="1234"/>
      <c r="O44" s="1235"/>
      <c r="P44" s="1911"/>
      <c r="V44" s="1911"/>
    </row>
    <row r="45" spans="1:26" ht="15">
      <c r="A45" s="3412" t="str">
        <f>IF(项目基本情况!E8="已注销及未注销","4.抵押担保权已注销时的抵押价格",IF(项目基本情况!E8="已注销","3.抵押担保权已注销时的抵押价格","——"))</f>
        <v>——</v>
      </c>
      <c r="B45" s="3413"/>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08" t="str">
        <f>IF(项目基本情况!E9="抵押净值",IF(A45="——","4.抵押净值","5.抵押净值"),"——")</f>
        <v>——</v>
      </c>
      <c r="B46" s="3409"/>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56" t="s">
        <v>374</v>
      </c>
      <c r="B63" s="3457"/>
      <c r="C63" s="3458"/>
      <c r="D63" s="339">
        <f ca="1">ROUND(C42*F63,0)</f>
        <v>48445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14" t="s">
        <v>378</v>
      </c>
      <c r="B64" s="3415"/>
      <c r="C64" s="3415"/>
      <c r="D64" s="3415"/>
      <c r="E64" s="3415"/>
      <c r="F64" s="3415"/>
      <c r="G64" s="3416"/>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10" t="s">
        <v>386</v>
      </c>
      <c r="B66" s="3411"/>
      <c r="C66" s="3411"/>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471" t="s">
        <v>385</v>
      </c>
      <c r="M66" s="3472"/>
      <c r="N66" s="2312"/>
      <c r="O66" s="2313"/>
      <c r="P66" s="2314"/>
      <c r="Q66" s="1911"/>
      <c r="R66" s="1911"/>
      <c r="S66" s="1911"/>
      <c r="T66" s="1911"/>
      <c r="U66" s="1911"/>
      <c r="V66" s="1911"/>
    </row>
    <row r="67" spans="1:22" ht="25.5" customHeight="1">
      <c r="A67" s="350" t="s">
        <v>389</v>
      </c>
      <c r="B67" s="3401" t="s">
        <v>390</v>
      </c>
      <c r="C67" s="3401"/>
      <c r="D67" s="351">
        <v>0</v>
      </c>
      <c r="E67" s="41" t="s">
        <v>391</v>
      </c>
      <c r="F67" s="62" t="s">
        <v>21</v>
      </c>
      <c r="G67" s="3459"/>
      <c r="H67" s="3006" t="s">
        <v>2963</v>
      </c>
      <c r="I67" s="3008"/>
      <c r="J67" s="1918"/>
      <c r="K67" s="1890">
        <v>2</v>
      </c>
      <c r="L67" s="3465" t="s">
        <v>388</v>
      </c>
      <c r="M67" s="3465"/>
      <c r="N67" s="1278">
        <f>'数据-取费表'!B2</f>
        <v>44277</v>
      </c>
      <c r="O67" s="1278"/>
      <c r="P67" s="1278"/>
      <c r="Q67" s="1911"/>
      <c r="R67" s="1911"/>
      <c r="S67" s="1911"/>
      <c r="T67" s="1911"/>
      <c r="U67" s="1911"/>
      <c r="V67" s="1911"/>
    </row>
    <row r="68" spans="1:22" ht="25.5" customHeight="1">
      <c r="A68" s="352"/>
      <c r="B68" s="3401" t="s">
        <v>393</v>
      </c>
      <c r="C68" s="3401"/>
      <c r="D68" s="353"/>
      <c r="E68" s="77"/>
      <c r="F68" s="354"/>
      <c r="G68" s="3460"/>
      <c r="H68" s="3007" t="s">
        <v>2964</v>
      </c>
      <c r="I68" s="3008"/>
      <c r="J68" s="1918"/>
      <c r="K68" s="1890">
        <v>3</v>
      </c>
      <c r="L68" s="3465" t="s">
        <v>392</v>
      </c>
      <c r="M68" s="3465"/>
      <c r="N68" s="1246">
        <f ca="1">C42</f>
        <v>48445</v>
      </c>
      <c r="O68" s="1246"/>
      <c r="P68" s="1246"/>
      <c r="Q68" s="1911"/>
      <c r="R68" s="1911"/>
      <c r="S68" s="1911"/>
      <c r="T68" s="1911"/>
      <c r="U68" s="1911"/>
      <c r="V68" s="1911"/>
    </row>
    <row r="69" spans="1:22" ht="23.45" customHeight="1">
      <c r="A69" s="355"/>
      <c r="B69" s="3401" t="s">
        <v>394</v>
      </c>
      <c r="C69" s="3401"/>
      <c r="D69" s="356"/>
      <c r="E69" s="73"/>
      <c r="F69" s="354"/>
      <c r="G69" s="3461"/>
      <c r="H69" s="3007" t="s">
        <v>2965</v>
      </c>
      <c r="I69" s="3008"/>
      <c r="J69" s="1918"/>
      <c r="K69" s="1247">
        <v>4</v>
      </c>
      <c r="L69" s="3475" t="s">
        <v>2863</v>
      </c>
      <c r="M69" s="3476"/>
      <c r="N69" s="1248" t="str">
        <f>C44</f>
        <v>——</v>
      </c>
      <c r="O69" s="1248"/>
      <c r="P69" s="1248"/>
      <c r="Q69" s="1911"/>
      <c r="R69" s="1911"/>
      <c r="S69" s="1911"/>
      <c r="T69" s="1911"/>
      <c r="U69" s="1911"/>
      <c r="V69" s="1911"/>
    </row>
    <row r="70" spans="1:22" ht="24" customHeight="1">
      <c r="A70" s="357" t="s">
        <v>395</v>
      </c>
      <c r="B70" s="3401" t="s">
        <v>396</v>
      </c>
      <c r="C70" s="3401"/>
      <c r="D70" s="356">
        <f ca="1">ROUND(D63*'数据-取费表'!B41/(1+'数据-取费表'!C42),0)</f>
        <v>2584</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02" t="s">
        <v>2995</v>
      </c>
      <c r="C71" s="3403"/>
      <c r="D71" s="356">
        <f ca="1">ROUND(D63*'数据-取费表'!B41/(1+'数据-取费表'!C42),0)</f>
        <v>2584</v>
      </c>
      <c r="E71" s="17" t="s">
        <v>397</v>
      </c>
      <c r="F71" s="358">
        <f>'数据-取费表'!B41</f>
        <v>5.6000000000000001E-2</v>
      </c>
      <c r="G71" s="359"/>
      <c r="H71" s="309"/>
      <c r="I71" s="1245"/>
      <c r="J71" s="1918"/>
      <c r="K71" s="2764" t="s">
        <v>398</v>
      </c>
      <c r="L71" s="3477" t="s">
        <v>399</v>
      </c>
      <c r="M71" s="3477"/>
      <c r="N71" s="2764" t="s">
        <v>400</v>
      </c>
      <c r="O71" s="2764" t="s">
        <v>401</v>
      </c>
      <c r="P71" s="2764" t="s">
        <v>402</v>
      </c>
      <c r="Q71" s="1911"/>
      <c r="R71" s="1911"/>
      <c r="S71" s="1911"/>
      <c r="T71" s="1911"/>
      <c r="U71" s="1911"/>
      <c r="V71" s="1911"/>
    </row>
    <row r="72" spans="1:22" ht="12" customHeight="1">
      <c r="A72" s="357" t="s">
        <v>405</v>
      </c>
      <c r="B72" s="3402" t="s">
        <v>2996</v>
      </c>
      <c r="C72" s="3403"/>
      <c r="D72" s="356">
        <f ca="1">C86</f>
        <v>2584</v>
      </c>
      <c r="E72" s="73" t="s">
        <v>406</v>
      </c>
      <c r="F72" s="358">
        <f>'数据-取费表'!B41</f>
        <v>5.6000000000000001E-2</v>
      </c>
      <c r="G72" s="359"/>
      <c r="H72" s="1251"/>
      <c r="I72" s="1245"/>
      <c r="J72" s="1918"/>
      <c r="K72" s="1890">
        <v>1</v>
      </c>
      <c r="L72" s="3452" t="s">
        <v>404</v>
      </c>
      <c r="M72" s="3452"/>
      <c r="N72" s="1249" t="b">
        <f>D66</f>
        <v>0</v>
      </c>
      <c r="O72" s="1773" t="str">
        <f>E66</f>
        <v>销售额×税（费）率</v>
      </c>
      <c r="P72" s="1250">
        <f>F66</f>
        <v>5.6000000000000001E-2</v>
      </c>
      <c r="Q72" s="1911"/>
      <c r="R72" s="1911"/>
      <c r="S72" s="1911"/>
      <c r="T72" s="1911"/>
      <c r="U72" s="1911"/>
      <c r="V72" s="1911"/>
    </row>
    <row r="73" spans="1:22" ht="24" customHeight="1">
      <c r="A73" s="3447" t="s">
        <v>408</v>
      </c>
      <c r="B73" s="3411"/>
      <c r="C73" s="3411"/>
      <c r="D73" s="360">
        <f ca="1">IF(H73="个人住宅",0,ROUND(D63*I73,0))</f>
        <v>24</v>
      </c>
      <c r="E73" s="17" t="s">
        <v>409</v>
      </c>
      <c r="F73" s="358" t="str">
        <f>IF(H73="正常",I73,"免征")</f>
        <v>免征</v>
      </c>
      <c r="G73" s="359"/>
      <c r="H73" s="189"/>
      <c r="I73" s="358">
        <f>'数据-取费表'!B49</f>
        <v>5.0000000000000001E-4</v>
      </c>
      <c r="J73" s="1918"/>
      <c r="K73" s="1890">
        <v>2</v>
      </c>
      <c r="L73" s="3452" t="s">
        <v>407</v>
      </c>
      <c r="M73" s="3452"/>
      <c r="N73" s="1249">
        <f t="shared" ref="N73:P74" ca="1" si="1">D73</f>
        <v>24</v>
      </c>
      <c r="O73" s="1773" t="str">
        <f t="shared" si="1"/>
        <v>销售额×税（费）率</v>
      </c>
      <c r="P73" s="1250" t="str">
        <f t="shared" si="1"/>
        <v>免征</v>
      </c>
      <c r="Q73" s="1911"/>
      <c r="R73" s="1911"/>
      <c r="S73" s="1911"/>
      <c r="T73" s="1911"/>
      <c r="U73" s="1911"/>
      <c r="V73" s="1911"/>
    </row>
    <row r="74" spans="1:22" ht="24.75">
      <c r="A74" s="3447" t="s">
        <v>411</v>
      </c>
      <c r="B74" s="3411"/>
      <c r="C74" s="3411"/>
      <c r="D74" s="360">
        <f ca="1">IF(H74="个人住宅",D75,D76)</f>
        <v>27420</v>
      </c>
      <c r="E74" s="17" t="s">
        <v>412</v>
      </c>
      <c r="F74" s="358" t="str">
        <f>IF(H74="正常",F76,"免征")</f>
        <v>免征</v>
      </c>
      <c r="G74" s="970" t="s">
        <v>413</v>
      </c>
      <c r="H74" s="361"/>
      <c r="I74" s="42"/>
      <c r="J74" s="1918"/>
      <c r="K74" s="1890">
        <v>3</v>
      </c>
      <c r="L74" s="3452" t="s">
        <v>410</v>
      </c>
      <c r="M74" s="3452"/>
      <c r="N74" s="1249">
        <f t="shared" ca="1" si="1"/>
        <v>27420</v>
      </c>
      <c r="O74" s="1773" t="str">
        <f t="shared" si="1"/>
        <v>增值额×税（费）率</v>
      </c>
      <c r="P74" s="1252" t="str">
        <f t="shared" si="1"/>
        <v>免征</v>
      </c>
      <c r="Q74" s="1911"/>
      <c r="R74" s="1911"/>
      <c r="S74" s="1911"/>
      <c r="T74" s="1911"/>
      <c r="U74" s="1911"/>
      <c r="V74" s="1911"/>
    </row>
    <row r="75" spans="1:22" ht="12.75">
      <c r="A75" s="357" t="s">
        <v>414</v>
      </c>
      <c r="B75" s="3399" t="s">
        <v>415</v>
      </c>
      <c r="C75" s="3435"/>
      <c r="D75" s="362">
        <v>0</v>
      </c>
      <c r="E75" s="41" t="s">
        <v>416</v>
      </c>
      <c r="F75" s="363"/>
      <c r="G75" s="359"/>
      <c r="H75" s="42"/>
      <c r="I75" s="42"/>
      <c r="J75" s="1918"/>
      <c r="K75" s="2758">
        <f>IF(H77="非个人房产","",4)</f>
        <v>4</v>
      </c>
      <c r="L75" s="3452" t="str">
        <f>IF(H77="非个人房产","——","个人所得税")</f>
        <v>个人所得税</v>
      </c>
      <c r="M75" s="3452"/>
      <c r="N75" s="1253">
        <f>D77</f>
        <v>0</v>
      </c>
      <c r="O75" s="1786" t="str">
        <f>E77</f>
        <v>差额计税</v>
      </c>
      <c r="P75" s="1254">
        <f>F77</f>
        <v>0.01</v>
      </c>
      <c r="Q75" s="1911"/>
      <c r="R75" s="1911"/>
      <c r="S75" s="1911"/>
      <c r="T75" s="1911"/>
      <c r="U75" s="1911"/>
      <c r="V75" s="1911"/>
    </row>
    <row r="76" spans="1:22" ht="24.75">
      <c r="A76" s="357" t="s">
        <v>395</v>
      </c>
      <c r="B76" s="3399" t="s">
        <v>418</v>
      </c>
      <c r="C76" s="3400"/>
      <c r="D76" s="360">
        <f ca="1">IF(H76="转让取得",C99,C115)</f>
        <v>27420</v>
      </c>
      <c r="E76" s="17" t="s">
        <v>419</v>
      </c>
      <c r="F76" s="53" t="s">
        <v>21</v>
      </c>
      <c r="G76" s="359"/>
      <c r="H76" s="361"/>
      <c r="I76" s="42"/>
      <c r="J76" s="1918"/>
      <c r="K76" s="2758" t="str">
        <f>IF(项目基本情况!K6="上海银行",IF(K75="",4,K75+1),"")</f>
        <v/>
      </c>
      <c r="L76" s="3467" t="str">
        <f>IF(项目基本情况!K6="上海银行","其他处置费用","")</f>
        <v/>
      </c>
      <c r="M76" s="3468"/>
      <c r="N76" s="1249" t="str">
        <f>IF(项目基本情况!K6="上海银行",N89,"")</f>
        <v/>
      </c>
      <c r="O76" s="3469" t="str">
        <f>IF(项目基本情况!K6="上海银行","包含处置中涉及的律师、诉讼、拍卖、评估等费用","")</f>
        <v/>
      </c>
      <c r="P76" s="3470"/>
      <c r="Q76" s="1911"/>
      <c r="R76" s="1911"/>
      <c r="S76" s="1911"/>
      <c r="T76" s="1911"/>
      <c r="U76" s="1911"/>
      <c r="V76" s="1911"/>
    </row>
    <row r="77" spans="1:22" ht="24.75" thickBot="1">
      <c r="A77" s="3454" t="s">
        <v>421</v>
      </c>
      <c r="B77" s="3455"/>
      <c r="C77" s="345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2966</v>
      </c>
      <c r="J77" s="1918"/>
      <c r="K77" s="3453">
        <f>IF(AND(K75="",K76=""),4,IF(项目基本情况!K6="上海银行",K76+1,K75+1))</f>
        <v>5</v>
      </c>
      <c r="L77" s="3452" t="s">
        <v>2864</v>
      </c>
      <c r="M77" s="2763" t="s">
        <v>417</v>
      </c>
      <c r="N77" s="1255"/>
      <c r="O77" s="1256">
        <f ca="1">SUMIF(N72:N76,"&lt;9e307")</f>
        <v>27444</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53"/>
      <c r="L78" s="3452"/>
      <c r="M78" s="2763" t="s">
        <v>420</v>
      </c>
      <c r="N78" s="1255"/>
      <c r="O78" s="1256" t="str">
        <f ca="1">NUMBERSTRING(INT(O77*10000),2)&amp;"元整"</f>
        <v>贰亿柒仟肆佰肆拾肆万元整</v>
      </c>
      <c r="P78" s="1257"/>
      <c r="Q78" s="1911"/>
      <c r="R78" s="1911"/>
      <c r="S78" s="1911"/>
      <c r="T78" s="1911"/>
      <c r="U78" s="1911"/>
      <c r="V78" s="1911"/>
    </row>
    <row r="79" spans="1:22" ht="13.5" thickBot="1">
      <c r="A79" s="3419" t="s">
        <v>422</v>
      </c>
      <c r="B79" s="3419"/>
      <c r="C79" s="3419"/>
      <c r="D79" s="3419"/>
      <c r="E79" s="3419"/>
      <c r="F79" s="42"/>
      <c r="G79" s="42"/>
      <c r="H79" s="990"/>
      <c r="I79" s="309"/>
      <c r="J79" s="1918"/>
      <c r="K79" s="3473">
        <f>K77+1</f>
        <v>6</v>
      </c>
      <c r="L79" s="3452" t="s">
        <v>2865</v>
      </c>
      <c r="M79" s="2763" t="s">
        <v>417</v>
      </c>
      <c r="N79" s="1255"/>
      <c r="O79" s="1256" t="e">
        <f ca="1">N69-O77</f>
        <v>#VALUE!</v>
      </c>
      <c r="P79" s="1257"/>
      <c r="Q79" s="1911"/>
      <c r="R79" s="1911"/>
      <c r="S79" s="1911"/>
      <c r="T79" s="1911"/>
      <c r="U79" s="1911"/>
      <c r="V79" s="1911"/>
    </row>
    <row r="80" spans="1:22" ht="12.75">
      <c r="A80" s="3420" t="s">
        <v>423</v>
      </c>
      <c r="B80" s="3421"/>
      <c r="C80" s="981"/>
      <c r="D80" s="981" t="s">
        <v>424</v>
      </c>
      <c r="E80" s="364" t="s">
        <v>425</v>
      </c>
      <c r="F80" s="42"/>
      <c r="G80" s="42"/>
      <c r="H80" s="990"/>
      <c r="I80" s="309"/>
      <c r="J80" s="1911"/>
      <c r="K80" s="3474"/>
      <c r="L80" s="3452"/>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46138</v>
      </c>
      <c r="D81" s="367"/>
      <c r="E81" s="368"/>
      <c r="F81" s="42"/>
      <c r="G81" s="42"/>
      <c r="H81" s="990"/>
      <c r="I81" s="309"/>
      <c r="J81" s="1911"/>
      <c r="K81" s="2758">
        <f>K79+1</f>
        <v>7</v>
      </c>
      <c r="L81" s="3450" t="s">
        <v>2866</v>
      </c>
      <c r="M81" s="3451"/>
      <c r="N81" s="1259"/>
      <c r="O81" s="1260" t="e">
        <f ca="1">ROUND(O79*10000/'数据-汇总表'!E3,0)</f>
        <v>#VALUE!</v>
      </c>
      <c r="P81" s="1261"/>
      <c r="Q81" s="1911"/>
      <c r="R81" s="1911"/>
      <c r="S81" s="1911"/>
      <c r="T81" s="1911"/>
      <c r="U81" s="1911"/>
      <c r="V81" s="1911"/>
    </row>
    <row r="82" spans="1:26" ht="13.5" thickTop="1">
      <c r="A82" s="369" t="s">
        <v>1815</v>
      </c>
      <c r="B82" s="370" t="s">
        <v>427</v>
      </c>
      <c r="C82" s="371">
        <f ca="1">D63</f>
        <v>48445</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66"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2904</v>
      </c>
      <c r="F84" s="42"/>
      <c r="G84" s="42"/>
      <c r="H84" s="990"/>
      <c r="I84" s="309"/>
      <c r="J84" s="1911"/>
      <c r="K84" s="3466"/>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46138</v>
      </c>
      <c r="D85" s="372" t="s">
        <v>19</v>
      </c>
      <c r="E85" s="373"/>
      <c r="F85" s="42"/>
      <c r="G85" s="42"/>
      <c r="H85" s="990"/>
      <c r="I85" s="309"/>
      <c r="J85" s="1911"/>
      <c r="K85" s="3466"/>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2584</v>
      </c>
      <c r="D86" s="383">
        <f>'数据-取费表'!B41</f>
        <v>5.6000000000000001E-2</v>
      </c>
      <c r="E86" s="384"/>
      <c r="F86" s="42"/>
      <c r="G86" s="42"/>
      <c r="H86" s="990"/>
      <c r="I86" s="309"/>
      <c r="J86" s="1911"/>
      <c r="K86" s="3466"/>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66"/>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45" t="s">
        <v>432</v>
      </c>
      <c r="B88" s="3446"/>
      <c r="C88" s="3446"/>
      <c r="D88" s="3446"/>
      <c r="E88" s="3446"/>
      <c r="F88" s="3446"/>
      <c r="G88" s="3446"/>
      <c r="H88" s="3446"/>
      <c r="I88" s="1268"/>
      <c r="J88" s="1919"/>
      <c r="K88" s="3466"/>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20" t="s">
        <v>423</v>
      </c>
      <c r="B89" s="3421"/>
      <c r="C89" s="981"/>
      <c r="D89" s="981" t="s">
        <v>424</v>
      </c>
      <c r="E89" s="385" t="s">
        <v>433</v>
      </c>
      <c r="F89" s="386"/>
      <c r="G89" s="386"/>
      <c r="H89" s="387"/>
      <c r="I89" s="1269"/>
      <c r="J89" s="1921"/>
      <c r="K89" s="3466"/>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46138</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277</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02" t="s">
        <v>441</v>
      </c>
      <c r="F94" s="3401"/>
      <c r="G94" s="3401"/>
      <c r="H94" s="3444"/>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277</v>
      </c>
      <c r="D96" s="400">
        <f>'数据-取费表'!B43</f>
        <v>6.000000000000001E-3</v>
      </c>
      <c r="E96" s="3436" t="s">
        <v>2413</v>
      </c>
      <c r="F96" s="3437"/>
      <c r="G96" s="3437"/>
      <c r="H96" s="3438"/>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45861</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165.56317689530687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27420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5" t="s">
        <v>448</v>
      </c>
      <c r="B101" s="3446"/>
      <c r="C101" s="3446"/>
      <c r="D101" s="3446"/>
      <c r="E101" s="3446"/>
      <c r="F101" s="3446"/>
      <c r="G101" s="3446"/>
      <c r="H101" s="3446"/>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20" t="s">
        <v>423</v>
      </c>
      <c r="B102" s="3421"/>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46138</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277</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2988</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396" t="s">
        <v>2958</v>
      </c>
      <c r="H108" s="3397"/>
      <c r="I108" s="2859"/>
      <c r="J108" s="1916"/>
      <c r="K108" s="3243" t="s">
        <v>2989</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9" t="s">
        <v>456</v>
      </c>
      <c r="F109" s="3437"/>
      <c r="G109" s="343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39" t="s">
        <v>458</v>
      </c>
      <c r="F110" s="3437"/>
      <c r="G110" s="3437"/>
      <c r="H110" s="3438"/>
      <c r="I110" s="11"/>
      <c r="J110" s="1916"/>
      <c r="K110" s="3244" t="s">
        <v>2990</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277</v>
      </c>
      <c r="D111" s="400">
        <f>'数据-取费表'!B43</f>
        <v>6.000000000000001E-3</v>
      </c>
      <c r="E111" s="3436" t="s">
        <v>2413</v>
      </c>
      <c r="F111" s="3437"/>
      <c r="G111" s="3437"/>
      <c r="H111" s="3438"/>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9" t="s">
        <v>2436</v>
      </c>
      <c r="F112" s="3437"/>
      <c r="G112" s="3437"/>
      <c r="H112" s="3438"/>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45861</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165.56317689530687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27420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67627</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2029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4410</v>
      </c>
      <c r="D16" s="445">
        <f ca="1">IF(B1="",'数据-汇总表'!E3,INDIRECT("'数据-取费表'!K"&amp;$K$1)+INDIRECT("'数据-取费表'!S"&amp;$K$1))</f>
        <v>294029.7</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1014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75080</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1126</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5669</v>
      </c>
      <c r="D21" s="461">
        <f ca="1">C23</f>
        <v>1.5E-3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5669</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1.5E-3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7621</v>
      </c>
      <c r="D24" s="483">
        <f ca="1">C26</f>
        <v>2E-3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7621</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2E-3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96941</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D17" sqref="D1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24728</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841</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2901</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193</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7" t="s">
        <v>516</v>
      </c>
      <c r="D6" s="3488"/>
      <c r="E6" s="3487" t="s">
        <v>517</v>
      </c>
      <c r="F6" s="3488"/>
      <c r="G6" s="3487" t="s">
        <v>518</v>
      </c>
      <c r="H6" s="3488"/>
      <c r="I6" s="3487" t="s">
        <v>519</v>
      </c>
      <c r="J6" s="3488"/>
      <c r="K6" s="508" t="s">
        <v>520</v>
      </c>
      <c r="L6" s="2015"/>
      <c r="M6" s="2014"/>
      <c r="N6" s="2014"/>
      <c r="O6" s="2016"/>
      <c r="P6" s="3489" t="s">
        <v>521</v>
      </c>
      <c r="Q6" s="3490"/>
      <c r="R6" s="3495" t="s">
        <v>517</v>
      </c>
      <c r="S6" s="3496"/>
      <c r="T6" s="3495" t="s">
        <v>518</v>
      </c>
      <c r="U6" s="3496"/>
      <c r="V6" s="3482" t="s">
        <v>519</v>
      </c>
      <c r="W6" s="3482"/>
      <c r="X6" s="1501"/>
      <c r="Y6" s="3495" t="s">
        <v>521</v>
      </c>
      <c r="Z6" s="3496"/>
      <c r="AA6" s="3484" t="s">
        <v>517</v>
      </c>
      <c r="AB6" s="3485" t="s">
        <v>518</v>
      </c>
      <c r="AC6" s="3484" t="s">
        <v>519</v>
      </c>
    </row>
    <row r="7" spans="1:30" ht="36.75" customHeight="1">
      <c r="A7" s="509"/>
      <c r="B7" s="510"/>
      <c r="C7" s="3503" t="s">
        <v>2893</v>
      </c>
      <c r="D7" s="3504"/>
      <c r="E7" s="3503" t="str">
        <f>Sheet1!A2</f>
        <v>海州区香海湖路北、为民路东</v>
      </c>
      <c r="F7" s="3504"/>
      <c r="G7" s="3503" t="str">
        <f>Sheet1!A3</f>
        <v>海州区郁洲南路东、梧桐路南</v>
      </c>
      <c r="H7" s="3504"/>
      <c r="I7" s="3503" t="str">
        <f>Sheet1!A4</f>
        <v>海州区郁洲南路西、支三路南、香海湖北</v>
      </c>
      <c r="J7" s="3504"/>
      <c r="K7" s="508"/>
      <c r="L7" s="2015"/>
      <c r="M7" s="2014"/>
      <c r="N7" s="2014"/>
      <c r="O7" s="2016"/>
      <c r="P7" s="3491"/>
      <c r="Q7" s="3492"/>
      <c r="R7" s="3497"/>
      <c r="S7" s="3498"/>
      <c r="T7" s="3497"/>
      <c r="U7" s="3498"/>
      <c r="V7" s="3482"/>
      <c r="W7" s="3482"/>
      <c r="X7" s="1501"/>
      <c r="Y7" s="3497"/>
      <c r="Z7" s="3498"/>
      <c r="AA7" s="3485"/>
      <c r="AB7" s="3485"/>
      <c r="AC7" s="3485"/>
    </row>
    <row r="8" spans="1:30" ht="21" thickBot="1">
      <c r="A8" s="509"/>
      <c r="B8" s="510"/>
      <c r="C8" s="3505" t="s">
        <v>2897</v>
      </c>
      <c r="D8" s="3506"/>
      <c r="E8" s="3505" t="s">
        <v>2897</v>
      </c>
      <c r="F8" s="3506"/>
      <c r="G8" s="3501" t="s">
        <v>2897</v>
      </c>
      <c r="H8" s="3502"/>
      <c r="I8" s="3501" t="s">
        <v>2897</v>
      </c>
      <c r="J8" s="3502"/>
      <c r="K8" s="508" t="s">
        <v>522</v>
      </c>
      <c r="L8" s="2015"/>
      <c r="M8" s="2014"/>
      <c r="N8" s="2014"/>
      <c r="O8" s="2016"/>
      <c r="P8" s="3493"/>
      <c r="Q8" s="3494"/>
      <c r="R8" s="3497"/>
      <c r="S8" s="3498"/>
      <c r="T8" s="3499"/>
      <c r="U8" s="3500"/>
      <c r="V8" s="3482"/>
      <c r="W8" s="3482"/>
      <c r="X8" s="1501"/>
      <c r="Y8" s="3499"/>
      <c r="Z8" s="3500"/>
      <c r="AA8" s="3486"/>
      <c r="AB8" s="3486"/>
      <c r="AC8" s="3486"/>
    </row>
    <row r="9" spans="1:30" s="1202" customFormat="1" ht="21" thickBot="1">
      <c r="A9" s="2629"/>
      <c r="B9" s="2636" t="s">
        <v>523</v>
      </c>
      <c r="C9" s="2628">
        <f>'数据-取费表'!B2</f>
        <v>44277</v>
      </c>
      <c r="D9" s="514">
        <v>100</v>
      </c>
      <c r="E9" s="515" t="str">
        <f>Sheet1!S2</f>
        <v>2020-09-11</v>
      </c>
      <c r="F9" s="516">
        <f>SUMIF(72:72,YEAR(E9)&amp;"-"&amp;INT((MONTH(E9)+2)/3),73:73)</f>
        <v>99.800000000000011</v>
      </c>
      <c r="G9" s="517" t="str">
        <f>Sheet1!R3</f>
        <v>2018-03-01</v>
      </c>
      <c r="H9" s="514">
        <f>SUMIF(72:72,YEAR(G9)&amp;"-"&amp;INT((MONTH(G9)+2)/3),73:73)</f>
        <v>98.800000000000068</v>
      </c>
      <c r="I9" s="517" t="str">
        <f>Sheet1!S4</f>
        <v>2018-03-01</v>
      </c>
      <c r="J9" s="514">
        <f>SUMIF(72:72,YEAR(I9)&amp;"-"&amp;INT((MONTH(I9)+2)/3),73:73)</f>
        <v>98.800000000000068</v>
      </c>
      <c r="K9" s="518"/>
      <c r="L9" s="2017"/>
      <c r="M9" s="2014"/>
      <c r="N9" s="2014"/>
      <c r="O9" s="2018"/>
      <c r="P9" s="3512" t="s">
        <v>524</v>
      </c>
      <c r="Q9" s="3514"/>
      <c r="R9" s="1502" t="s">
        <v>8</v>
      </c>
      <c r="S9" s="1503">
        <f t="shared" ref="S9:S17" si="0">F9</f>
        <v>99.800000000000011</v>
      </c>
      <c r="T9" s="1502" t="s">
        <v>8</v>
      </c>
      <c r="U9" s="1503">
        <f t="shared" ref="U9:U17" si="1">H9</f>
        <v>98.800000000000068</v>
      </c>
      <c r="V9" s="1502" t="s">
        <v>8</v>
      </c>
      <c r="W9" s="1503">
        <f t="shared" ref="W9:W17" si="2">J9</f>
        <v>98.800000000000068</v>
      </c>
      <c r="X9" s="1504"/>
      <c r="Y9" s="3512" t="s">
        <v>524</v>
      </c>
      <c r="Z9" s="3513"/>
      <c r="AA9" s="1505">
        <f>D9/F9</f>
        <v>1.002004008016032</v>
      </c>
      <c r="AB9" s="1505">
        <f>D9/H9</f>
        <v>1.0121457489878536</v>
      </c>
      <c r="AC9" s="1505">
        <f>D9/J9</f>
        <v>1.0121457489878536</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512" t="s">
        <v>527</v>
      </c>
      <c r="Q10" s="3513"/>
      <c r="R10" s="1502" t="s">
        <v>8</v>
      </c>
      <c r="S10" s="1503">
        <f t="shared" si="0"/>
        <v>100</v>
      </c>
      <c r="T10" s="1502" t="s">
        <v>8</v>
      </c>
      <c r="U10" s="1503">
        <f t="shared" si="1"/>
        <v>100</v>
      </c>
      <c r="V10" s="1502" t="s">
        <v>8</v>
      </c>
      <c r="W10" s="1503">
        <f t="shared" si="2"/>
        <v>100</v>
      </c>
      <c r="X10" s="1504"/>
      <c r="Y10" s="3512" t="s">
        <v>527</v>
      </c>
      <c r="Z10" s="3513"/>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81" t="s">
        <v>529</v>
      </c>
      <c r="Q11" s="1133" t="str">
        <f t="shared" ref="Q11:Q17" si="6">B11</f>
        <v>用途</v>
      </c>
      <c r="R11" s="1502" t="s">
        <v>8</v>
      </c>
      <c r="S11" s="1503">
        <f t="shared" si="0"/>
        <v>100</v>
      </c>
      <c r="T11" s="1502" t="s">
        <v>8</v>
      </c>
      <c r="U11" s="1503">
        <f t="shared" si="1"/>
        <v>100</v>
      </c>
      <c r="V11" s="1502" t="s">
        <v>8</v>
      </c>
      <c r="W11" s="1503">
        <f t="shared" si="2"/>
        <v>100</v>
      </c>
      <c r="X11" s="1504"/>
      <c r="Y11" s="3427"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108</v>
      </c>
      <c r="G12" s="524"/>
      <c r="H12" s="253">
        <f>ROUND(100/'数据-取费表'!G16,0)</f>
        <v>108</v>
      </c>
      <c r="I12" s="524"/>
      <c r="J12" s="253">
        <f>ROUND(100/'数据-取费表'!G16,0)</f>
        <v>108</v>
      </c>
      <c r="K12" s="525"/>
      <c r="L12" s="2020"/>
      <c r="M12" s="2014"/>
      <c r="N12" s="2014"/>
      <c r="O12" s="2021"/>
      <c r="P12" s="3481"/>
      <c r="Q12" s="1133" t="str">
        <f t="shared" si="6"/>
        <v>土地使用年限（年）</v>
      </c>
      <c r="R12" s="1502" t="s">
        <v>8</v>
      </c>
      <c r="S12" s="1503">
        <f t="shared" si="0"/>
        <v>108</v>
      </c>
      <c r="T12" s="1502" t="s">
        <v>8</v>
      </c>
      <c r="U12" s="1503">
        <f t="shared" si="1"/>
        <v>108</v>
      </c>
      <c r="V12" s="1502" t="s">
        <v>8</v>
      </c>
      <c r="W12" s="1503">
        <f t="shared" si="2"/>
        <v>108</v>
      </c>
      <c r="X12" s="1504"/>
      <c r="Y12" s="3427"/>
      <c r="Z12" s="1132" t="str">
        <f t="shared" si="7"/>
        <v>土地使用年限（年）</v>
      </c>
      <c r="AA12" s="1505">
        <f t="shared" si="3"/>
        <v>0.92592592592592593</v>
      </c>
      <c r="AB12" s="1505">
        <f t="shared" si="4"/>
        <v>0.92592592592592593</v>
      </c>
      <c r="AC12" s="1505">
        <f t="shared" si="5"/>
        <v>0.92592592592592593</v>
      </c>
    </row>
    <row r="13" spans="1:30" ht="20.25">
      <c r="A13" s="2633"/>
      <c r="B13" s="2637" t="s">
        <v>2739</v>
      </c>
      <c r="C13" s="528">
        <f>'数据-基础表'!B13</f>
        <v>3.45</v>
      </c>
      <c r="D13" s="253">
        <v>100</v>
      </c>
      <c r="E13" s="527">
        <v>1.5</v>
      </c>
      <c r="F13" s="253">
        <f>LOOKUP(E13,82:82,83:83)-LOOKUP(C13,82:82,83:83)+100</f>
        <v>104</v>
      </c>
      <c r="G13" s="528">
        <v>1.5</v>
      </c>
      <c r="H13" s="253">
        <f>LOOKUP(G13,82:82,83:83)-LOOKUP(C13,82:82,83:83)+100</f>
        <v>104</v>
      </c>
      <c r="I13" s="527">
        <v>1.5</v>
      </c>
      <c r="J13" s="253">
        <f>LOOKUP(I13,82:82,83:83)-LOOKUP(C13,82:82,83:83)+100</f>
        <v>104</v>
      </c>
      <c r="K13" s="529">
        <v>2</v>
      </c>
      <c r="L13" s="2022"/>
      <c r="M13" s="2014"/>
      <c r="N13" s="2014"/>
      <c r="O13" s="2023"/>
      <c r="P13" s="3481"/>
      <c r="Q13" s="1133" t="str">
        <f t="shared" si="6"/>
        <v>容积率</v>
      </c>
      <c r="R13" s="1502" t="s">
        <v>8</v>
      </c>
      <c r="S13" s="1503">
        <f t="shared" si="0"/>
        <v>104</v>
      </c>
      <c r="T13" s="1502" t="s">
        <v>8</v>
      </c>
      <c r="U13" s="1503">
        <f t="shared" si="1"/>
        <v>104</v>
      </c>
      <c r="V13" s="1502" t="s">
        <v>8</v>
      </c>
      <c r="W13" s="1503">
        <f t="shared" si="2"/>
        <v>104</v>
      </c>
      <c r="X13" s="1504"/>
      <c r="Y13" s="3427"/>
      <c r="Z13" s="1132" t="str">
        <f t="shared" si="7"/>
        <v>容积率</v>
      </c>
      <c r="AA13" s="1505">
        <f t="shared" si="3"/>
        <v>0.96153846153846156</v>
      </c>
      <c r="AB13" s="1505">
        <f t="shared" si="4"/>
        <v>0.96153846153846156</v>
      </c>
      <c r="AC13" s="1505">
        <f t="shared" si="5"/>
        <v>0.96153846153846156</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81"/>
      <c r="Q14" s="1133" t="str">
        <f t="shared" si="6"/>
        <v>配建</v>
      </c>
      <c r="R14" s="1502" t="s">
        <v>8</v>
      </c>
      <c r="S14" s="1503">
        <f t="shared" si="0"/>
        <v>100</v>
      </c>
      <c r="T14" s="1502" t="s">
        <v>8</v>
      </c>
      <c r="U14" s="1503">
        <f t="shared" si="1"/>
        <v>100</v>
      </c>
      <c r="V14" s="1502" t="s">
        <v>8</v>
      </c>
      <c r="W14" s="1503">
        <f t="shared" si="2"/>
        <v>100</v>
      </c>
      <c r="X14" s="1504"/>
      <c r="Y14" s="3427"/>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1"/>
      <c r="Q15" s="1133">
        <f t="shared" si="6"/>
        <v>111</v>
      </c>
      <c r="R15" s="1502" t="s">
        <v>8</v>
      </c>
      <c r="S15" s="1503">
        <f t="shared" si="0"/>
        <v>100</v>
      </c>
      <c r="T15" s="1502" t="s">
        <v>8</v>
      </c>
      <c r="U15" s="1503">
        <f t="shared" si="1"/>
        <v>100</v>
      </c>
      <c r="V15" s="1502" t="s">
        <v>8</v>
      </c>
      <c r="W15" s="1503">
        <f t="shared" si="2"/>
        <v>100</v>
      </c>
      <c r="X15" s="1504"/>
      <c r="Y15" s="3427"/>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1"/>
      <c r="Q16" s="1133">
        <f t="shared" si="6"/>
        <v>111</v>
      </c>
      <c r="R16" s="1502" t="s">
        <v>8</v>
      </c>
      <c r="S16" s="1503">
        <f t="shared" si="0"/>
        <v>100</v>
      </c>
      <c r="T16" s="1502" t="s">
        <v>8</v>
      </c>
      <c r="U16" s="1503">
        <f t="shared" si="1"/>
        <v>100</v>
      </c>
      <c r="V16" s="1502" t="s">
        <v>8</v>
      </c>
      <c r="W16" s="1503">
        <f t="shared" si="2"/>
        <v>100</v>
      </c>
      <c r="X16" s="1504"/>
      <c r="Y16" s="3427"/>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15" t="s">
        <v>534</v>
      </c>
      <c r="Q17" s="1506" t="str">
        <f t="shared" si="6"/>
        <v>居住社区成熟度</v>
      </c>
      <c r="R17" s="1507" t="s">
        <v>8</v>
      </c>
      <c r="S17" s="1508">
        <f t="shared" si="0"/>
        <v>100</v>
      </c>
      <c r="T17" s="1507" t="s">
        <v>8</v>
      </c>
      <c r="U17" s="1508">
        <f t="shared" si="1"/>
        <v>100</v>
      </c>
      <c r="V17" s="1507" t="s">
        <v>8</v>
      </c>
      <c r="W17" s="1508">
        <f t="shared" si="2"/>
        <v>100</v>
      </c>
      <c r="X17" s="1501"/>
      <c r="Y17" s="3515"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516"/>
      <c r="Q18" s="1506"/>
      <c r="R18" s="1507"/>
      <c r="S18" s="1508"/>
      <c r="T18" s="1507"/>
      <c r="U18" s="1508"/>
      <c r="V18" s="1507"/>
      <c r="W18" s="1508"/>
      <c r="X18" s="1501"/>
      <c r="Y18" s="3516"/>
      <c r="Z18" s="1509"/>
      <c r="AA18" s="1510">
        <v>1</v>
      </c>
      <c r="AB18" s="1510">
        <v>1</v>
      </c>
      <c r="AC18" s="1510">
        <v>1</v>
      </c>
    </row>
    <row r="19" spans="1:29" ht="85.5">
      <c r="A19" s="526"/>
      <c r="B19" s="554" t="s">
        <v>535</v>
      </c>
      <c r="C19" s="555" t="str">
        <f>估价对象房地状况!C16</f>
        <v>估价对象周边商业氛围成熟度一般，人流量一般，住宅底商为主，商业繁华度一般</v>
      </c>
      <c r="D19" s="557">
        <v>100</v>
      </c>
      <c r="E19" s="558"/>
      <c r="F19" s="553">
        <f>SUMIF(92:92,E20,93:93)-SUMIF(92:92,C20,93:93)+100</f>
        <v>100</v>
      </c>
      <c r="G19" s="556"/>
      <c r="H19" s="559">
        <f>SUMIF(92:92,G20,93:93)-SUMIF(92:92,C20,93:93)+100</f>
        <v>100</v>
      </c>
      <c r="I19" s="558"/>
      <c r="J19" s="559">
        <f>SUMIF(92:92,I20,93:93)-SUMIF(92:92,C20,93:93)+100</f>
        <v>100</v>
      </c>
      <c r="K19" s="529">
        <v>3</v>
      </c>
      <c r="L19" s="2024"/>
      <c r="M19" s="2014"/>
      <c r="N19" s="2014"/>
      <c r="O19" s="2023"/>
      <c r="P19" s="3516"/>
      <c r="Q19" s="1506" t="str">
        <f>B19</f>
        <v>商业繁华度</v>
      </c>
      <c r="R19" s="1507" t="s">
        <v>8</v>
      </c>
      <c r="S19" s="1508">
        <f>F19</f>
        <v>100</v>
      </c>
      <c r="T19" s="1507" t="s">
        <v>8</v>
      </c>
      <c r="U19" s="1508">
        <f>H19</f>
        <v>100</v>
      </c>
      <c r="V19" s="1507" t="s">
        <v>8</v>
      </c>
      <c r="W19" s="1508">
        <f>J19</f>
        <v>100</v>
      </c>
      <c r="X19" s="1501"/>
      <c r="Y19" s="3516"/>
      <c r="Z19" s="1509" t="str">
        <f>Q19</f>
        <v>商业繁华度</v>
      </c>
      <c r="AA19" s="1510">
        <f t="shared" si="3"/>
        <v>1</v>
      </c>
      <c r="AB19" s="1510">
        <f t="shared" si="4"/>
        <v>1</v>
      </c>
      <c r="AC19" s="1510">
        <f t="shared" si="5"/>
        <v>1</v>
      </c>
    </row>
    <row r="20" spans="1:29" ht="20.25">
      <c r="A20" s="526"/>
      <c r="B20" s="560"/>
      <c r="C20" s="561" t="s">
        <v>3022</v>
      </c>
      <c r="D20" s="557"/>
      <c r="E20" s="561" t="s">
        <v>3022</v>
      </c>
      <c r="F20" s="553"/>
      <c r="G20" s="561" t="s">
        <v>3022</v>
      </c>
      <c r="H20" s="549"/>
      <c r="I20" s="561" t="s">
        <v>3022</v>
      </c>
      <c r="J20" s="549"/>
      <c r="K20" s="525"/>
      <c r="L20" s="2024"/>
      <c r="M20" s="2014"/>
      <c r="N20" s="2014"/>
      <c r="O20" s="2023"/>
      <c r="P20" s="3516"/>
      <c r="Q20" s="1506"/>
      <c r="R20" s="1507"/>
      <c r="S20" s="1508"/>
      <c r="T20" s="1507"/>
      <c r="U20" s="1508"/>
      <c r="V20" s="1507"/>
      <c r="W20" s="1508"/>
      <c r="X20" s="1501"/>
      <c r="Y20" s="3516"/>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16"/>
      <c r="Q21" s="1506" t="str">
        <f>B21</f>
        <v>办公集聚程度</v>
      </c>
      <c r="R21" s="1507" t="s">
        <v>8</v>
      </c>
      <c r="S21" s="1508">
        <f>F21</f>
        <v>100</v>
      </c>
      <c r="T21" s="1507" t="s">
        <v>8</v>
      </c>
      <c r="U21" s="1508">
        <f>H21</f>
        <v>100</v>
      </c>
      <c r="V21" s="1507" t="s">
        <v>8</v>
      </c>
      <c r="W21" s="1508">
        <f>J21</f>
        <v>100</v>
      </c>
      <c r="X21" s="1501"/>
      <c r="Y21" s="3516"/>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16"/>
      <c r="Q22" s="1506"/>
      <c r="R22" s="1507"/>
      <c r="S22" s="1508"/>
      <c r="T22" s="1507"/>
      <c r="U22" s="1508"/>
      <c r="V22" s="1507"/>
      <c r="W22" s="1508"/>
      <c r="X22" s="1501"/>
      <c r="Y22" s="3516"/>
      <c r="Z22" s="1509"/>
      <c r="AA22" s="1510">
        <v>1</v>
      </c>
      <c r="AB22" s="1510">
        <v>1</v>
      </c>
      <c r="AC22" s="1510">
        <v>1</v>
      </c>
    </row>
    <row r="23" spans="1:29" ht="114">
      <c r="A23" s="526"/>
      <c r="B23" s="554" t="s">
        <v>537</v>
      </c>
      <c r="C23" s="567" t="str">
        <f>估价对象房地状况!C18</f>
        <v>估价对象周边道路状况一般、公共交通通达情况较差，有5、122路经过、停车便捷程度，综合评价交通便捷度一般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516"/>
      <c r="Q23" s="1506" t="str">
        <f>B23</f>
        <v>交通便捷度</v>
      </c>
      <c r="R23" s="1507" t="s">
        <v>8</v>
      </c>
      <c r="S23" s="1508">
        <f>F23</f>
        <v>100</v>
      </c>
      <c r="T23" s="1507" t="s">
        <v>8</v>
      </c>
      <c r="U23" s="1508">
        <f>H23</f>
        <v>100</v>
      </c>
      <c r="V23" s="1507" t="s">
        <v>8</v>
      </c>
      <c r="W23" s="1508">
        <f>J23</f>
        <v>100</v>
      </c>
      <c r="X23" s="1501"/>
      <c r="Y23" s="3516"/>
      <c r="Z23" s="1509" t="str">
        <f>Q23</f>
        <v>交通便捷度</v>
      </c>
      <c r="AA23" s="1510">
        <f t="shared" si="3"/>
        <v>1</v>
      </c>
      <c r="AB23" s="1510">
        <f t="shared" si="4"/>
        <v>1</v>
      </c>
      <c r="AC23" s="1510">
        <f t="shared" si="5"/>
        <v>1</v>
      </c>
    </row>
    <row r="24" spans="1:29" ht="20.25">
      <c r="A24" s="526"/>
      <c r="B24" s="572"/>
      <c r="C24" s="548" t="s">
        <v>3024</v>
      </c>
      <c r="D24" s="551"/>
      <c r="E24" s="548" t="s">
        <v>3024</v>
      </c>
      <c r="F24" s="549"/>
      <c r="G24" s="548" t="s">
        <v>3024</v>
      </c>
      <c r="H24" s="549"/>
      <c r="I24" s="548" t="s">
        <v>3024</v>
      </c>
      <c r="J24" s="549"/>
      <c r="K24" s="525"/>
      <c r="L24" s="2024"/>
      <c r="M24" s="2014"/>
      <c r="N24" s="2014"/>
      <c r="O24" s="2023"/>
      <c r="P24" s="3516"/>
      <c r="Q24" s="1506"/>
      <c r="R24" s="1507"/>
      <c r="S24" s="1508"/>
      <c r="T24" s="1507"/>
      <c r="U24" s="1508"/>
      <c r="V24" s="1507"/>
      <c r="W24" s="1508"/>
      <c r="X24" s="1501"/>
      <c r="Y24" s="351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16"/>
      <c r="Q25" s="1506" t="str">
        <f t="shared" ref="Q25:Q39" si="8">B25</f>
        <v>区域土地利用方向</v>
      </c>
      <c r="R25" s="1507" t="s">
        <v>8</v>
      </c>
      <c r="S25" s="1508">
        <f>F25</f>
        <v>100</v>
      </c>
      <c r="T25" s="1507" t="s">
        <v>8</v>
      </c>
      <c r="U25" s="1508">
        <f>H25</f>
        <v>100</v>
      </c>
      <c r="V25" s="1507" t="s">
        <v>8</v>
      </c>
      <c r="W25" s="1508">
        <f>J25</f>
        <v>100</v>
      </c>
      <c r="X25" s="1501"/>
      <c r="Y25" s="3516"/>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516"/>
      <c r="Q26" s="1506"/>
      <c r="R26" s="1507"/>
      <c r="S26" s="1508"/>
      <c r="T26" s="1507"/>
      <c r="U26" s="1508"/>
      <c r="V26" s="1507"/>
      <c r="W26" s="1508"/>
      <c r="X26" s="1501"/>
      <c r="Y26" s="3516"/>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024"/>
      <c r="M27" s="2014"/>
      <c r="N27" s="2014"/>
      <c r="O27" s="2023"/>
      <c r="P27" s="3516"/>
      <c r="Q27" s="1506" t="str">
        <f t="shared" si="8"/>
        <v>自然及人文环境状况</v>
      </c>
      <c r="R27" s="1507" t="s">
        <v>8</v>
      </c>
      <c r="S27" s="1508">
        <f>F27</f>
        <v>95</v>
      </c>
      <c r="T27" s="1507" t="s">
        <v>8</v>
      </c>
      <c r="U27" s="1508">
        <f>H27</f>
        <v>95</v>
      </c>
      <c r="V27" s="1507" t="s">
        <v>8</v>
      </c>
      <c r="W27" s="1508">
        <f>J27</f>
        <v>95</v>
      </c>
      <c r="X27" s="1501"/>
      <c r="Y27" s="3516"/>
      <c r="Z27" s="1509" t="str">
        <f>Q27</f>
        <v>自然及人文环境状况</v>
      </c>
      <c r="AA27" s="1510">
        <f t="shared" si="3"/>
        <v>1.0526315789473684</v>
      </c>
      <c r="AB27" s="1510">
        <f t="shared" si="4"/>
        <v>1.0526315789473684</v>
      </c>
      <c r="AC27" s="1510">
        <f t="shared" si="5"/>
        <v>1.0526315789473684</v>
      </c>
    </row>
    <row r="28" spans="1:29" ht="20.25">
      <c r="A28" s="509"/>
      <c r="B28" s="560"/>
      <c r="C28" s="548" t="s">
        <v>3023</v>
      </c>
      <c r="D28" s="551"/>
      <c r="E28" s="570" t="s">
        <v>3022</v>
      </c>
      <c r="F28" s="549"/>
      <c r="G28" s="570" t="s">
        <v>3022</v>
      </c>
      <c r="H28" s="549"/>
      <c r="I28" s="570" t="s">
        <v>3022</v>
      </c>
      <c r="J28" s="549"/>
      <c r="K28" s="525"/>
      <c r="L28" s="2024"/>
      <c r="M28" s="2014"/>
      <c r="N28" s="2014"/>
      <c r="O28" s="2023"/>
      <c r="P28" s="3516"/>
      <c r="Q28" s="1506"/>
      <c r="R28" s="1507"/>
      <c r="S28" s="1508"/>
      <c r="T28" s="1507"/>
      <c r="U28" s="1508"/>
      <c r="V28" s="1507"/>
      <c r="W28" s="1508"/>
      <c r="X28" s="1501"/>
      <c r="Y28" s="3516"/>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16"/>
      <c r="Q29" s="1133" t="str">
        <f t="shared" si="8"/>
        <v>公共配套设施</v>
      </c>
      <c r="R29" s="1502" t="s">
        <v>8</v>
      </c>
      <c r="S29" s="1503">
        <f>F29</f>
        <v>100</v>
      </c>
      <c r="T29" s="1502" t="s">
        <v>8</v>
      </c>
      <c r="U29" s="1503">
        <f>H29</f>
        <v>100</v>
      </c>
      <c r="V29" s="1502" t="s">
        <v>8</v>
      </c>
      <c r="W29" s="1503">
        <f>J29</f>
        <v>100</v>
      </c>
      <c r="X29" s="1504"/>
      <c r="Y29" s="3516"/>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516"/>
      <c r="Q30" s="1133"/>
      <c r="R30" s="1502"/>
      <c r="S30" s="1503"/>
      <c r="T30" s="1502"/>
      <c r="U30" s="1503"/>
      <c r="V30" s="1502"/>
      <c r="W30" s="1503"/>
      <c r="X30" s="1504"/>
      <c r="Y30" s="3516"/>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16"/>
      <c r="Q31" s="2428" t="str">
        <f t="shared" ref="Q31" si="9">B31</f>
        <v>基础设施水平</v>
      </c>
      <c r="R31" s="1502" t="s">
        <v>8</v>
      </c>
      <c r="S31" s="1503">
        <f>F31</f>
        <v>100</v>
      </c>
      <c r="T31" s="1502" t="s">
        <v>8</v>
      </c>
      <c r="U31" s="1503">
        <f>H31</f>
        <v>100</v>
      </c>
      <c r="V31" s="1502" t="s">
        <v>8</v>
      </c>
      <c r="W31" s="1503">
        <f>J31</f>
        <v>100</v>
      </c>
      <c r="X31" s="1504"/>
      <c r="Y31" s="3516"/>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516"/>
      <c r="Q32" s="2428"/>
      <c r="R32" s="1502"/>
      <c r="S32" s="1503"/>
      <c r="T32" s="1502"/>
      <c r="U32" s="1503"/>
      <c r="V32" s="1502"/>
      <c r="W32" s="1503"/>
      <c r="X32" s="1504"/>
      <c r="Y32" s="3516"/>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1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1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16"/>
      <c r="Q34" s="1506" t="str">
        <f t="shared" si="8"/>
        <v>毗邻道路的类型与等级</v>
      </c>
      <c r="R34" s="1507" t="s">
        <v>8</v>
      </c>
      <c r="S34" s="1508">
        <f t="shared" si="10"/>
        <v>100</v>
      </c>
      <c r="T34" s="1507" t="s">
        <v>8</v>
      </c>
      <c r="U34" s="1508">
        <f t="shared" si="11"/>
        <v>100</v>
      </c>
      <c r="V34" s="1507" t="s">
        <v>8</v>
      </c>
      <c r="W34" s="1508">
        <f t="shared" si="12"/>
        <v>100</v>
      </c>
      <c r="X34" s="1501"/>
      <c r="Y34" s="351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16"/>
      <c r="Q35" s="1506"/>
      <c r="R35" s="1507"/>
      <c r="S35" s="1508"/>
      <c r="T35" s="1507"/>
      <c r="U35" s="1508"/>
      <c r="V35" s="1507"/>
      <c r="W35" s="1508"/>
      <c r="X35" s="1501"/>
      <c r="Y35" s="3516"/>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16"/>
      <c r="Q36" s="1506" t="str">
        <f t="shared" si="8"/>
        <v>土地级别</v>
      </c>
      <c r="R36" s="1507" t="s">
        <v>8</v>
      </c>
      <c r="S36" s="1508">
        <f t="shared" si="10"/>
        <v>100</v>
      </c>
      <c r="T36" s="1507" t="s">
        <v>8</v>
      </c>
      <c r="U36" s="1508">
        <f t="shared" si="11"/>
        <v>100</v>
      </c>
      <c r="V36" s="1507" t="s">
        <v>8</v>
      </c>
      <c r="W36" s="1508">
        <f t="shared" si="12"/>
        <v>100</v>
      </c>
      <c r="X36" s="1501"/>
      <c r="Y36" s="3516"/>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16"/>
      <c r="Q37" s="1506">
        <f t="shared" si="8"/>
        <v>111</v>
      </c>
      <c r="R37" s="1507" t="s">
        <v>8</v>
      </c>
      <c r="S37" s="1508">
        <f t="shared" si="10"/>
        <v>100</v>
      </c>
      <c r="T37" s="1507" t="s">
        <v>8</v>
      </c>
      <c r="U37" s="1508">
        <f t="shared" si="11"/>
        <v>100</v>
      </c>
      <c r="V37" s="1507" t="s">
        <v>8</v>
      </c>
      <c r="W37" s="1508">
        <f t="shared" si="12"/>
        <v>100</v>
      </c>
      <c r="X37" s="1501"/>
      <c r="Y37" s="351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7" t="s">
        <v>544</v>
      </c>
      <c r="Q38" s="1506">
        <f t="shared" si="8"/>
        <v>111</v>
      </c>
      <c r="R38" s="1507" t="s">
        <v>8</v>
      </c>
      <c r="S38" s="1508">
        <f t="shared" si="10"/>
        <v>100</v>
      </c>
      <c r="T38" s="1507" t="s">
        <v>8</v>
      </c>
      <c r="U38" s="1508">
        <f t="shared" si="11"/>
        <v>100</v>
      </c>
      <c r="V38" s="1507" t="s">
        <v>8</v>
      </c>
      <c r="W38" s="1508">
        <f t="shared" si="12"/>
        <v>100</v>
      </c>
      <c r="X38" s="1501"/>
      <c r="Y38" s="3518"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18"/>
      <c r="Q39" s="1506">
        <f t="shared" si="8"/>
        <v>111</v>
      </c>
      <c r="R39" s="1511" t="s">
        <v>8</v>
      </c>
      <c r="S39" s="1512">
        <f t="shared" si="10"/>
        <v>100</v>
      </c>
      <c r="T39" s="1511" t="s">
        <v>8</v>
      </c>
      <c r="U39" s="1512">
        <f t="shared" si="11"/>
        <v>100</v>
      </c>
      <c r="V39" s="1511" t="s">
        <v>8</v>
      </c>
      <c r="W39" s="1512">
        <f t="shared" si="12"/>
        <v>100</v>
      </c>
      <c r="X39" s="1513"/>
      <c r="Y39" s="3518"/>
      <c r="Z39" s="1514">
        <f t="shared" si="13"/>
        <v>111</v>
      </c>
      <c r="AA39" s="1510">
        <f t="shared" si="3"/>
        <v>1</v>
      </c>
      <c r="AB39" s="1510">
        <f t="shared" si="4"/>
        <v>1</v>
      </c>
      <c r="AC39" s="1510">
        <f t="shared" si="5"/>
        <v>1</v>
      </c>
    </row>
    <row r="40" spans="1:29" ht="20.25">
      <c r="A40" s="2624" t="s">
        <v>2736</v>
      </c>
      <c r="B40" s="589" t="s">
        <v>546</v>
      </c>
      <c r="C40" s="590">
        <f>'数据-基础表'!A3</f>
        <v>85225.54</v>
      </c>
      <c r="D40" s="591">
        <v>100</v>
      </c>
      <c r="E40" s="590">
        <f>Sheet1!J2</f>
        <v>43392</v>
      </c>
      <c r="F40" s="591">
        <f>LOOKUP(E40,119:119,120:120)-LOOKUP(C40,119:119,120:120)+100</f>
        <v>97</v>
      </c>
      <c r="G40" s="590">
        <f>Sheet1!J3</f>
        <v>22989</v>
      </c>
      <c r="H40" s="591">
        <f>LOOKUP(G40,119:119,120:120)-LOOKUP(C40,119:119,120:120)+100</f>
        <v>94</v>
      </c>
      <c r="I40" s="592">
        <f>Sheet1!J4</f>
        <v>26568</v>
      </c>
      <c r="J40" s="591">
        <f>LOOKUP(I40,119:119,120:120)-LOOKUP(C40,119:119,120:120)+100</f>
        <v>94</v>
      </c>
      <c r="K40" s="575"/>
      <c r="L40" s="2024"/>
      <c r="M40" s="2014"/>
      <c r="N40" s="2014"/>
      <c r="O40" s="2023"/>
      <c r="P40" s="3518"/>
      <c r="Q40" s="1506" t="str">
        <f>B40</f>
        <v>宗地面积</v>
      </c>
      <c r="R40" s="1507" t="s">
        <v>8</v>
      </c>
      <c r="S40" s="1508">
        <f t="shared" si="10"/>
        <v>97</v>
      </c>
      <c r="T40" s="1507" t="s">
        <v>8</v>
      </c>
      <c r="U40" s="1508">
        <f t="shared" si="11"/>
        <v>94</v>
      </c>
      <c r="V40" s="1507" t="s">
        <v>8</v>
      </c>
      <c r="W40" s="1508">
        <f t="shared" si="12"/>
        <v>94</v>
      </c>
      <c r="X40" s="1501"/>
      <c r="Y40" s="3518"/>
      <c r="Z40" s="1509" t="str">
        <f t="shared" si="13"/>
        <v>宗地面积</v>
      </c>
      <c r="AA40" s="1510">
        <f t="shared" si="3"/>
        <v>1.0309278350515463</v>
      </c>
      <c r="AB40" s="1510">
        <f t="shared" si="4"/>
        <v>1.0638297872340425</v>
      </c>
      <c r="AC40" s="1510">
        <f t="shared" si="5"/>
        <v>1.0638297872340425</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18"/>
      <c r="Q41" s="1506" t="str">
        <f t="shared" ref="Q41:Q47" si="14">B41</f>
        <v>宗地形状</v>
      </c>
      <c r="R41" s="1507" t="s">
        <v>8</v>
      </c>
      <c r="S41" s="1508">
        <f t="shared" si="10"/>
        <v>100</v>
      </c>
      <c r="T41" s="1507" t="s">
        <v>8</v>
      </c>
      <c r="U41" s="1508">
        <f t="shared" si="11"/>
        <v>100</v>
      </c>
      <c r="V41" s="1507" t="s">
        <v>8</v>
      </c>
      <c r="W41" s="1508">
        <f t="shared" si="12"/>
        <v>100</v>
      </c>
      <c r="X41" s="1501"/>
      <c r="Y41" s="351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18"/>
      <c r="Q42" s="1506" t="str">
        <f t="shared" si="14"/>
        <v>临街宽度及深度</v>
      </c>
      <c r="R42" s="1507" t="s">
        <v>8</v>
      </c>
      <c r="S42" s="1508">
        <f t="shared" si="10"/>
        <v>100</v>
      </c>
      <c r="T42" s="1507" t="s">
        <v>8</v>
      </c>
      <c r="U42" s="1508">
        <f t="shared" si="11"/>
        <v>100</v>
      </c>
      <c r="V42" s="1507" t="s">
        <v>8</v>
      </c>
      <c r="W42" s="1508">
        <f t="shared" si="12"/>
        <v>100</v>
      </c>
      <c r="X42" s="1501"/>
      <c r="Y42" s="3518"/>
      <c r="Z42" s="1509" t="str">
        <f t="shared" si="13"/>
        <v>临街宽度及深度</v>
      </c>
      <c r="AA42" s="1510">
        <f t="shared" si="3"/>
        <v>1</v>
      </c>
      <c r="AB42" s="1510">
        <f t="shared" si="4"/>
        <v>1</v>
      </c>
      <c r="AC42" s="1510">
        <f t="shared" si="5"/>
        <v>1</v>
      </c>
    </row>
    <row r="43" spans="1:29" s="1202" customFormat="1" ht="20.25">
      <c r="A43" s="594"/>
      <c r="B43" s="1809" t="s">
        <v>2409</v>
      </c>
      <c r="C43" s="595" t="s">
        <v>3155</v>
      </c>
      <c r="D43" s="253">
        <v>100</v>
      </c>
      <c r="E43" s="595" t="s">
        <v>3155</v>
      </c>
      <c r="F43" s="534">
        <f>SUMIF(125:125,E43,126:126)-SUMIF(125:125,C43,126:126)+100</f>
        <v>100</v>
      </c>
      <c r="G43" s="595" t="s">
        <v>3155</v>
      </c>
      <c r="H43" s="534">
        <f>SUMIF(125:125,G43,126:126)-SUMIF(125:125,C43,126:126)+100</f>
        <v>100</v>
      </c>
      <c r="I43" s="595" t="s">
        <v>3155</v>
      </c>
      <c r="J43" s="534">
        <f>SUMIF(125:125,I43,126:126)-SUMIF(125:125,C43,126:126)+100</f>
        <v>100</v>
      </c>
      <c r="K43" s="578">
        <v>1</v>
      </c>
      <c r="L43" s="2017"/>
      <c r="M43" s="2014"/>
      <c r="N43" s="2014"/>
      <c r="O43" s="2019"/>
      <c r="P43" s="3518"/>
      <c r="Q43" s="1506" t="str">
        <f t="shared" si="14"/>
        <v>宗地开发程度</v>
      </c>
      <c r="R43" s="1502" t="s">
        <v>8</v>
      </c>
      <c r="S43" s="1503">
        <f t="shared" si="10"/>
        <v>100</v>
      </c>
      <c r="T43" s="1502" t="s">
        <v>8</v>
      </c>
      <c r="U43" s="1503">
        <f t="shared" si="11"/>
        <v>100</v>
      </c>
      <c r="V43" s="1502" t="s">
        <v>8</v>
      </c>
      <c r="W43" s="1503">
        <f t="shared" si="12"/>
        <v>100</v>
      </c>
      <c r="X43" s="1504"/>
      <c r="Y43" s="3518"/>
      <c r="Z43" s="1132" t="str">
        <f t="shared" si="13"/>
        <v>宗地开发程度</v>
      </c>
      <c r="AA43" s="1505">
        <f t="shared" si="3"/>
        <v>1</v>
      </c>
      <c r="AB43" s="1505">
        <f t="shared" si="4"/>
        <v>1</v>
      </c>
      <c r="AC43" s="1505">
        <f t="shared" si="5"/>
        <v>1</v>
      </c>
    </row>
    <row r="44" spans="1:29" ht="20.25">
      <c r="A44" s="588"/>
      <c r="B44" s="521" t="s">
        <v>549</v>
      </c>
      <c r="C44" s="593" t="s">
        <v>3023</v>
      </c>
      <c r="D44" s="534">
        <v>100</v>
      </c>
      <c r="E44" s="593" t="s">
        <v>3023</v>
      </c>
      <c r="F44" s="534">
        <f>SUMIF(127:127,E44,128:128)-SUMIF(127:127,C44,128:128)+100</f>
        <v>100</v>
      </c>
      <c r="G44" s="593" t="s">
        <v>3023</v>
      </c>
      <c r="H44" s="534">
        <f>SUMIF(127:127,G44,128:128)-SUMIF(127:127,C44,128:128)+100</f>
        <v>100</v>
      </c>
      <c r="I44" s="593" t="s">
        <v>3023</v>
      </c>
      <c r="J44" s="534">
        <f>SUMIF(127:127,I44,128:128)-SUMIF(127:127,C44,128:128)+100</f>
        <v>100</v>
      </c>
      <c r="K44" s="578">
        <v>2</v>
      </c>
      <c r="L44" s="2024"/>
      <c r="M44" s="2014"/>
      <c r="N44" s="2014"/>
      <c r="O44" s="2023"/>
      <c r="P44" s="3518" t="s">
        <v>544</v>
      </c>
      <c r="Q44" s="1506" t="str">
        <f t="shared" si="14"/>
        <v>工程地质条件</v>
      </c>
      <c r="R44" s="1507" t="s">
        <v>8</v>
      </c>
      <c r="S44" s="1508">
        <f t="shared" si="10"/>
        <v>100</v>
      </c>
      <c r="T44" s="1507" t="s">
        <v>8</v>
      </c>
      <c r="U44" s="1508">
        <f t="shared" si="11"/>
        <v>100</v>
      </c>
      <c r="V44" s="1507" t="s">
        <v>8</v>
      </c>
      <c r="W44" s="1508">
        <f t="shared" si="12"/>
        <v>100</v>
      </c>
      <c r="X44" s="1501"/>
      <c r="Y44" s="351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18"/>
      <c r="Q45" s="1506">
        <f t="shared" si="14"/>
        <v>111</v>
      </c>
      <c r="R45" s="1507" t="s">
        <v>8</v>
      </c>
      <c r="S45" s="1508">
        <f t="shared" si="10"/>
        <v>100</v>
      </c>
      <c r="T45" s="1507" t="s">
        <v>8</v>
      </c>
      <c r="U45" s="1508">
        <f t="shared" si="11"/>
        <v>100</v>
      </c>
      <c r="V45" s="1507" t="s">
        <v>8</v>
      </c>
      <c r="W45" s="1508">
        <f t="shared" si="12"/>
        <v>100</v>
      </c>
      <c r="X45" s="1501"/>
      <c r="Y45" s="351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18"/>
      <c r="Q46" s="1506">
        <f t="shared" si="14"/>
        <v>111</v>
      </c>
      <c r="R46" s="1507" t="s">
        <v>8</v>
      </c>
      <c r="S46" s="1508">
        <f t="shared" si="10"/>
        <v>100</v>
      </c>
      <c r="T46" s="1507" t="s">
        <v>8</v>
      </c>
      <c r="U46" s="1508">
        <f t="shared" si="11"/>
        <v>100</v>
      </c>
      <c r="V46" s="1507" t="s">
        <v>8</v>
      </c>
      <c r="W46" s="1508">
        <f t="shared" si="12"/>
        <v>100</v>
      </c>
      <c r="X46" s="1501"/>
      <c r="Y46" s="3518"/>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18"/>
      <c r="Q47" s="1506">
        <f t="shared" si="14"/>
        <v>111</v>
      </c>
      <c r="R47" s="1511" t="s">
        <v>8</v>
      </c>
      <c r="S47" s="1512">
        <f t="shared" si="10"/>
        <v>100</v>
      </c>
      <c r="T47" s="1511" t="s">
        <v>8</v>
      </c>
      <c r="U47" s="1512">
        <f t="shared" si="11"/>
        <v>100</v>
      </c>
      <c r="V47" s="1511" t="s">
        <v>8</v>
      </c>
      <c r="W47" s="1512">
        <f t="shared" si="12"/>
        <v>100</v>
      </c>
      <c r="X47" s="1513"/>
      <c r="Y47" s="3518"/>
      <c r="Z47" s="1514">
        <f t="shared" si="13"/>
        <v>111</v>
      </c>
      <c r="AA47" s="1510">
        <f t="shared" si="3"/>
        <v>1</v>
      </c>
      <c r="AB47" s="1510">
        <f t="shared" si="4"/>
        <v>1</v>
      </c>
      <c r="AC47" s="1510">
        <f t="shared" si="5"/>
        <v>1</v>
      </c>
    </row>
    <row r="48" spans="1:29" ht="20.25">
      <c r="A48" s="601" t="s">
        <v>550</v>
      </c>
      <c r="B48" s="602" t="s">
        <v>3152</v>
      </c>
      <c r="C48" s="603" t="s">
        <v>1</v>
      </c>
      <c r="D48" s="604"/>
      <c r="E48" s="605">
        <f>ROUND(Sheet1!AC2,0)</f>
        <v>851</v>
      </c>
      <c r="F48" s="606"/>
      <c r="G48" s="607">
        <f>ROUND(Sheet1!AC3,0)</f>
        <v>841</v>
      </c>
      <c r="H48" s="608"/>
      <c r="I48" s="605">
        <f>ROUND(Sheet1!AC4,0)</f>
        <v>843</v>
      </c>
      <c r="J48" s="608"/>
      <c r="K48" s="1293"/>
      <c r="L48" s="2026"/>
      <c r="M48" s="2014"/>
      <c r="N48" s="2014"/>
      <c r="O48" s="2027"/>
      <c r="P48" s="3481" t="str">
        <f>A48</f>
        <v>成交单价</v>
      </c>
      <c r="Q48" s="3481"/>
      <c r="R48" s="3482">
        <f>E48</f>
        <v>851</v>
      </c>
      <c r="S48" s="3482"/>
      <c r="T48" s="3482">
        <f>G48</f>
        <v>841</v>
      </c>
      <c r="U48" s="3482"/>
      <c r="V48" s="3482">
        <f>I48</f>
        <v>843</v>
      </c>
      <c r="W48" s="3482"/>
      <c r="X48" s="1496"/>
      <c r="Y48" s="1515"/>
      <c r="Z48" s="1496"/>
      <c r="AA48" s="1496"/>
      <c r="AB48" s="1496"/>
      <c r="AC48" s="1496"/>
    </row>
    <row r="49" spans="1:29" ht="21" thickBot="1">
      <c r="A49" s="609" t="s">
        <v>2674</v>
      </c>
      <c r="B49" s="610"/>
      <c r="C49" s="611">
        <f>R50</f>
        <v>841</v>
      </c>
      <c r="D49" s="3014" t="s">
        <v>2967</v>
      </c>
      <c r="E49" s="611">
        <f>R49</f>
        <v>824</v>
      </c>
      <c r="F49" s="3015"/>
      <c r="G49" s="612">
        <f>T49</f>
        <v>849</v>
      </c>
      <c r="H49" s="3015"/>
      <c r="I49" s="611">
        <f>V49</f>
        <v>851</v>
      </c>
      <c r="J49" s="3015"/>
      <c r="K49" s="3016">
        <f>F49+H49+J49</f>
        <v>0</v>
      </c>
      <c r="L49" s="2026"/>
      <c r="M49" s="2014"/>
      <c r="N49" s="2014"/>
      <c r="O49" s="2027"/>
      <c r="P49" s="3481" t="str">
        <f>A49</f>
        <v>比较价格（元/平方米）</v>
      </c>
      <c r="Q49" s="3481"/>
      <c r="R49" s="3483">
        <f>ROUND(PRODUCT(R48,AA9:AA47),0)</f>
        <v>824</v>
      </c>
      <c r="S49" s="3483"/>
      <c r="T49" s="3483">
        <f>ROUND(PRODUCT(T48,AB9:AB47),0)</f>
        <v>849</v>
      </c>
      <c r="U49" s="3483"/>
      <c r="V49" s="3483">
        <f>ROUND(PRODUCT(V48,AC9:AC47),0)</f>
        <v>851</v>
      </c>
      <c r="W49" s="3483"/>
      <c r="X49" s="1496"/>
      <c r="Y49" s="1496"/>
      <c r="Z49" s="1496"/>
      <c r="AA49" s="1496"/>
      <c r="AB49" s="1496"/>
      <c r="AC49" s="1496"/>
    </row>
    <row r="50" spans="1:29" ht="21" thickBot="1">
      <c r="A50" s="613" t="s">
        <v>2899</v>
      </c>
      <c r="B50" s="614"/>
      <c r="C50" s="615">
        <f>R50</f>
        <v>841</v>
      </c>
      <c r="D50" s="615"/>
      <c r="E50" s="615"/>
      <c r="F50" s="615"/>
      <c r="G50" s="615"/>
      <c r="H50" s="615"/>
      <c r="I50" s="615"/>
      <c r="J50" s="615"/>
      <c r="K50" s="1294"/>
      <c r="L50" s="2026"/>
      <c r="M50" s="2014"/>
      <c r="N50" s="2014"/>
      <c r="O50" s="2027"/>
      <c r="P50" s="3478" t="str">
        <f>A50</f>
        <v>估价对象XX用房的比较价格（楼面单价，元/平方米）</v>
      </c>
      <c r="Q50" s="3479"/>
      <c r="R50" s="3480">
        <f>ROUND(IF(D49="简单平均",AVERAGE(R49:W49),R49*F49+T49*H49+V49*J49),0)</f>
        <v>841</v>
      </c>
      <c r="S50" s="3480"/>
      <c r="T50" s="3480"/>
      <c r="U50" s="3480"/>
      <c r="V50" s="3480"/>
      <c r="W50" s="3480"/>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3.2766990291262177E-2</v>
      </c>
      <c r="F53" s="619" t="str">
        <f>IF(OR(E53&gt;=0.3,E53&lt;=-0.3),"超过30%","")</f>
        <v/>
      </c>
      <c r="G53" s="618">
        <f>IF(G48&lt;G49,G49/G48-1,G48/G49-1)</f>
        <v>9.5124851367420771E-3</v>
      </c>
      <c r="H53" s="619" t="str">
        <f>IF(OR(G53&gt;=0.3,G53&lt;=-0.3),"超过30%","")</f>
        <v/>
      </c>
      <c r="I53" s="618">
        <f>IF(I48&lt;I49,I49/I48-1,I48/I49-1)</f>
        <v>9.4899169632265412E-3</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3.0339805825242649E-2</v>
      </c>
      <c r="F54" s="619" t="str">
        <f>IF(OR(E54&gt;=0.2,E54&lt;=-0.2),"超过20%","")</f>
        <v/>
      </c>
      <c r="G54" s="618">
        <f>IF(G49&lt;I49,I49/G49-1,G49/I49-1)</f>
        <v>2.3557126030624431E-3</v>
      </c>
      <c r="H54" s="619" t="str">
        <f>IF(OR(G54&gt;=0.2,G54&lt;=-0.2),"超过20%","")</f>
        <v/>
      </c>
      <c r="I54" s="618">
        <f>IF(I49&lt;E49,E49/I49-1,I49/E49-1)</f>
        <v>3.2766990291262177E-2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1.189060642092743E-2</v>
      </c>
      <c r="F55" s="619" t="str">
        <f>IF(OR(E55&gt;=0.3,E55&lt;=-0.3),"超过30%","")</f>
        <v/>
      </c>
      <c r="G55" s="618">
        <f>IF(G48&lt;I48,I48/G48-1,G48/I48-1)</f>
        <v>2.3781212841855748E-3</v>
      </c>
      <c r="H55" s="619" t="str">
        <f>IF(OR(G55&gt;=0.3,G55&lt;=-0.3),"超过30%","")</f>
        <v/>
      </c>
      <c r="I55" s="618">
        <f>IF(I48&lt;E48,E48/I48-1,I48/E48-1)</f>
        <v>9.4899169632265412E-3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507" t="s">
        <v>2269</v>
      </c>
      <c r="H57" s="3508"/>
      <c r="I57" s="1493" t="s">
        <v>1713</v>
      </c>
      <c r="J57" s="1493" t="str">
        <f>项目基本情况!F41</f>
        <v>江苏省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841</v>
      </c>
      <c r="C58" s="627">
        <v>1</v>
      </c>
      <c r="D58" s="2108">
        <v>1</v>
      </c>
      <c r="E58" s="627">
        <f>'数据-汇总表'!E8+'数据-汇总表'!E9</f>
        <v>294029.7</v>
      </c>
      <c r="F58" s="628">
        <f t="shared" ref="F58:F67" si="15">ROUND(B58*E58/10000,0)</f>
        <v>24728</v>
      </c>
      <c r="G58" s="3509"/>
      <c r="H58" s="3510"/>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11"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11"/>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11"/>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11"/>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294029.7</v>
      </c>
      <c r="F68" s="636">
        <f>IF(B48="楼面地价",SUM(F58:F67),ROUND(C50*E68/10000,0))</f>
        <v>24728</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O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9">
        <f t="shared" si="18"/>
        <v>43160</v>
      </c>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2021-1</v>
      </c>
      <c r="D72" s="2518" t="str">
        <f>YEAR(D70)&amp;"-"&amp;ROUNDUP(MONTH(D70)/3,0)</f>
        <v>2020-4</v>
      </c>
      <c r="E72" s="2518" t="str">
        <f t="shared" ref="E72:O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3303" t="str">
        <f t="shared" si="19"/>
        <v>2018-1</v>
      </c>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北京市平均增长率0.00%</v>
      </c>
      <c r="C73" s="882">
        <v>100</v>
      </c>
      <c r="D73" s="722">
        <f>C73-0.1</f>
        <v>99.9</v>
      </c>
      <c r="E73" s="722">
        <f t="shared" ref="E73:O73" si="20">D73-0.1</f>
        <v>99.800000000000011</v>
      </c>
      <c r="F73" s="722">
        <f t="shared" si="20"/>
        <v>99.700000000000017</v>
      </c>
      <c r="G73" s="722">
        <f t="shared" si="20"/>
        <v>99.600000000000023</v>
      </c>
      <c r="H73" s="722">
        <f t="shared" si="20"/>
        <v>99.500000000000028</v>
      </c>
      <c r="I73" s="722">
        <f t="shared" si="20"/>
        <v>99.400000000000034</v>
      </c>
      <c r="J73" s="722">
        <f t="shared" si="20"/>
        <v>99.30000000000004</v>
      </c>
      <c r="K73" s="722">
        <f t="shared" si="20"/>
        <v>99.200000000000045</v>
      </c>
      <c r="L73" s="722">
        <f t="shared" si="20"/>
        <v>99.100000000000051</v>
      </c>
      <c r="M73" s="722">
        <f t="shared" si="20"/>
        <v>99.000000000000057</v>
      </c>
      <c r="N73" s="722">
        <f t="shared" si="20"/>
        <v>98.900000000000063</v>
      </c>
      <c r="O73" s="722">
        <f t="shared" si="20"/>
        <v>98.800000000000068</v>
      </c>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293" t="s">
        <v>3026</v>
      </c>
      <c r="D108" s="3293" t="s">
        <v>3027</v>
      </c>
      <c r="E108" s="3293" t="s">
        <v>3028</v>
      </c>
      <c r="F108" s="3293" t="s">
        <v>3029</v>
      </c>
      <c r="G108" s="3293" t="s">
        <v>3030</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C120+3</f>
        <v>103</v>
      </c>
      <c r="E120" s="718">
        <f t="shared" ref="E120:H120" si="28">D120+3</f>
        <v>106</v>
      </c>
      <c r="F120" s="718">
        <f t="shared" si="28"/>
        <v>109</v>
      </c>
      <c r="G120" s="718">
        <f t="shared" si="28"/>
        <v>112</v>
      </c>
      <c r="H120" s="718">
        <f t="shared" si="28"/>
        <v>115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3046</v>
      </c>
      <c r="D121" s="3294" t="s">
        <v>3047</v>
      </c>
      <c r="E121" s="3294" t="s">
        <v>3048</v>
      </c>
      <c r="F121" s="3294" t="s">
        <v>3049</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3" t="s">
        <v>3050</v>
      </c>
      <c r="D123" s="3293" t="s">
        <v>3051</v>
      </c>
      <c r="E123" s="3293" t="s">
        <v>3052</v>
      </c>
      <c r="F123" s="3294" t="s">
        <v>3053</v>
      </c>
      <c r="G123" s="3294" t="s">
        <v>3054</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3041</v>
      </c>
      <c r="D125" s="1326" t="s">
        <v>3042</v>
      </c>
      <c r="E125" s="1326" t="s">
        <v>3043</v>
      </c>
      <c r="F125" s="1326" t="s">
        <v>3044</v>
      </c>
      <c r="G125" s="1326" t="s">
        <v>3055</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93" t="s">
        <v>3056</v>
      </c>
      <c r="D127" s="3293" t="s">
        <v>3057</v>
      </c>
      <c r="E127" s="3294" t="s">
        <v>3058</v>
      </c>
      <c r="F127" s="3294" t="s">
        <v>3059</v>
      </c>
      <c r="G127" s="3294" t="s">
        <v>3060</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5" t="str">
        <f>项目基本情况!B1</f>
        <v>江苏省连云港海州区锦屏山东南侧4号地出让国有建设用地使用权预评估</v>
      </c>
      <c r="C37" s="3305"/>
      <c r="D37" s="3305"/>
      <c r="E37" s="3305"/>
      <c r="F37" s="3305"/>
      <c r="G37" s="3305"/>
      <c r="H37" s="3305"/>
      <c r="I37" s="330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王鹏、郑燚</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487" t="s">
        <v>516</v>
      </c>
      <c r="D6" s="3488"/>
      <c r="E6" s="3521" t="s">
        <v>517</v>
      </c>
      <c r="F6" s="3522"/>
      <c r="G6" s="3487" t="s">
        <v>518</v>
      </c>
      <c r="H6" s="3488"/>
      <c r="I6" s="3487" t="s">
        <v>519</v>
      </c>
      <c r="J6" s="3488"/>
      <c r="K6" s="508" t="s">
        <v>520</v>
      </c>
      <c r="L6" s="2015"/>
      <c r="M6" s="2016"/>
      <c r="N6" s="2016"/>
      <c r="O6" s="2016"/>
      <c r="P6" s="3489" t="s">
        <v>521</v>
      </c>
      <c r="Q6" s="3490"/>
      <c r="R6" s="3495" t="s">
        <v>517</v>
      </c>
      <c r="S6" s="3496"/>
      <c r="T6" s="3495" t="s">
        <v>518</v>
      </c>
      <c r="U6" s="3496"/>
      <c r="V6" s="3482" t="s">
        <v>519</v>
      </c>
      <c r="W6" s="3482"/>
      <c r="X6" s="1501"/>
      <c r="Y6" s="3495" t="s">
        <v>521</v>
      </c>
      <c r="Z6" s="3496"/>
      <c r="AA6" s="3484" t="s">
        <v>517</v>
      </c>
      <c r="AB6" s="3485" t="s">
        <v>518</v>
      </c>
      <c r="AC6" s="3484" t="s">
        <v>519</v>
      </c>
    </row>
    <row r="7" spans="1:29" ht="15">
      <c r="A7" s="509"/>
      <c r="B7" s="510"/>
      <c r="C7" s="3503" t="s">
        <v>2893</v>
      </c>
      <c r="D7" s="3504"/>
      <c r="E7" s="3523" t="s">
        <v>2894</v>
      </c>
      <c r="F7" s="3524"/>
      <c r="G7" s="3503" t="s">
        <v>2895</v>
      </c>
      <c r="H7" s="3504"/>
      <c r="I7" s="3503" t="s">
        <v>2896</v>
      </c>
      <c r="J7" s="3504"/>
      <c r="K7" s="508"/>
      <c r="L7" s="2015"/>
      <c r="M7" s="2016"/>
      <c r="N7" s="2016"/>
      <c r="O7" s="2016"/>
      <c r="P7" s="3491"/>
      <c r="Q7" s="3492"/>
      <c r="R7" s="3497"/>
      <c r="S7" s="3498"/>
      <c r="T7" s="3497"/>
      <c r="U7" s="3498"/>
      <c r="V7" s="3482"/>
      <c r="W7" s="3482"/>
      <c r="X7" s="1501"/>
      <c r="Y7" s="3497"/>
      <c r="Z7" s="3498"/>
      <c r="AA7" s="3485"/>
      <c r="AB7" s="3485"/>
      <c r="AC7" s="3485"/>
    </row>
    <row r="8" spans="1:29" ht="15.75" thickBot="1">
      <c r="A8" s="511"/>
      <c r="B8" s="512"/>
      <c r="C8" s="3501" t="s">
        <v>2897</v>
      </c>
      <c r="D8" s="3502"/>
      <c r="E8" s="3519" t="s">
        <v>2897</v>
      </c>
      <c r="F8" s="3520"/>
      <c r="G8" s="3501" t="s">
        <v>2897</v>
      </c>
      <c r="H8" s="3502"/>
      <c r="I8" s="3501" t="s">
        <v>2897</v>
      </c>
      <c r="J8" s="3502"/>
      <c r="K8" s="508" t="s">
        <v>522</v>
      </c>
      <c r="L8" s="2015"/>
      <c r="M8" s="2016"/>
      <c r="N8" s="2016"/>
      <c r="O8" s="2016"/>
      <c r="P8" s="3493"/>
      <c r="Q8" s="3494"/>
      <c r="R8" s="3497"/>
      <c r="S8" s="3498"/>
      <c r="T8" s="3499"/>
      <c r="U8" s="3500"/>
      <c r="V8" s="3482"/>
      <c r="W8" s="3482"/>
      <c r="X8" s="1501"/>
      <c r="Y8" s="3499"/>
      <c r="Z8" s="3500"/>
      <c r="AA8" s="3486"/>
      <c r="AB8" s="3486"/>
      <c r="AC8" s="3486"/>
    </row>
    <row r="9" spans="1:29" s="1202" customFormat="1" ht="15.75" thickBot="1">
      <c r="A9" s="2629"/>
      <c r="B9" s="2636" t="s">
        <v>523</v>
      </c>
      <c r="C9" s="513">
        <f>'数据-取费表'!B2</f>
        <v>44277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2" t="s">
        <v>524</v>
      </c>
      <c r="Q9" s="3514"/>
      <c r="R9" s="1502" t="s">
        <v>8</v>
      </c>
      <c r="S9" s="1503">
        <f t="shared" ref="S9:S17" si="0">F9</f>
        <v>0</v>
      </c>
      <c r="T9" s="1502" t="s">
        <v>8</v>
      </c>
      <c r="U9" s="1503">
        <f t="shared" ref="U9:U17" si="1">H9</f>
        <v>0</v>
      </c>
      <c r="V9" s="1502" t="s">
        <v>8</v>
      </c>
      <c r="W9" s="1503">
        <f t="shared" ref="W9:W17" si="2">J9</f>
        <v>0</v>
      </c>
      <c r="X9" s="1504"/>
      <c r="Y9" s="3512" t="s">
        <v>524</v>
      </c>
      <c r="Z9" s="3513"/>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2" t="s">
        <v>527</v>
      </c>
      <c r="Q10" s="3513"/>
      <c r="R10" s="1502" t="s">
        <v>8</v>
      </c>
      <c r="S10" s="1503">
        <f t="shared" si="0"/>
        <v>0</v>
      </c>
      <c r="T10" s="1502" t="s">
        <v>8</v>
      </c>
      <c r="U10" s="1503">
        <f t="shared" si="1"/>
        <v>0</v>
      </c>
      <c r="V10" s="1502" t="s">
        <v>8</v>
      </c>
      <c r="W10" s="1503">
        <f t="shared" si="2"/>
        <v>0</v>
      </c>
      <c r="X10" s="1504"/>
      <c r="Y10" s="3512" t="s">
        <v>527</v>
      </c>
      <c r="Z10" s="3513"/>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1" t="s">
        <v>529</v>
      </c>
      <c r="Q11" s="1133" t="str">
        <f t="shared" ref="Q11:Q17" si="6">B11</f>
        <v>用途</v>
      </c>
      <c r="R11" s="1502" t="s">
        <v>8</v>
      </c>
      <c r="S11" s="1503">
        <f t="shared" si="0"/>
        <v>100</v>
      </c>
      <c r="T11" s="1502" t="s">
        <v>8</v>
      </c>
      <c r="U11" s="1503">
        <f t="shared" si="1"/>
        <v>100</v>
      </c>
      <c r="V11" s="1502" t="s">
        <v>8</v>
      </c>
      <c r="W11" s="1503">
        <f t="shared" si="2"/>
        <v>100</v>
      </c>
      <c r="X11" s="1504"/>
      <c r="Y11" s="3427"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108</v>
      </c>
      <c r="G12" s="522"/>
      <c r="H12" s="253">
        <f>ROUND(100/'数据-取费表'!G16,0)</f>
        <v>108</v>
      </c>
      <c r="I12" s="522"/>
      <c r="J12" s="253">
        <f>ROUND(100/'数据-取费表'!G16,0)</f>
        <v>108</v>
      </c>
      <c r="K12" s="525"/>
      <c r="L12" s="2020"/>
      <c r="M12" s="2059"/>
      <c r="N12" s="2059"/>
      <c r="O12" s="2021"/>
      <c r="P12" s="3481"/>
      <c r="Q12" s="1133" t="str">
        <f t="shared" si="6"/>
        <v>土地使用年限（年）</v>
      </c>
      <c r="R12" s="1502" t="s">
        <v>8</v>
      </c>
      <c r="S12" s="1503">
        <f t="shared" si="0"/>
        <v>108</v>
      </c>
      <c r="T12" s="1502" t="s">
        <v>8</v>
      </c>
      <c r="U12" s="1503">
        <f t="shared" si="1"/>
        <v>108</v>
      </c>
      <c r="V12" s="1502" t="s">
        <v>8</v>
      </c>
      <c r="W12" s="1503">
        <f t="shared" si="2"/>
        <v>108</v>
      </c>
      <c r="X12" s="1504"/>
      <c r="Y12" s="3427"/>
      <c r="Z12" s="1132" t="str">
        <f t="shared" si="7"/>
        <v>土地使用年限（年）</v>
      </c>
      <c r="AA12" s="1505">
        <f t="shared" si="3"/>
        <v>0.92592592592592593</v>
      </c>
      <c r="AB12" s="1505">
        <f t="shared" si="4"/>
        <v>0.92592592592592593</v>
      </c>
      <c r="AC12" s="1505">
        <f t="shared" si="5"/>
        <v>0.92592592592592593</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1"/>
      <c r="Q13" s="1133" t="str">
        <f t="shared" si="6"/>
        <v>容积率</v>
      </c>
      <c r="R13" s="1502" t="s">
        <v>8</v>
      </c>
      <c r="S13" s="1503" t="e">
        <f t="shared" si="0"/>
        <v>#N/A</v>
      </c>
      <c r="T13" s="1502" t="s">
        <v>8</v>
      </c>
      <c r="U13" s="1503" t="e">
        <f t="shared" si="1"/>
        <v>#N/A</v>
      </c>
      <c r="V13" s="1502" t="s">
        <v>8</v>
      </c>
      <c r="W13" s="1503" t="e">
        <f t="shared" si="2"/>
        <v>#N/A</v>
      </c>
      <c r="X13" s="1504"/>
      <c r="Y13" s="3427"/>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1"/>
      <c r="Q15" s="1133">
        <f t="shared" si="6"/>
        <v>111</v>
      </c>
      <c r="R15" s="1502" t="s">
        <v>8</v>
      </c>
      <c r="S15" s="1503">
        <f t="shared" si="0"/>
        <v>100</v>
      </c>
      <c r="T15" s="1502" t="s">
        <v>8</v>
      </c>
      <c r="U15" s="1503">
        <f t="shared" si="1"/>
        <v>100</v>
      </c>
      <c r="V15" s="1502" t="s">
        <v>8</v>
      </c>
      <c r="W15" s="1503">
        <f t="shared" si="2"/>
        <v>100</v>
      </c>
      <c r="X15" s="1504"/>
      <c r="Y15" s="3427"/>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1"/>
      <c r="Q16" s="1133">
        <f t="shared" si="6"/>
        <v>111</v>
      </c>
      <c r="R16" s="1502" t="s">
        <v>8</v>
      </c>
      <c r="S16" s="1503">
        <f t="shared" si="0"/>
        <v>100</v>
      </c>
      <c r="T16" s="1502" t="s">
        <v>8</v>
      </c>
      <c r="U16" s="1503">
        <f t="shared" si="1"/>
        <v>100</v>
      </c>
      <c r="V16" s="1502" t="s">
        <v>8</v>
      </c>
      <c r="W16" s="1503">
        <f t="shared" si="2"/>
        <v>100</v>
      </c>
      <c r="X16" s="1504"/>
      <c r="Y16" s="3427"/>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15" t="s">
        <v>534</v>
      </c>
      <c r="Q17" s="1506" t="str">
        <f t="shared" si="6"/>
        <v>产业集聚程度</v>
      </c>
      <c r="R17" s="1507" t="s">
        <v>8</v>
      </c>
      <c r="S17" s="1508">
        <f t="shared" si="0"/>
        <v>100</v>
      </c>
      <c r="T17" s="1507" t="s">
        <v>8</v>
      </c>
      <c r="U17" s="1508">
        <f t="shared" si="1"/>
        <v>100</v>
      </c>
      <c r="V17" s="1507" t="s">
        <v>8</v>
      </c>
      <c r="W17" s="1508">
        <f t="shared" si="2"/>
        <v>100</v>
      </c>
      <c r="X17" s="1501"/>
      <c r="Y17" s="351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16"/>
      <c r="Q18" s="1506"/>
      <c r="R18" s="1507"/>
      <c r="S18" s="1508"/>
      <c r="T18" s="1507"/>
      <c r="U18" s="1508"/>
      <c r="V18" s="1507"/>
      <c r="W18" s="1508"/>
      <c r="X18" s="1501"/>
      <c r="Y18" s="351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16"/>
      <c r="Q19" s="1506" t="str">
        <f>B19</f>
        <v>交通便捷度</v>
      </c>
      <c r="R19" s="1507" t="s">
        <v>8</v>
      </c>
      <c r="S19" s="1508">
        <f>F19</f>
        <v>100</v>
      </c>
      <c r="T19" s="1507" t="s">
        <v>8</v>
      </c>
      <c r="U19" s="1508">
        <f>H19</f>
        <v>100</v>
      </c>
      <c r="V19" s="1507" t="s">
        <v>8</v>
      </c>
      <c r="W19" s="1508">
        <f>J19</f>
        <v>100</v>
      </c>
      <c r="X19" s="1501"/>
      <c r="Y19" s="351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16"/>
      <c r="Q20" s="1506"/>
      <c r="R20" s="1507"/>
      <c r="S20" s="1508"/>
      <c r="T20" s="1507"/>
      <c r="U20" s="1508"/>
      <c r="V20" s="1507"/>
      <c r="W20" s="1508"/>
      <c r="X20" s="1501"/>
      <c r="Y20" s="351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16"/>
      <c r="Q21" s="1506" t="str">
        <f t="shared" ref="Q21:Q35" si="8">B21</f>
        <v>区域土地利用方向</v>
      </c>
      <c r="R21" s="1507" t="s">
        <v>8</v>
      </c>
      <c r="S21" s="1508">
        <f>F21</f>
        <v>100</v>
      </c>
      <c r="T21" s="1507" t="s">
        <v>8</v>
      </c>
      <c r="U21" s="1508">
        <f>H21</f>
        <v>100</v>
      </c>
      <c r="V21" s="1507" t="s">
        <v>8</v>
      </c>
      <c r="W21" s="1508">
        <f>J21</f>
        <v>100</v>
      </c>
      <c r="X21" s="1501"/>
      <c r="Y21" s="351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16"/>
      <c r="Q22" s="1506"/>
      <c r="R22" s="1507"/>
      <c r="S22" s="1508"/>
      <c r="T22" s="1507"/>
      <c r="U22" s="1508"/>
      <c r="V22" s="1507"/>
      <c r="W22" s="1508"/>
      <c r="X22" s="1501"/>
      <c r="Y22" s="3516"/>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16"/>
      <c r="Q23" s="1506" t="str">
        <f t="shared" si="8"/>
        <v>环境状况</v>
      </c>
      <c r="R23" s="1507" t="s">
        <v>8</v>
      </c>
      <c r="S23" s="1508">
        <f>F23</f>
        <v>100</v>
      </c>
      <c r="T23" s="1507" t="s">
        <v>8</v>
      </c>
      <c r="U23" s="1508">
        <f>H23</f>
        <v>100</v>
      </c>
      <c r="V23" s="1507" t="s">
        <v>8</v>
      </c>
      <c r="W23" s="1508">
        <f>J23</f>
        <v>100</v>
      </c>
      <c r="X23" s="1501"/>
      <c r="Y23" s="351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16"/>
      <c r="Q24" s="1506"/>
      <c r="R24" s="1507"/>
      <c r="S24" s="1508"/>
      <c r="T24" s="1507"/>
      <c r="U24" s="1508"/>
      <c r="V24" s="1507"/>
      <c r="W24" s="1508"/>
      <c r="X24" s="1501"/>
      <c r="Y24" s="3516"/>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16"/>
      <c r="Q25" s="1133" t="str">
        <f t="shared" si="8"/>
        <v>公共配套设施</v>
      </c>
      <c r="R25" s="1502" t="s">
        <v>8</v>
      </c>
      <c r="S25" s="1503">
        <f>F25</f>
        <v>100</v>
      </c>
      <c r="T25" s="1502" t="s">
        <v>8</v>
      </c>
      <c r="U25" s="1503">
        <f>H25</f>
        <v>100</v>
      </c>
      <c r="V25" s="1502" t="s">
        <v>8</v>
      </c>
      <c r="W25" s="1503">
        <f>J25</f>
        <v>100</v>
      </c>
      <c r="X25" s="1504"/>
      <c r="Y25" s="3516"/>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16"/>
      <c r="Q26" s="1133"/>
      <c r="R26" s="1502"/>
      <c r="S26" s="1503"/>
      <c r="T26" s="1502"/>
      <c r="U26" s="1503"/>
      <c r="V26" s="1502"/>
      <c r="W26" s="1503"/>
      <c r="X26" s="1504"/>
      <c r="Y26" s="3516"/>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16"/>
      <c r="Q27" s="2428" t="str">
        <f t="shared" ref="Q27" si="9">B27</f>
        <v>基础设施水平</v>
      </c>
      <c r="R27" s="1502" t="s">
        <v>8</v>
      </c>
      <c r="S27" s="1503">
        <f>F27</f>
        <v>100</v>
      </c>
      <c r="T27" s="1502" t="s">
        <v>8</v>
      </c>
      <c r="U27" s="1503">
        <f>H27</f>
        <v>100</v>
      </c>
      <c r="V27" s="1502" t="s">
        <v>8</v>
      </c>
      <c r="W27" s="1503">
        <f>J27</f>
        <v>100</v>
      </c>
      <c r="X27" s="1504"/>
      <c r="Y27" s="3516"/>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16"/>
      <c r="Q28" s="2428"/>
      <c r="R28" s="1502"/>
      <c r="S28" s="1503"/>
      <c r="T28" s="1502"/>
      <c r="U28" s="1503"/>
      <c r="V28" s="1502"/>
      <c r="W28" s="1503"/>
      <c r="X28" s="1504"/>
      <c r="Y28" s="351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1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16"/>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16"/>
      <c r="Q30" s="1506" t="str">
        <f t="shared" si="8"/>
        <v>毗邻道路的类型与等级</v>
      </c>
      <c r="R30" s="1507" t="s">
        <v>8</v>
      </c>
      <c r="S30" s="1508">
        <f t="shared" si="10"/>
        <v>100</v>
      </c>
      <c r="T30" s="1507" t="s">
        <v>8</v>
      </c>
      <c r="U30" s="1508">
        <f t="shared" si="11"/>
        <v>100</v>
      </c>
      <c r="V30" s="1507" t="s">
        <v>8</v>
      </c>
      <c r="W30" s="1508">
        <f t="shared" si="12"/>
        <v>100</v>
      </c>
      <c r="X30" s="1501"/>
      <c r="Y30" s="351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16"/>
      <c r="Q31" s="1506"/>
      <c r="R31" s="1507"/>
      <c r="S31" s="1508"/>
      <c r="T31" s="1507"/>
      <c r="U31" s="1508"/>
      <c r="V31" s="1507"/>
      <c r="W31" s="1508"/>
      <c r="X31" s="1501"/>
      <c r="Y31" s="351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16"/>
      <c r="Q32" s="1506" t="str">
        <f t="shared" si="8"/>
        <v>土地级别</v>
      </c>
      <c r="R32" s="1507" t="s">
        <v>8</v>
      </c>
      <c r="S32" s="1508">
        <f t="shared" si="10"/>
        <v>100</v>
      </c>
      <c r="T32" s="1507" t="s">
        <v>8</v>
      </c>
      <c r="U32" s="1508">
        <f t="shared" si="11"/>
        <v>100</v>
      </c>
      <c r="V32" s="1507" t="s">
        <v>8</v>
      </c>
      <c r="W32" s="1508">
        <f t="shared" si="12"/>
        <v>100</v>
      </c>
      <c r="X32" s="1501"/>
      <c r="Y32" s="351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16"/>
      <c r="Q33" s="1506">
        <f t="shared" si="8"/>
        <v>111</v>
      </c>
      <c r="R33" s="1507" t="s">
        <v>8</v>
      </c>
      <c r="S33" s="1508">
        <f t="shared" si="10"/>
        <v>100</v>
      </c>
      <c r="T33" s="1507" t="s">
        <v>8</v>
      </c>
      <c r="U33" s="1508">
        <f t="shared" si="11"/>
        <v>100</v>
      </c>
      <c r="V33" s="1507" t="s">
        <v>8</v>
      </c>
      <c r="W33" s="1508">
        <f t="shared" si="12"/>
        <v>100</v>
      </c>
      <c r="X33" s="1501"/>
      <c r="Y33" s="351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17" t="s">
        <v>544</v>
      </c>
      <c r="Q34" s="1506">
        <f t="shared" si="8"/>
        <v>111</v>
      </c>
      <c r="R34" s="1507" t="s">
        <v>8</v>
      </c>
      <c r="S34" s="1508">
        <f t="shared" si="10"/>
        <v>100</v>
      </c>
      <c r="T34" s="1507" t="s">
        <v>8</v>
      </c>
      <c r="U34" s="1508">
        <f t="shared" si="11"/>
        <v>100</v>
      </c>
      <c r="V34" s="1507" t="s">
        <v>8</v>
      </c>
      <c r="W34" s="1508">
        <f t="shared" si="12"/>
        <v>100</v>
      </c>
      <c r="X34" s="1501"/>
      <c r="Y34" s="3518"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18"/>
      <c r="Q35" s="1506">
        <f t="shared" si="8"/>
        <v>111</v>
      </c>
      <c r="R35" s="1511" t="s">
        <v>8</v>
      </c>
      <c r="S35" s="1512">
        <f t="shared" si="10"/>
        <v>100</v>
      </c>
      <c r="T35" s="1511" t="s">
        <v>8</v>
      </c>
      <c r="U35" s="1512">
        <f t="shared" si="11"/>
        <v>100</v>
      </c>
      <c r="V35" s="1511" t="s">
        <v>8</v>
      </c>
      <c r="W35" s="1512">
        <f t="shared" si="12"/>
        <v>100</v>
      </c>
      <c r="X35" s="1513"/>
      <c r="Y35" s="3518"/>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18"/>
      <c r="Q36" s="1506" t="str">
        <f>B36</f>
        <v>宗地面积</v>
      </c>
      <c r="R36" s="1507" t="s">
        <v>8</v>
      </c>
      <c r="S36" s="1508" t="e">
        <f t="shared" si="10"/>
        <v>#N/A</v>
      </c>
      <c r="T36" s="1507" t="s">
        <v>8</v>
      </c>
      <c r="U36" s="1508" t="e">
        <f t="shared" si="11"/>
        <v>#N/A</v>
      </c>
      <c r="V36" s="1507" t="s">
        <v>8</v>
      </c>
      <c r="W36" s="1508" t="e">
        <f t="shared" si="12"/>
        <v>#N/A</v>
      </c>
      <c r="X36" s="1501"/>
      <c r="Y36" s="351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18"/>
      <c r="Q37" s="1506" t="str">
        <f t="shared" ref="Q37:Q42" si="14">B37</f>
        <v>宗地形状</v>
      </c>
      <c r="R37" s="1507" t="s">
        <v>8</v>
      </c>
      <c r="S37" s="1508">
        <f t="shared" si="10"/>
        <v>100</v>
      </c>
      <c r="T37" s="1507" t="s">
        <v>8</v>
      </c>
      <c r="U37" s="1508">
        <f t="shared" si="11"/>
        <v>100</v>
      </c>
      <c r="V37" s="1507" t="s">
        <v>8</v>
      </c>
      <c r="W37" s="1508">
        <f t="shared" si="12"/>
        <v>100</v>
      </c>
      <c r="X37" s="1501"/>
      <c r="Y37" s="3518"/>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18"/>
      <c r="Q38" s="1506" t="str">
        <f t="shared" si="14"/>
        <v>宗地开发程度</v>
      </c>
      <c r="R38" s="1502" t="s">
        <v>8</v>
      </c>
      <c r="S38" s="1503">
        <f t="shared" si="10"/>
        <v>100</v>
      </c>
      <c r="T38" s="1502" t="s">
        <v>8</v>
      </c>
      <c r="U38" s="1503">
        <f t="shared" si="11"/>
        <v>100</v>
      </c>
      <c r="V38" s="1502" t="s">
        <v>8</v>
      </c>
      <c r="W38" s="1503">
        <f t="shared" si="12"/>
        <v>100</v>
      </c>
      <c r="X38" s="1504"/>
      <c r="Y38" s="351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8" t="s">
        <v>595</v>
      </c>
      <c r="Q39" s="1506" t="str">
        <f t="shared" si="14"/>
        <v>工程地质条件</v>
      </c>
      <c r="R39" s="1507" t="s">
        <v>8</v>
      </c>
      <c r="S39" s="1508">
        <f t="shared" si="10"/>
        <v>100</v>
      </c>
      <c r="T39" s="1507" t="s">
        <v>8</v>
      </c>
      <c r="U39" s="1508">
        <f t="shared" si="11"/>
        <v>100</v>
      </c>
      <c r="V39" s="1507" t="s">
        <v>8</v>
      </c>
      <c r="W39" s="1508">
        <f t="shared" si="12"/>
        <v>100</v>
      </c>
      <c r="X39" s="1501"/>
      <c r="Y39" s="351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18"/>
      <c r="Q40" s="1506">
        <f t="shared" si="14"/>
        <v>111</v>
      </c>
      <c r="R40" s="1507" t="s">
        <v>8</v>
      </c>
      <c r="S40" s="1508">
        <f t="shared" si="10"/>
        <v>100</v>
      </c>
      <c r="T40" s="1507" t="s">
        <v>8</v>
      </c>
      <c r="U40" s="1508">
        <f t="shared" si="11"/>
        <v>100</v>
      </c>
      <c r="V40" s="1507" t="s">
        <v>8</v>
      </c>
      <c r="W40" s="1508">
        <f t="shared" si="12"/>
        <v>100</v>
      </c>
      <c r="X40" s="1501"/>
      <c r="Y40" s="351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18"/>
      <c r="Q41" s="1506">
        <f t="shared" si="14"/>
        <v>111</v>
      </c>
      <c r="R41" s="1507" t="s">
        <v>8</v>
      </c>
      <c r="S41" s="1508">
        <f t="shared" si="10"/>
        <v>100</v>
      </c>
      <c r="T41" s="1507" t="s">
        <v>8</v>
      </c>
      <c r="U41" s="1508">
        <f t="shared" si="11"/>
        <v>100</v>
      </c>
      <c r="V41" s="1507" t="s">
        <v>8</v>
      </c>
      <c r="W41" s="1508">
        <f t="shared" si="12"/>
        <v>100</v>
      </c>
      <c r="X41" s="1501"/>
      <c r="Y41" s="3518"/>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18"/>
      <c r="Q42" s="1506">
        <f t="shared" si="14"/>
        <v>111</v>
      </c>
      <c r="R42" s="1511" t="s">
        <v>8</v>
      </c>
      <c r="S42" s="1512">
        <f t="shared" si="10"/>
        <v>100</v>
      </c>
      <c r="T42" s="1511" t="s">
        <v>8</v>
      </c>
      <c r="U42" s="1512">
        <f t="shared" si="11"/>
        <v>100</v>
      </c>
      <c r="V42" s="1511" t="s">
        <v>8</v>
      </c>
      <c r="W42" s="1512">
        <f t="shared" si="12"/>
        <v>100</v>
      </c>
      <c r="X42" s="1513"/>
      <c r="Y42" s="3518"/>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6"/>
      <c r="M43" s="2016"/>
      <c r="N43" s="2016"/>
      <c r="O43" s="2027"/>
      <c r="P43" s="3481" t="str">
        <f>A43</f>
        <v>成交单价</v>
      </c>
      <c r="Q43" s="3481"/>
      <c r="R43" s="3482">
        <f>E43</f>
        <v>0</v>
      </c>
      <c r="S43" s="3482"/>
      <c r="T43" s="3482">
        <f>G43</f>
        <v>0</v>
      </c>
      <c r="U43" s="3482"/>
      <c r="V43" s="3482">
        <f>I43</f>
        <v>0</v>
      </c>
      <c r="W43" s="3482"/>
      <c r="X43" s="1496"/>
      <c r="Y43" s="1515"/>
      <c r="Z43" s="1496"/>
      <c r="AA43" s="1496"/>
      <c r="AB43" s="1496"/>
      <c r="AC43" s="1496"/>
    </row>
    <row r="44" spans="1:29" ht="15.75" thickBot="1">
      <c r="A44" s="609" t="s">
        <v>2674</v>
      </c>
      <c r="B44" s="610"/>
      <c r="C44" s="611" t="e">
        <f>R45</f>
        <v>#DIV/0!</v>
      </c>
      <c r="D44" s="3014" t="s">
        <v>2967</v>
      </c>
      <c r="E44" s="611" t="e">
        <f>R44</f>
        <v>#DIV/0!</v>
      </c>
      <c r="F44" s="3015"/>
      <c r="G44" s="612" t="e">
        <f>T44</f>
        <v>#DIV/0!</v>
      </c>
      <c r="H44" s="3015"/>
      <c r="I44" s="611" t="e">
        <f>V44</f>
        <v>#DIV/0!</v>
      </c>
      <c r="J44" s="3015"/>
      <c r="K44" s="3016">
        <f>F44+H44+J44</f>
        <v>0</v>
      </c>
      <c r="L44" s="2026"/>
      <c r="M44" s="2016"/>
      <c r="N44" s="2016"/>
      <c r="O44" s="2027"/>
      <c r="P44" s="3481" t="str">
        <f>A44</f>
        <v>比较价格（元/平方米）</v>
      </c>
      <c r="Q44" s="3481"/>
      <c r="R44" s="3483" t="e">
        <f>ROUND(PRODUCT(R43,AA9:AA42),0)</f>
        <v>#DIV/0!</v>
      </c>
      <c r="S44" s="3483"/>
      <c r="T44" s="3483" t="e">
        <f>ROUND(PRODUCT(T43,AB9:AB42),0)</f>
        <v>#DIV/0!</v>
      </c>
      <c r="U44" s="3483"/>
      <c r="V44" s="3483" t="e">
        <f>ROUND(PRODUCT(V43,AC9:AC42),0)</f>
        <v>#DIV/0!</v>
      </c>
      <c r="W44" s="3483"/>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6"/>
      <c r="M45" s="2016"/>
      <c r="N45" s="2016"/>
      <c r="O45" s="2027"/>
      <c r="P45" s="3478" t="str">
        <f>A45</f>
        <v>估价对象XX用房的比较价格（楼面单价，元/平方米）</v>
      </c>
      <c r="Q45" s="3479"/>
      <c r="R45" s="3530" t="e">
        <f>ROUND(IF(D44="简单平均",AVERAGE(R44:W44),R44*F44+T44*H44+V44*J44),0)</f>
        <v>#DIV/0!</v>
      </c>
      <c r="S45" s="3530"/>
      <c r="T45" s="3530"/>
      <c r="U45" s="3530"/>
      <c r="V45" s="3530"/>
      <c r="W45" s="3530"/>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25" t="s">
        <v>2272</v>
      </c>
      <c r="H52" s="3526"/>
      <c r="I52" s="1866" t="s">
        <v>1934</v>
      </c>
      <c r="J52" s="1493" t="str">
        <f>项目基本情况!F41</f>
        <v>江苏省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294029.7</v>
      </c>
      <c r="F53" s="1864" t="e">
        <f t="shared" ref="F53:F62" si="15">ROUND(B53*E53/10000,0)</f>
        <v>#DIV/0!</v>
      </c>
      <c r="G53" s="3527"/>
      <c r="H53" s="3528"/>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9"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9"/>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9"/>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9"/>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85225.54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3.45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45"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3.45</v>
      </c>
      <c r="AA7" s="2073"/>
      <c r="AB7" s="2073"/>
      <c r="AC7" s="2074"/>
      <c r="AD7" s="2646"/>
      <c r="AE7" s="2646"/>
      <c r="AF7" s="2646"/>
      <c r="AG7" s="2646"/>
      <c r="AH7" s="2646"/>
      <c r="AI7" s="2646"/>
      <c r="AJ7" s="2647"/>
    </row>
    <row r="8" spans="1:39" ht="15">
      <c r="A8" s="3546"/>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32" t="s">
        <v>2763</v>
      </c>
      <c r="X8" s="3533"/>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46"/>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31"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46"/>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3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46"/>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31" t="s">
        <v>2761</v>
      </c>
      <c r="X11" s="1034" t="s">
        <v>2746</v>
      </c>
      <c r="Y11" s="1581">
        <f>$G$3</f>
        <v>3.45</v>
      </c>
      <c r="Z11" s="1581">
        <f t="shared" ref="Z11:AJ11" si="3">$G$3</f>
        <v>3.45</v>
      </c>
      <c r="AA11" s="1581">
        <f t="shared" si="3"/>
        <v>3.45</v>
      </c>
      <c r="AB11" s="1581">
        <f t="shared" si="3"/>
        <v>3.45</v>
      </c>
      <c r="AC11" s="1581">
        <f t="shared" si="3"/>
        <v>3.45</v>
      </c>
      <c r="AD11" s="1581">
        <f t="shared" si="3"/>
        <v>3.45</v>
      </c>
      <c r="AE11" s="1581">
        <f t="shared" si="3"/>
        <v>3.45</v>
      </c>
      <c r="AF11" s="1581">
        <f t="shared" si="3"/>
        <v>3.45</v>
      </c>
      <c r="AG11" s="1581">
        <f t="shared" si="3"/>
        <v>3.45</v>
      </c>
      <c r="AH11" s="1581">
        <f t="shared" si="3"/>
        <v>3.45</v>
      </c>
      <c r="AI11" s="1581">
        <f t="shared" si="3"/>
        <v>3.45</v>
      </c>
      <c r="AJ11" s="1581">
        <f t="shared" si="3"/>
        <v>3.45</v>
      </c>
    </row>
    <row r="12" spans="1:39" ht="25.5" thickBot="1">
      <c r="A12" s="3545"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31"/>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7"/>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31"/>
      <c r="X13" s="2651"/>
      <c r="Y13" s="2650">
        <f>(-0.163*(Y12^2)-0.59*Y12+7617)*(10^(-4))/Y11</f>
        <v>0.22078260869565217</v>
      </c>
      <c r="Z13" s="2650">
        <f t="shared" ref="Z13:AJ13" si="5">(-0.163*(Z12^2)-0.59*Z12+7617)*(10^(-4))/Z11</f>
        <v>0.22078260869565217</v>
      </c>
      <c r="AA13" s="2650">
        <f t="shared" si="5"/>
        <v>0.22078260869565217</v>
      </c>
      <c r="AB13" s="2650">
        <f t="shared" si="5"/>
        <v>0.22078260869565217</v>
      </c>
      <c r="AC13" s="2650">
        <f t="shared" si="5"/>
        <v>0.22078260869565217</v>
      </c>
      <c r="AD13" s="2650">
        <f t="shared" si="5"/>
        <v>0.22078260869565217</v>
      </c>
      <c r="AE13" s="2650">
        <f t="shared" si="5"/>
        <v>0.22078260869565217</v>
      </c>
      <c r="AF13" s="2650">
        <f t="shared" si="5"/>
        <v>0.22078260869565217</v>
      </c>
      <c r="AG13" s="2650">
        <f t="shared" si="5"/>
        <v>0.22078260869565217</v>
      </c>
      <c r="AH13" s="2650">
        <f t="shared" si="5"/>
        <v>0.22078260869565217</v>
      </c>
      <c r="AI13" s="2650">
        <f t="shared" si="5"/>
        <v>0.22078260869565217</v>
      </c>
      <c r="AJ13" s="2650">
        <f t="shared" si="5"/>
        <v>0.22078260869565217</v>
      </c>
    </row>
    <row r="14" spans="1:39" ht="12.75" customHeight="1">
      <c r="A14" s="3547"/>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48"/>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45" t="s">
        <v>1829</v>
      </c>
      <c r="B16" s="1375" t="s">
        <v>941</v>
      </c>
      <c r="C16" s="1038" t="e">
        <f>ROUND(IF(F17="与级别开发程度一致",0,(G17-E17)/C17),0)</f>
        <v>#DIV/0!</v>
      </c>
      <c r="D16" s="3539" t="s">
        <v>945</v>
      </c>
      <c r="E16" s="3540"/>
      <c r="F16" s="3539" t="s">
        <v>942</v>
      </c>
      <c r="G16" s="3540"/>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49"/>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44277</v>
      </c>
      <c r="H19" s="1415" t="s">
        <v>2951</v>
      </c>
      <c r="I19" s="2503" t="str">
        <f>IF(H19="季度增幅（自定义）",SUMIF(N21:N24,E2,O21:O24),"")</f>
        <v/>
      </c>
      <c r="J19" s="1411"/>
      <c r="K19" s="3233"/>
      <c r="L19" s="2753" t="s">
        <v>2821</v>
      </c>
      <c r="M19" s="2754">
        <f>ROUND(SUMIF(地价!B2:F2,E2,地价!B32:F32),0)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2987</v>
      </c>
      <c r="C21" s="1140">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f>IF(E22=G22,F22,IF(G3&lt;=10,ROUND(F22+(H22-F22)*(G3-E22)/(G22-E22),4),"——"))</f>
        <v>0</v>
      </c>
      <c r="E22" s="1025">
        <f>ROUNDDOWN(G3,1)</f>
        <v>3.4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41"/>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41"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2"/>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2"/>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2"/>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2"/>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3"/>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3"/>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2945</v>
      </c>
      <c r="C41" s="828" t="e">
        <f>ROUND(POWER(1+E41,H41-G41)*(POWER(1+E41,G41)-1)/(POWER(1+E41,H41)-1),4)</f>
        <v>#DIV/0!</v>
      </c>
      <c r="D41" s="372" t="s">
        <v>2943</v>
      </c>
      <c r="E41" s="2832">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估价对象周边商业氛围成熟度一般，人流量一般，住宅底商为主，商业繁华度一般</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估价对象周边道路状况一般、公共交通通达情况较差，有5、122路经过、停车便捷程度，综合评价交通便捷度一般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估价对象周边道路状况一般、公共交通通达情况较差，有5、122路经过、停车便捷程度，综合评价交通便捷度一般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估价对象周边道路状况一般、公共交通通达情况较差，有5、122路经过、停车便捷程度，综合评价交通便捷度一般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2900</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2900</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50" t="s">
        <v>1624</v>
      </c>
      <c r="B90" s="3550"/>
      <c r="C90" s="3550"/>
      <c r="D90" s="3550"/>
      <c r="E90" s="3550"/>
      <c r="F90" s="3550"/>
      <c r="G90" s="3550"/>
      <c r="H90" s="3550"/>
      <c r="I90" s="3550"/>
      <c r="J90" s="3550"/>
      <c r="K90" s="2305"/>
      <c r="L90" s="2305"/>
      <c r="M90" s="2305"/>
      <c r="N90" s="2305"/>
    </row>
    <row r="91" spans="1:40">
      <c r="A91" s="3551" t="s">
        <v>1434</v>
      </c>
      <c r="B91" s="3551" t="s">
        <v>1625</v>
      </c>
      <c r="C91" s="1122" t="s">
        <v>1626</v>
      </c>
      <c r="D91" s="1123"/>
      <c r="E91" s="1123"/>
      <c r="F91" s="1123"/>
      <c r="G91" s="1123"/>
      <c r="H91" s="1123"/>
      <c r="I91" s="1123"/>
      <c r="J91" s="1124"/>
      <c r="K91" s="1116"/>
      <c r="L91" s="1116"/>
      <c r="M91" s="1116"/>
      <c r="N91" s="1116"/>
    </row>
    <row r="92" spans="1:40">
      <c r="A92" s="3551"/>
      <c r="B92" s="3551"/>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34"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5"/>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3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34" t="s">
        <v>1628</v>
      </c>
      <c r="B101" s="1129" t="s">
        <v>897</v>
      </c>
      <c r="C101" s="1130">
        <f>$G$3</f>
        <v>3.45</v>
      </c>
      <c r="D101" s="1130">
        <f t="shared" ref="D101:N101" si="31">$G$3</f>
        <v>3.45</v>
      </c>
      <c r="E101" s="1130">
        <f t="shared" si="31"/>
        <v>3.45</v>
      </c>
      <c r="F101" s="1130">
        <f t="shared" si="31"/>
        <v>3.45</v>
      </c>
      <c r="G101" s="1130">
        <f t="shared" si="31"/>
        <v>3.45</v>
      </c>
      <c r="H101" s="1130">
        <f t="shared" si="31"/>
        <v>3.45</v>
      </c>
      <c r="I101" s="1130">
        <f t="shared" si="31"/>
        <v>3.45</v>
      </c>
      <c r="J101" s="1130">
        <f t="shared" si="31"/>
        <v>3.45</v>
      </c>
      <c r="K101" s="1130">
        <f t="shared" si="31"/>
        <v>3.45</v>
      </c>
      <c r="L101" s="1130">
        <f t="shared" si="31"/>
        <v>3.45</v>
      </c>
      <c r="M101" s="1130">
        <f t="shared" si="31"/>
        <v>3.45</v>
      </c>
      <c r="N101" s="1130">
        <f t="shared" si="31"/>
        <v>3.45</v>
      </c>
    </row>
    <row r="102" spans="1:14">
      <c r="A102" s="3535"/>
      <c r="B102" s="1125">
        <v>1</v>
      </c>
      <c r="C102" s="1126">
        <f>1.9362/C101</f>
        <v>0.56121739130434778</v>
      </c>
      <c r="D102" s="1126">
        <f>1.9362/D101</f>
        <v>0.56121739130434778</v>
      </c>
      <c r="E102" s="1126">
        <f>1.8629/E101</f>
        <v>0.53997101449275364</v>
      </c>
      <c r="F102" s="1126">
        <f>1.8629/F101</f>
        <v>0.53997101449275364</v>
      </c>
      <c r="G102" s="1126">
        <f>1.8629/G101</f>
        <v>0.53997101449275364</v>
      </c>
      <c r="H102" s="1126">
        <f>1.8629/H101</f>
        <v>0.53997101449275364</v>
      </c>
      <c r="I102" s="1126">
        <f>1.8629/I101</f>
        <v>0.53997101449275364</v>
      </c>
      <c r="J102" s="1126">
        <f>1.942/J101</f>
        <v>0.56289855072463768</v>
      </c>
      <c r="K102" s="1126">
        <f>1.942/K101</f>
        <v>0.56289855072463768</v>
      </c>
      <c r="L102" s="1126">
        <f>1.942/L101</f>
        <v>0.56289855072463768</v>
      </c>
      <c r="M102" s="1126">
        <f>1.942/M101</f>
        <v>0.56289855072463768</v>
      </c>
      <c r="N102" s="1126">
        <f>1.942/N101</f>
        <v>0.56289855072463768</v>
      </c>
    </row>
    <row r="103" spans="1:14">
      <c r="A103" s="3535"/>
      <c r="B103" s="1125">
        <v>2</v>
      </c>
      <c r="C103" s="1126">
        <f>1.4198/C101</f>
        <v>0.41153623188405791</v>
      </c>
      <c r="D103" s="1126">
        <f>1.4198/D101</f>
        <v>0.41153623188405791</v>
      </c>
      <c r="E103" s="1126">
        <f>1.3372/E101</f>
        <v>0.38759420289855068</v>
      </c>
      <c r="F103" s="1126">
        <f>1.3372/F101</f>
        <v>0.38759420289855068</v>
      </c>
      <c r="G103" s="1126">
        <f>1.3372/G101</f>
        <v>0.38759420289855068</v>
      </c>
      <c r="H103" s="1126">
        <f>1.3372/H101</f>
        <v>0.38759420289855068</v>
      </c>
      <c r="I103" s="1126">
        <f>1.3372/I101</f>
        <v>0.38759420289855068</v>
      </c>
      <c r="J103" s="1126">
        <f>1.2799/J101</f>
        <v>0.3709855072463768</v>
      </c>
      <c r="K103" s="1126">
        <f>1.2799/K101</f>
        <v>0.3709855072463768</v>
      </c>
      <c r="L103" s="1126">
        <f>1.2799/L101</f>
        <v>0.3709855072463768</v>
      </c>
      <c r="M103" s="1126">
        <f>1.2799/M101</f>
        <v>0.3709855072463768</v>
      </c>
      <c r="N103" s="1126">
        <f>1.2799/N101</f>
        <v>0.3709855072463768</v>
      </c>
    </row>
    <row r="104" spans="1:14">
      <c r="A104" s="3535"/>
      <c r="B104" s="1125">
        <v>3</v>
      </c>
      <c r="C104" s="1126">
        <f>1.1594/C101</f>
        <v>0.33605797101449275</v>
      </c>
      <c r="D104" s="1126">
        <f>1.1594/D101</f>
        <v>0.33605797101449275</v>
      </c>
      <c r="E104" s="1126">
        <f>1.0788/E101</f>
        <v>0.31269565217391304</v>
      </c>
      <c r="F104" s="1126">
        <f>1.0788/F101</f>
        <v>0.31269565217391304</v>
      </c>
      <c r="G104" s="1126">
        <f>1.0788/G101</f>
        <v>0.31269565217391304</v>
      </c>
      <c r="H104" s="1126">
        <f>1.0788/H101</f>
        <v>0.31269565217391304</v>
      </c>
      <c r="I104" s="1126">
        <f>1.0788/I101</f>
        <v>0.31269565217391304</v>
      </c>
      <c r="J104" s="1126">
        <f>1.0072/J101</f>
        <v>0.29194202898550725</v>
      </c>
      <c r="K104" s="1126">
        <f>1.0072/K101</f>
        <v>0.29194202898550725</v>
      </c>
      <c r="L104" s="1126">
        <f>1.0072/L101</f>
        <v>0.29194202898550725</v>
      </c>
      <c r="M104" s="1126">
        <f>1.0072/M101</f>
        <v>0.29194202898550725</v>
      </c>
      <c r="N104" s="1126">
        <f>1.0072/N101</f>
        <v>0.29194202898550725</v>
      </c>
    </row>
    <row r="105" spans="1:14">
      <c r="A105" s="3535"/>
      <c r="B105" s="1125">
        <v>4</v>
      </c>
      <c r="C105" s="1126">
        <f>0.9622/C101</f>
        <v>0.27889855072463771</v>
      </c>
      <c r="D105" s="1126">
        <f>0.9622/D101</f>
        <v>0.27889855072463771</v>
      </c>
      <c r="E105" s="1126">
        <f>0.8656/E101</f>
        <v>0.25089855072463768</v>
      </c>
      <c r="F105" s="1126">
        <f>0.8656/F101</f>
        <v>0.25089855072463768</v>
      </c>
      <c r="G105" s="1126">
        <f>0.8656/G101</f>
        <v>0.25089855072463768</v>
      </c>
      <c r="H105" s="1126">
        <f>0.8656/H101</f>
        <v>0.25089855072463768</v>
      </c>
      <c r="I105" s="1126">
        <f>0.8656/I101</f>
        <v>0.25089855072463768</v>
      </c>
      <c r="J105" s="1126">
        <f>0.7525/J101</f>
        <v>0.21811594202898549</v>
      </c>
      <c r="K105" s="1126">
        <f>0.7525/K101</f>
        <v>0.21811594202898549</v>
      </c>
      <c r="L105" s="1126">
        <f>0.7525/L101</f>
        <v>0.21811594202898549</v>
      </c>
      <c r="M105" s="1126">
        <f>0.7525/M101</f>
        <v>0.21811594202898549</v>
      </c>
      <c r="N105" s="1126">
        <f>0.7525/N101</f>
        <v>0.21811594202898549</v>
      </c>
    </row>
    <row r="106" spans="1:14">
      <c r="A106" s="3535"/>
      <c r="B106" s="1125">
        <v>5</v>
      </c>
      <c r="C106" s="1126">
        <f>0.8417/C101</f>
        <v>0.2439710144927536</v>
      </c>
      <c r="D106" s="1126">
        <f>0.8417/D101</f>
        <v>0.2439710144927536</v>
      </c>
      <c r="E106" s="1126">
        <f>0.7371/E101</f>
        <v>0.21365217391304345</v>
      </c>
      <c r="F106" s="1126">
        <f>0.7371/F101</f>
        <v>0.21365217391304345</v>
      </c>
      <c r="G106" s="1126">
        <f>0.7371/G101</f>
        <v>0.21365217391304345</v>
      </c>
      <c r="H106" s="1126">
        <f>0.7371/H101</f>
        <v>0.21365217391304345</v>
      </c>
      <c r="I106" s="1126">
        <f>0.7371/I101</f>
        <v>0.21365217391304345</v>
      </c>
      <c r="J106" s="1126">
        <f>0.5659/J101</f>
        <v>0.16402898550724634</v>
      </c>
      <c r="K106" s="1126">
        <f>0.5659/K101</f>
        <v>0.16402898550724634</v>
      </c>
      <c r="L106" s="1126">
        <f>0.5659/L101</f>
        <v>0.16402898550724634</v>
      </c>
      <c r="M106" s="1126">
        <f>0.5659/M101</f>
        <v>0.16402898550724634</v>
      </c>
      <c r="N106" s="1126">
        <f>0.5659/N101</f>
        <v>0.16402898550724634</v>
      </c>
    </row>
    <row r="107" spans="1:14">
      <c r="A107" s="3535"/>
      <c r="B107" s="1125">
        <v>6</v>
      </c>
      <c r="C107" s="1126">
        <f>0.7608/C101</f>
        <v>0.22052173913043477</v>
      </c>
      <c r="D107" s="1126">
        <f>0.7608/D101</f>
        <v>0.22052173913043477</v>
      </c>
      <c r="E107" s="1126">
        <f>0.6482/E101</f>
        <v>0.18788405797101448</v>
      </c>
      <c r="F107" s="1126">
        <f>0.6482/F101</f>
        <v>0.18788405797101448</v>
      </c>
      <c r="G107" s="1126">
        <f>0.6482/G101</f>
        <v>0.18788405797101448</v>
      </c>
      <c r="H107" s="1126">
        <f>0.6482/H101</f>
        <v>0.18788405797101448</v>
      </c>
      <c r="I107" s="1126">
        <f>0.6482/I101</f>
        <v>0.18788405797101448</v>
      </c>
      <c r="J107" s="1126">
        <f>0.4525/J101</f>
        <v>0.13115942028985508</v>
      </c>
      <c r="K107" s="1126">
        <f>0.4525/K101</f>
        <v>0.13115942028985508</v>
      </c>
      <c r="L107" s="1126">
        <f>0.4525/L101</f>
        <v>0.13115942028985508</v>
      </c>
      <c r="M107" s="1126">
        <f>0.4525/M101</f>
        <v>0.13115942028985508</v>
      </c>
      <c r="N107" s="1126">
        <f>0.4525/N101</f>
        <v>0.13115942028985508</v>
      </c>
    </row>
    <row r="108" spans="1:14">
      <c r="A108" s="3535"/>
      <c r="B108" s="3537"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36"/>
      <c r="B109" s="3538"/>
      <c r="C109" s="1128">
        <f>(-0.163*(C108^2)-0.59*C108+7617)*(10^(-4))/C101</f>
        <v>0.22034342028985507</v>
      </c>
      <c r="D109" s="1128">
        <f>(-0.163*(D108^2)-0.59*D108+7617)*(10^(-4))/D101</f>
        <v>0.22034342028985507</v>
      </c>
      <c r="E109" s="1128">
        <f>(-0.161*(E108^2)-7.509*E108+6533)*(10^(-4))/E101</f>
        <v>0.18732243478260868</v>
      </c>
      <c r="F109" s="1128">
        <f>(-0.161*(F108^2)-7.509*F108+6533)*(10^(-4))/F101</f>
        <v>0.18732243478260868</v>
      </c>
      <c r="G109" s="1128">
        <f>(-0.161*(G108^2)-7.509*G108+6533)*(10^(-4))/G101</f>
        <v>0.18732243478260868</v>
      </c>
      <c r="H109" s="1128">
        <f>(-0.161*(H108^2)-7.509*H108+6533)*(10^(-4))/H101</f>
        <v>0.18732243478260868</v>
      </c>
      <c r="I109" s="1128">
        <f>(-0.161*(I108^2)-7.509*I108+6533)*(10^(-4))/I101</f>
        <v>0.18732243478260868</v>
      </c>
      <c r="J109" s="1128">
        <f>(-0.214*(J108^2)-21.991*J108+4665)*(10^(-4))/J101</f>
        <v>0.12972104347826088</v>
      </c>
      <c r="K109" s="1128">
        <f>(-0.214*(K108^2)-21.991*K108+4665)*(10^(-4))/K101</f>
        <v>0.12972104347826088</v>
      </c>
      <c r="L109" s="1128">
        <f>(-0.214*(L108^2)-21.991*L108+4665)*(10^(-4))/L101</f>
        <v>0.12972104347826088</v>
      </c>
      <c r="M109" s="1128">
        <f>(-0.214*(M108^2)-21.991*M108+4665)*(10^(-4))/M101</f>
        <v>0.12972104347826088</v>
      </c>
      <c r="N109" s="1128">
        <f>(-0.214*(N108^2)-21.991*N108+4665)*(10^(-4))/N101</f>
        <v>0.12972104347826088</v>
      </c>
    </row>
    <row r="110" spans="1:14">
      <c r="A110" s="3544" t="s">
        <v>1630</v>
      </c>
      <c r="B110" s="3544"/>
      <c r="C110" s="3544"/>
      <c r="D110" s="3544"/>
      <c r="E110" s="3544"/>
      <c r="F110" s="3544"/>
      <c r="G110" s="3544"/>
      <c r="H110" s="3544"/>
      <c r="I110" s="3544"/>
      <c r="J110" s="3544"/>
      <c r="K110" s="2303"/>
      <c r="L110" s="2303"/>
      <c r="M110" s="2303"/>
      <c r="N110" s="2303"/>
    </row>
    <row r="112" spans="1:14" ht="12.75" thickBot="1"/>
    <row r="113" spans="1:13" ht="25.5" thickBot="1">
      <c r="A113" s="1002" t="s">
        <v>887</v>
      </c>
      <c r="B113" s="2306">
        <f>G3</f>
        <v>3.45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0.90110000000000001</v>
      </c>
      <c r="C115" s="1016">
        <f>B115</f>
        <v>0.90110000000000001</v>
      </c>
      <c r="D115" s="1016">
        <f>ROUND(0.8331-0.0109*B113,4)</f>
        <v>0.79549999999999998</v>
      </c>
      <c r="E115" s="1016">
        <f>D115</f>
        <v>0.79549999999999998</v>
      </c>
      <c r="F115" s="1016">
        <f>E115</f>
        <v>0.79549999999999998</v>
      </c>
      <c r="G115" s="1016">
        <f>F115</f>
        <v>0.79549999999999998</v>
      </c>
      <c r="H115" s="1016">
        <f>G115</f>
        <v>0.79549999999999998</v>
      </c>
      <c r="I115" s="1016">
        <f>ROUND(0.689-0.0155*B113,4)</f>
        <v>0.63549999999999995</v>
      </c>
      <c r="J115" s="1016">
        <f t="shared" ref="J115:M118" si="33">I115</f>
        <v>0.63549999999999995</v>
      </c>
      <c r="K115" s="1016">
        <f t="shared" si="33"/>
        <v>0.63549999999999995</v>
      </c>
      <c r="L115" s="1016">
        <f t="shared" si="33"/>
        <v>0.63549999999999995</v>
      </c>
      <c r="M115" s="1017">
        <f t="shared" si="33"/>
        <v>0.63549999999999995</v>
      </c>
    </row>
    <row r="116" spans="1:13" ht="12.75">
      <c r="A116" s="1015" t="s">
        <v>892</v>
      </c>
      <c r="B116" s="1016">
        <f>ROUND(0.949-0.012*B113,4)</f>
        <v>0.90759999999999996</v>
      </c>
      <c r="C116" s="1016">
        <f>B116</f>
        <v>0.90759999999999996</v>
      </c>
      <c r="D116" s="1016">
        <f>ROUND(0.8567-0.013*B113,4)</f>
        <v>0.81189999999999996</v>
      </c>
      <c r="E116" s="1016">
        <f t="shared" ref="E116:H117" si="34">D116</f>
        <v>0.81189999999999996</v>
      </c>
      <c r="F116" s="1016">
        <f t="shared" si="34"/>
        <v>0.81189999999999996</v>
      </c>
      <c r="G116" s="1016">
        <f t="shared" si="34"/>
        <v>0.81189999999999996</v>
      </c>
      <c r="H116" s="1016">
        <f t="shared" si="34"/>
        <v>0.81189999999999996</v>
      </c>
      <c r="I116" s="1016">
        <f>ROUND(0.7694-0.014*B113,4)</f>
        <v>0.72109999999999996</v>
      </c>
      <c r="J116" s="1016">
        <f t="shared" si="33"/>
        <v>0.72109999999999996</v>
      </c>
      <c r="K116" s="1016">
        <f t="shared" si="33"/>
        <v>0.72109999999999996</v>
      </c>
      <c r="L116" s="1016">
        <f t="shared" si="33"/>
        <v>0.72109999999999996</v>
      </c>
      <c r="M116" s="1017">
        <f t="shared" si="33"/>
        <v>0.72109999999999996</v>
      </c>
    </row>
    <row r="117" spans="1:13" ht="12.75">
      <c r="A117" s="1018" t="s">
        <v>893</v>
      </c>
      <c r="B117" s="1016">
        <f>ROUND(0.8808-0.006*B113,4)</f>
        <v>0.86009999999999998</v>
      </c>
      <c r="C117" s="1016">
        <f>B117</f>
        <v>0.86009999999999998</v>
      </c>
      <c r="D117" s="1016">
        <f>ROUND(0.8748-0.008*B113,4)</f>
        <v>0.84719999999999995</v>
      </c>
      <c r="E117" s="1016">
        <f t="shared" si="34"/>
        <v>0.84719999999999995</v>
      </c>
      <c r="F117" s="1016">
        <f t="shared" si="34"/>
        <v>0.84719999999999995</v>
      </c>
      <c r="G117" s="1016">
        <f t="shared" si="34"/>
        <v>0.84719999999999995</v>
      </c>
      <c r="H117" s="1016">
        <f t="shared" si="34"/>
        <v>0.84719999999999995</v>
      </c>
      <c r="I117" s="1016">
        <f>ROUND(0.7412-0.0095*B113,4)</f>
        <v>0.70840000000000003</v>
      </c>
      <c r="J117" s="1016">
        <f t="shared" si="33"/>
        <v>0.70840000000000003</v>
      </c>
      <c r="K117" s="1016">
        <f t="shared" si="33"/>
        <v>0.70840000000000003</v>
      </c>
      <c r="L117" s="1016">
        <f t="shared" si="33"/>
        <v>0.70840000000000003</v>
      </c>
      <c r="M117" s="1017">
        <f t="shared" si="33"/>
        <v>0.70840000000000003</v>
      </c>
    </row>
    <row r="118" spans="1:13" ht="13.5" thickBot="1">
      <c r="A118" s="1019" t="s">
        <v>894</v>
      </c>
      <c r="B118" s="1020">
        <f>ROUND(0.7275-0.01*B113,4)</f>
        <v>0.69299999999999995</v>
      </c>
      <c r="C118" s="1020">
        <f>B118</f>
        <v>0.69299999999999995</v>
      </c>
      <c r="D118" s="1020">
        <f>ROUND(0.7043-0.012*B113,4)</f>
        <v>0.66290000000000004</v>
      </c>
      <c r="E118" s="1020">
        <f>D118</f>
        <v>0.66290000000000004</v>
      </c>
      <c r="F118" s="1020">
        <f>E118</f>
        <v>0.66290000000000004</v>
      </c>
      <c r="G118" s="1020">
        <f>ROUND(0.6299-0.0122*B113,4)</f>
        <v>0.58779999999999999</v>
      </c>
      <c r="H118" s="1020">
        <f>G118</f>
        <v>0.58779999999999999</v>
      </c>
      <c r="I118" s="1020">
        <f>ROUND(0.5667-0.0136*B113,4)</f>
        <v>0.51980000000000004</v>
      </c>
      <c r="J118" s="1020">
        <f t="shared" si="33"/>
        <v>0.51980000000000004</v>
      </c>
      <c r="K118" s="1020">
        <f t="shared" si="33"/>
        <v>0.51980000000000004</v>
      </c>
      <c r="L118" s="1020">
        <f t="shared" si="33"/>
        <v>0.51980000000000004</v>
      </c>
      <c r="M118" s="1021">
        <f t="shared" si="33"/>
        <v>0.51980000000000004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2948</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51" t="s">
        <v>998</v>
      </c>
      <c r="B18" s="1136" t="s">
        <v>1437</v>
      </c>
      <c r="C18" s="1113" t="s">
        <v>1438</v>
      </c>
      <c r="D18" s="1114"/>
      <c r="E18" s="1136">
        <v>1</v>
      </c>
      <c r="F18" s="1115" t="s">
        <v>1439</v>
      </c>
      <c r="G18" s="1116"/>
      <c r="H18" s="1087"/>
      <c r="I18" s="1087"/>
    </row>
    <row r="19" spans="1:9" s="1529" customFormat="1" ht="19.5" customHeight="1">
      <c r="A19" s="3551"/>
      <c r="B19" s="3551" t="s">
        <v>1440</v>
      </c>
      <c r="C19" s="1113" t="s">
        <v>1441</v>
      </c>
      <c r="D19" s="1114"/>
      <c r="E19" s="1136">
        <v>0.9</v>
      </c>
      <c r="F19" s="1115" t="s">
        <v>1442</v>
      </c>
      <c r="G19" s="1116"/>
      <c r="H19" s="1087"/>
      <c r="I19" s="1087"/>
    </row>
    <row r="20" spans="1:9" s="1529" customFormat="1" ht="19.5" customHeight="1">
      <c r="A20" s="3551"/>
      <c r="B20" s="3551"/>
      <c r="C20" s="1113" t="s">
        <v>1443</v>
      </c>
      <c r="D20" s="1114"/>
      <c r="E20" s="1136">
        <v>1.1000000000000001</v>
      </c>
      <c r="F20" s="1115" t="s">
        <v>1444</v>
      </c>
      <c r="G20" s="1116"/>
      <c r="H20" s="1087"/>
      <c r="I20" s="1087"/>
    </row>
    <row r="21" spans="1:9" s="1529" customFormat="1" ht="19.5" customHeight="1">
      <c r="A21" s="3551"/>
      <c r="B21" s="3551"/>
      <c r="C21" s="1113" t="s">
        <v>1445</v>
      </c>
      <c r="D21" s="1114"/>
      <c r="E21" s="1136">
        <v>0.8</v>
      </c>
      <c r="F21" s="1115" t="s">
        <v>1446</v>
      </c>
      <c r="G21" s="1116"/>
      <c r="H21" s="1087"/>
      <c r="I21" s="1087"/>
    </row>
    <row r="22" spans="1:9" s="1529" customFormat="1" ht="19.5" customHeight="1">
      <c r="A22" s="3551"/>
      <c r="B22" s="3551"/>
      <c r="C22" s="1113" t="s">
        <v>1447</v>
      </c>
      <c r="D22" s="1114"/>
      <c r="E22" s="1136">
        <v>0.5</v>
      </c>
      <c r="F22" s="1115"/>
      <c r="G22" s="1116"/>
      <c r="H22" s="1087"/>
      <c r="I22" s="1087"/>
    </row>
    <row r="23" spans="1:9" s="1529" customFormat="1" ht="19.5" customHeight="1">
      <c r="A23" s="3551" t="s">
        <v>1020</v>
      </c>
      <c r="B23" s="1136" t="s">
        <v>1437</v>
      </c>
      <c r="C23" s="1113" t="s">
        <v>1448</v>
      </c>
      <c r="D23" s="1114"/>
      <c r="E23" s="1136">
        <v>1</v>
      </c>
      <c r="F23" s="1115" t="s">
        <v>1449</v>
      </c>
      <c r="G23" s="1116"/>
      <c r="H23" s="1087"/>
      <c r="I23" s="1087"/>
    </row>
    <row r="24" spans="1:9" s="1529" customFormat="1" ht="19.5" customHeight="1">
      <c r="A24" s="3551"/>
      <c r="B24" s="3551" t="s">
        <v>1440</v>
      </c>
      <c r="C24" s="1113" t="s">
        <v>1450</v>
      </c>
      <c r="D24" s="1114"/>
      <c r="E24" s="1136">
        <v>0.5</v>
      </c>
      <c r="F24" s="1115"/>
      <c r="G24" s="1116"/>
      <c r="H24" s="1087"/>
      <c r="I24" s="1087"/>
    </row>
    <row r="25" spans="1:9" s="1529" customFormat="1" ht="19.5" customHeight="1">
      <c r="A25" s="3551"/>
      <c r="B25" s="3551"/>
      <c r="C25" s="1113" t="s">
        <v>1451</v>
      </c>
      <c r="D25" s="1114"/>
      <c r="E25" s="1136">
        <v>1.1000000000000001</v>
      </c>
      <c r="F25" s="1115"/>
      <c r="G25" s="1116"/>
      <c r="H25" s="1087"/>
      <c r="I25" s="1087"/>
    </row>
    <row r="26" spans="1:9" s="1529" customFormat="1" ht="19.5" customHeight="1">
      <c r="A26" s="3551"/>
      <c r="B26" s="3551"/>
      <c r="C26" s="1113" t="s">
        <v>1452</v>
      </c>
      <c r="D26" s="1114"/>
      <c r="E26" s="1136">
        <v>1.1000000000000001</v>
      </c>
      <c r="F26" s="1115"/>
      <c r="G26" s="1116"/>
      <c r="H26" s="1087"/>
      <c r="I26" s="1087"/>
    </row>
    <row r="27" spans="1:9" s="1529" customFormat="1" ht="19.5" customHeight="1">
      <c r="A27" s="3551"/>
      <c r="B27" s="3551"/>
      <c r="C27" s="1113" t="s">
        <v>1453</v>
      </c>
      <c r="D27" s="1114"/>
      <c r="E27" s="1136">
        <v>0.9</v>
      </c>
      <c r="F27" s="1115" t="s">
        <v>1454</v>
      </c>
      <c r="G27" s="1116"/>
      <c r="H27" s="1087"/>
      <c r="I27" s="1087"/>
    </row>
    <row r="28" spans="1:9" s="1529" customFormat="1" ht="19.5" customHeight="1">
      <c r="A28" s="3551"/>
      <c r="B28" s="3551"/>
      <c r="C28" s="1113" t="s">
        <v>1455</v>
      </c>
      <c r="D28" s="1114"/>
      <c r="E28" s="1136">
        <v>0.9</v>
      </c>
      <c r="F28" s="1115" t="s">
        <v>1456</v>
      </c>
      <c r="G28" s="1116"/>
      <c r="H28" s="1087"/>
      <c r="I28" s="1087"/>
    </row>
    <row r="29" spans="1:9" s="1529" customFormat="1" ht="19.5" customHeight="1">
      <c r="A29" s="3551"/>
      <c r="B29" s="3551"/>
      <c r="C29" s="1113" t="s">
        <v>1457</v>
      </c>
      <c r="D29" s="1114"/>
      <c r="E29" s="1136">
        <v>0.9</v>
      </c>
      <c r="F29" s="1115" t="s">
        <v>1458</v>
      </c>
      <c r="G29" s="1116"/>
      <c r="H29" s="1087"/>
      <c r="I29" s="1087"/>
    </row>
    <row r="30" spans="1:9" s="1529" customFormat="1" ht="19.5" customHeight="1">
      <c r="A30" s="3551"/>
      <c r="B30" s="3551"/>
      <c r="C30" s="1113" t="s">
        <v>1459</v>
      </c>
      <c r="D30" s="1114"/>
      <c r="E30" s="1136">
        <v>0.9</v>
      </c>
      <c r="F30" s="1115" t="s">
        <v>1460</v>
      </c>
      <c r="G30" s="1116"/>
      <c r="H30" s="1087"/>
      <c r="I30" s="1087"/>
    </row>
    <row r="31" spans="1:9" s="1529" customFormat="1" ht="19.5" customHeight="1">
      <c r="A31" s="3551"/>
      <c r="B31" s="3551"/>
      <c r="C31" s="1113" t="s">
        <v>1461</v>
      </c>
      <c r="D31" s="1114"/>
      <c r="E31" s="1136">
        <v>0.8</v>
      </c>
      <c r="F31" s="1115" t="s">
        <v>1462</v>
      </c>
      <c r="G31" s="1116"/>
      <c r="H31" s="1087"/>
      <c r="I31" s="1087"/>
    </row>
    <row r="32" spans="1:9" s="1529" customFormat="1" ht="19.5" customHeight="1">
      <c r="A32" s="3551"/>
      <c r="B32" s="3551"/>
      <c r="C32" s="1113" t="s">
        <v>1463</v>
      </c>
      <c r="D32" s="1114"/>
      <c r="E32" s="1136">
        <v>0.8</v>
      </c>
      <c r="F32" s="1115" t="s">
        <v>1464</v>
      </c>
      <c r="G32" s="1116"/>
      <c r="H32" s="1087"/>
      <c r="I32" s="1087"/>
    </row>
    <row r="33" spans="1:9" s="1529" customFormat="1" ht="19.5" customHeight="1">
      <c r="A33" s="3551" t="s">
        <v>1465</v>
      </c>
      <c r="B33" s="1136" t="s">
        <v>1437</v>
      </c>
      <c r="C33" s="1113" t="s">
        <v>1466</v>
      </c>
      <c r="D33" s="1114"/>
      <c r="E33" s="1136">
        <v>1</v>
      </c>
      <c r="F33" s="1115" t="s">
        <v>1467</v>
      </c>
      <c r="G33" s="1116"/>
      <c r="H33" s="1087"/>
      <c r="I33" s="1087"/>
    </row>
    <row r="34" spans="1:9" s="1529" customFormat="1" ht="19.5" customHeight="1">
      <c r="A34" s="3551"/>
      <c r="B34" s="1136" t="s">
        <v>1440</v>
      </c>
      <c r="C34" s="1113" t="s">
        <v>1468</v>
      </c>
      <c r="D34" s="1114"/>
      <c r="E34" s="1136">
        <v>1.5</v>
      </c>
      <c r="F34" s="1115" t="s">
        <v>1469</v>
      </c>
      <c r="G34" s="1116"/>
      <c r="H34" s="1087"/>
      <c r="I34" s="1087"/>
    </row>
    <row r="35" spans="1:9" s="1529" customFormat="1" ht="19.5" customHeight="1">
      <c r="A35" s="3551" t="s">
        <v>1423</v>
      </c>
      <c r="B35" s="1136" t="s">
        <v>1437</v>
      </c>
      <c r="C35" s="1113" t="s">
        <v>1470</v>
      </c>
      <c r="D35" s="1114"/>
      <c r="E35" s="1136">
        <v>1</v>
      </c>
      <c r="F35" s="1115" t="s">
        <v>1471</v>
      </c>
      <c r="G35" s="1116"/>
      <c r="H35" s="1087"/>
      <c r="I35" s="1087"/>
    </row>
    <row r="36" spans="1:9" s="1529" customFormat="1" ht="19.5" customHeight="1">
      <c r="A36" s="3551"/>
      <c r="B36" s="3551" t="s">
        <v>1440</v>
      </c>
      <c r="C36" s="1113" t="s">
        <v>1472</v>
      </c>
      <c r="D36" s="1114"/>
      <c r="E36" s="1136">
        <v>1</v>
      </c>
      <c r="F36" s="1115" t="s">
        <v>1473</v>
      </c>
      <c r="G36" s="1116"/>
      <c r="H36" s="1087"/>
      <c r="I36" s="1087"/>
    </row>
    <row r="37" spans="1:9" s="1529" customFormat="1" ht="19.5" customHeight="1">
      <c r="A37" s="3551"/>
      <c r="B37" s="3551"/>
      <c r="C37" s="1113" t="s">
        <v>1474</v>
      </c>
      <c r="D37" s="1114"/>
      <c r="E37" s="1136">
        <v>1.5</v>
      </c>
      <c r="F37" s="1115" t="s">
        <v>1475</v>
      </c>
      <c r="G37" s="1116"/>
      <c r="H37" s="1087"/>
      <c r="I37" s="1087"/>
    </row>
    <row r="38" spans="1:9" s="1529" customFormat="1" ht="19.5" customHeight="1">
      <c r="A38" s="3551"/>
      <c r="B38" s="3551"/>
      <c r="C38" s="1113" t="s">
        <v>1476</v>
      </c>
      <c r="D38" s="1114"/>
      <c r="E38" s="1136">
        <v>1</v>
      </c>
      <c r="F38" s="1115" t="s">
        <v>1477</v>
      </c>
      <c r="G38" s="1116"/>
      <c r="H38" s="1087"/>
      <c r="I38" s="1087"/>
    </row>
    <row r="39" spans="1:9" s="1529" customFormat="1" ht="19.5" customHeight="1">
      <c r="A39" s="3551"/>
      <c r="B39" s="3551"/>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1" t="s">
        <v>1492</v>
      </c>
      <c r="C61" s="1050" t="s">
        <v>1493</v>
      </c>
      <c r="D61" s="1050" t="s">
        <v>1494</v>
      </c>
      <c r="E61" s="1121">
        <v>0.5</v>
      </c>
      <c r="F61" s="1136">
        <v>80</v>
      </c>
      <c r="H61" s="1087">
        <f>SUMIF(C59:C119,基准地价!C8,E59:E119)</f>
        <v>0</v>
      </c>
    </row>
    <row r="62" spans="1:8" s="1087" customFormat="1" ht="24">
      <c r="A62" s="1136">
        <v>2</v>
      </c>
      <c r="B62" s="3551"/>
      <c r="C62" s="1050" t="s">
        <v>1495</v>
      </c>
      <c r="D62" s="1050" t="s">
        <v>1496</v>
      </c>
      <c r="E62" s="1121">
        <v>0.5</v>
      </c>
      <c r="F62" s="1136">
        <v>80</v>
      </c>
    </row>
    <row r="63" spans="1:8" s="1087" customFormat="1" ht="36">
      <c r="A63" s="1136">
        <v>3</v>
      </c>
      <c r="B63" s="3551"/>
      <c r="C63" s="1050" t="s">
        <v>1497</v>
      </c>
      <c r="D63" s="1050" t="s">
        <v>1498</v>
      </c>
      <c r="E63" s="1121">
        <v>0.5</v>
      </c>
      <c r="F63" s="1136">
        <v>80</v>
      </c>
    </row>
    <row r="64" spans="1:8" s="1087" customFormat="1" ht="36">
      <c r="A64" s="1136">
        <v>4</v>
      </c>
      <c r="B64" s="3551"/>
      <c r="C64" s="1050" t="s">
        <v>1499</v>
      </c>
      <c r="D64" s="1050" t="s">
        <v>1500</v>
      </c>
      <c r="E64" s="1121">
        <v>0.4</v>
      </c>
      <c r="F64" s="1136">
        <v>60</v>
      </c>
    </row>
    <row r="65" spans="1:6" s="1087" customFormat="1" ht="36">
      <c r="A65" s="1136">
        <v>5</v>
      </c>
      <c r="B65" s="3551"/>
      <c r="C65" s="1050" t="s">
        <v>1501</v>
      </c>
      <c r="D65" s="1050" t="s">
        <v>1502</v>
      </c>
      <c r="E65" s="1121">
        <v>0.2</v>
      </c>
      <c r="F65" s="1136">
        <v>30</v>
      </c>
    </row>
    <row r="66" spans="1:6" s="1087" customFormat="1" ht="36">
      <c r="A66" s="1136">
        <v>6</v>
      </c>
      <c r="B66" s="3551"/>
      <c r="C66" s="1050" t="s">
        <v>1503</v>
      </c>
      <c r="D66" s="1050" t="s">
        <v>1504</v>
      </c>
      <c r="E66" s="1121">
        <v>0.3</v>
      </c>
      <c r="F66" s="1136">
        <v>50</v>
      </c>
    </row>
    <row r="67" spans="1:6" s="1087" customFormat="1" ht="36">
      <c r="A67" s="1136">
        <v>7</v>
      </c>
      <c r="B67" s="3551"/>
      <c r="C67" s="1050" t="s">
        <v>1505</v>
      </c>
      <c r="D67" s="1050" t="s">
        <v>1506</v>
      </c>
      <c r="E67" s="1121">
        <v>0.2</v>
      </c>
      <c r="F67" s="1136">
        <v>30</v>
      </c>
    </row>
    <row r="68" spans="1:6" s="1087" customFormat="1" ht="36">
      <c r="A68" s="1136">
        <v>8</v>
      </c>
      <c r="B68" s="3551"/>
      <c r="C68" s="1050" t="s">
        <v>1507</v>
      </c>
      <c r="D68" s="1050" t="s">
        <v>1508</v>
      </c>
      <c r="E68" s="1121">
        <v>0.2</v>
      </c>
      <c r="F68" s="1136">
        <v>30</v>
      </c>
    </row>
    <row r="69" spans="1:6" s="1087" customFormat="1" ht="36">
      <c r="A69" s="1136">
        <v>9</v>
      </c>
      <c r="B69" s="3551"/>
      <c r="C69" s="1050" t="s">
        <v>1509</v>
      </c>
      <c r="D69" s="1050" t="s">
        <v>1510</v>
      </c>
      <c r="E69" s="1121">
        <v>0.2</v>
      </c>
      <c r="F69" s="1136">
        <v>30</v>
      </c>
    </row>
    <row r="70" spans="1:6" s="1087" customFormat="1" ht="48">
      <c r="A70" s="1136">
        <v>10</v>
      </c>
      <c r="B70" s="3551"/>
      <c r="C70" s="1050" t="s">
        <v>1511</v>
      </c>
      <c r="D70" s="1050" t="s">
        <v>1512</v>
      </c>
      <c r="E70" s="1121">
        <v>0.2</v>
      </c>
      <c r="F70" s="1136">
        <v>30</v>
      </c>
    </row>
    <row r="71" spans="1:6" s="1087" customFormat="1" ht="48">
      <c r="A71" s="1136">
        <v>11</v>
      </c>
      <c r="B71" s="3551"/>
      <c r="C71" s="1050" t="s">
        <v>1513</v>
      </c>
      <c r="D71" s="1050" t="s">
        <v>1514</v>
      </c>
      <c r="E71" s="1121">
        <v>0.2</v>
      </c>
      <c r="F71" s="1136">
        <v>30</v>
      </c>
    </row>
    <row r="72" spans="1:6" s="1087" customFormat="1" ht="36">
      <c r="A72" s="1136">
        <v>12</v>
      </c>
      <c r="B72" s="3551"/>
      <c r="C72" s="1050" t="s">
        <v>1515</v>
      </c>
      <c r="D72" s="1050" t="s">
        <v>1516</v>
      </c>
      <c r="E72" s="1121">
        <v>0.5</v>
      </c>
      <c r="F72" s="1136">
        <v>80</v>
      </c>
    </row>
    <row r="73" spans="1:6" s="1087" customFormat="1" ht="24">
      <c r="A73" s="1136">
        <v>13</v>
      </c>
      <c r="B73" s="3551"/>
      <c r="C73" s="1050" t="s">
        <v>1517</v>
      </c>
      <c r="D73" s="1050" t="s">
        <v>1518</v>
      </c>
      <c r="E73" s="1121">
        <v>0.4</v>
      </c>
      <c r="F73" s="1136">
        <v>60</v>
      </c>
    </row>
    <row r="74" spans="1:6" s="1087" customFormat="1" ht="24">
      <c r="A74" s="1136">
        <v>14</v>
      </c>
      <c r="B74" s="3551"/>
      <c r="C74" s="1050" t="s">
        <v>1519</v>
      </c>
      <c r="D74" s="1050" t="s">
        <v>1520</v>
      </c>
      <c r="E74" s="1121">
        <v>0.2</v>
      </c>
      <c r="F74" s="1136">
        <v>30</v>
      </c>
    </row>
    <row r="75" spans="1:6" s="1087" customFormat="1" ht="24">
      <c r="A75" s="1136">
        <v>15</v>
      </c>
      <c r="B75" s="3551"/>
      <c r="C75" s="1050" t="s">
        <v>1521</v>
      </c>
      <c r="D75" s="1050" t="s">
        <v>1522</v>
      </c>
      <c r="E75" s="1121">
        <v>0.2</v>
      </c>
      <c r="F75" s="1136">
        <v>30</v>
      </c>
    </row>
    <row r="76" spans="1:6" s="1087" customFormat="1" ht="24">
      <c r="A76" s="1136">
        <v>16</v>
      </c>
      <c r="B76" s="3551" t="s">
        <v>1523</v>
      </c>
      <c r="C76" s="1050" t="s">
        <v>1524</v>
      </c>
      <c r="D76" s="1050" t="s">
        <v>1525</v>
      </c>
      <c r="E76" s="1121">
        <v>0.5</v>
      </c>
      <c r="F76" s="1136">
        <v>80</v>
      </c>
    </row>
    <row r="77" spans="1:6" s="1087" customFormat="1" ht="24">
      <c r="A77" s="1136">
        <v>17</v>
      </c>
      <c r="B77" s="3551"/>
      <c r="C77" s="1050" t="s">
        <v>1526</v>
      </c>
      <c r="D77" s="1050" t="s">
        <v>1527</v>
      </c>
      <c r="E77" s="1121">
        <v>0.5</v>
      </c>
      <c r="F77" s="1136">
        <v>80</v>
      </c>
    </row>
    <row r="78" spans="1:6" s="1087" customFormat="1" ht="24">
      <c r="A78" s="1136">
        <v>18</v>
      </c>
      <c r="B78" s="3551"/>
      <c r="C78" s="1050" t="s">
        <v>1528</v>
      </c>
      <c r="D78" s="1050" t="s">
        <v>1529</v>
      </c>
      <c r="E78" s="1121">
        <v>0.2</v>
      </c>
      <c r="F78" s="1136">
        <v>30</v>
      </c>
    </row>
    <row r="79" spans="1:6" s="1087" customFormat="1" ht="24">
      <c r="A79" s="1136">
        <v>19</v>
      </c>
      <c r="B79" s="3551"/>
      <c r="C79" s="1050" t="s">
        <v>1530</v>
      </c>
      <c r="D79" s="1050" t="s">
        <v>1531</v>
      </c>
      <c r="E79" s="1121">
        <v>0.5</v>
      </c>
      <c r="F79" s="1136">
        <v>80</v>
      </c>
    </row>
    <row r="80" spans="1:6" s="1087" customFormat="1" ht="36">
      <c r="A80" s="1136">
        <v>20</v>
      </c>
      <c r="B80" s="3551"/>
      <c r="C80" s="1050" t="s">
        <v>1532</v>
      </c>
      <c r="D80" s="1050" t="s">
        <v>1533</v>
      </c>
      <c r="E80" s="1121">
        <v>0.2</v>
      </c>
      <c r="F80" s="1136">
        <v>30</v>
      </c>
    </row>
    <row r="81" spans="1:6" s="1087" customFormat="1" ht="36">
      <c r="A81" s="1136">
        <v>21</v>
      </c>
      <c r="B81" s="3551"/>
      <c r="C81" s="1050" t="s">
        <v>1534</v>
      </c>
      <c r="D81" s="1050" t="s">
        <v>1535</v>
      </c>
      <c r="E81" s="1121">
        <v>0.2</v>
      </c>
      <c r="F81" s="1136">
        <v>30</v>
      </c>
    </row>
    <row r="82" spans="1:6" s="1087" customFormat="1" ht="48">
      <c r="A82" s="1136">
        <v>22</v>
      </c>
      <c r="B82" s="3551"/>
      <c r="C82" s="1050" t="s">
        <v>1536</v>
      </c>
      <c r="D82" s="1050" t="s">
        <v>1537</v>
      </c>
      <c r="E82" s="1121">
        <v>0.2</v>
      </c>
      <c r="F82" s="1136">
        <v>30</v>
      </c>
    </row>
    <row r="83" spans="1:6" s="1087" customFormat="1" ht="48">
      <c r="A83" s="1136">
        <v>23</v>
      </c>
      <c r="B83" s="3551"/>
      <c r="C83" s="1050" t="s">
        <v>1538</v>
      </c>
      <c r="D83" s="1050" t="s">
        <v>1539</v>
      </c>
      <c r="E83" s="1121">
        <v>0.2</v>
      </c>
      <c r="F83" s="1136">
        <v>30</v>
      </c>
    </row>
    <row r="84" spans="1:6" s="1087" customFormat="1" ht="36">
      <c r="A84" s="1136">
        <v>24</v>
      </c>
      <c r="B84" s="3551"/>
      <c r="C84" s="1050" t="s">
        <v>1540</v>
      </c>
      <c r="D84" s="1050" t="s">
        <v>1541</v>
      </c>
      <c r="E84" s="1121">
        <v>0.2</v>
      </c>
      <c r="F84" s="1136">
        <v>30</v>
      </c>
    </row>
    <row r="85" spans="1:6" s="1087" customFormat="1" ht="36">
      <c r="A85" s="1136">
        <v>25</v>
      </c>
      <c r="B85" s="3551"/>
      <c r="C85" s="1050" t="s">
        <v>1542</v>
      </c>
      <c r="D85" s="1050" t="s">
        <v>1543</v>
      </c>
      <c r="E85" s="1121">
        <v>0.5</v>
      </c>
      <c r="F85" s="1136">
        <v>80</v>
      </c>
    </row>
    <row r="86" spans="1:6" s="1087" customFormat="1" ht="36">
      <c r="A86" s="1136">
        <v>26</v>
      </c>
      <c r="B86" s="3551"/>
      <c r="C86" s="1050" t="s">
        <v>1544</v>
      </c>
      <c r="D86" s="1050" t="s">
        <v>1545</v>
      </c>
      <c r="E86" s="1121">
        <v>0.2</v>
      </c>
      <c r="F86" s="1136">
        <v>30</v>
      </c>
    </row>
    <row r="87" spans="1:6" s="1087" customFormat="1" ht="36">
      <c r="A87" s="1136">
        <v>27</v>
      </c>
      <c r="B87" s="3551"/>
      <c r="C87" s="1050" t="s">
        <v>1546</v>
      </c>
      <c r="D87" s="1050" t="s">
        <v>1547</v>
      </c>
      <c r="E87" s="1121">
        <v>0.2</v>
      </c>
      <c r="F87" s="1136">
        <v>30</v>
      </c>
    </row>
    <row r="88" spans="1:6" s="1087" customFormat="1" ht="36">
      <c r="A88" s="1136">
        <v>28</v>
      </c>
      <c r="B88" s="3551"/>
      <c r="C88" s="1050" t="s">
        <v>1548</v>
      </c>
      <c r="D88" s="1050" t="s">
        <v>1549</v>
      </c>
      <c r="E88" s="1121">
        <v>0.2</v>
      </c>
      <c r="F88" s="1136">
        <v>30</v>
      </c>
    </row>
    <row r="89" spans="1:6" s="1087" customFormat="1" ht="24">
      <c r="A89" s="1136">
        <v>29</v>
      </c>
      <c r="B89" s="3551"/>
      <c r="C89" s="1050" t="s">
        <v>1550</v>
      </c>
      <c r="D89" s="1050" t="s">
        <v>1551</v>
      </c>
      <c r="E89" s="1121">
        <v>0.2</v>
      </c>
      <c r="F89" s="1136">
        <v>30</v>
      </c>
    </row>
    <row r="90" spans="1:6" s="1087" customFormat="1" ht="24">
      <c r="A90" s="1136">
        <v>30</v>
      </c>
      <c r="B90" s="3551"/>
      <c r="C90" s="1050" t="s">
        <v>1552</v>
      </c>
      <c r="D90" s="1050" t="s">
        <v>1553</v>
      </c>
      <c r="E90" s="1121">
        <v>0.2</v>
      </c>
      <c r="F90" s="1136">
        <v>30</v>
      </c>
    </row>
    <row r="91" spans="1:6" s="1087" customFormat="1" ht="36">
      <c r="A91" s="1136">
        <v>31</v>
      </c>
      <c r="B91" s="3551"/>
      <c r="C91" s="1050" t="s">
        <v>1554</v>
      </c>
      <c r="D91" s="1050" t="s">
        <v>1555</v>
      </c>
      <c r="E91" s="1121">
        <v>0.2</v>
      </c>
      <c r="F91" s="1136">
        <v>30</v>
      </c>
    </row>
    <row r="92" spans="1:6" s="1087" customFormat="1" ht="24">
      <c r="A92" s="1136">
        <v>32</v>
      </c>
      <c r="B92" s="3551" t="s">
        <v>1556</v>
      </c>
      <c r="C92" s="1136" t="s">
        <v>1557</v>
      </c>
      <c r="D92" s="1050" t="s">
        <v>1558</v>
      </c>
      <c r="E92" s="1121">
        <v>0.2</v>
      </c>
      <c r="F92" s="1136">
        <v>30</v>
      </c>
    </row>
    <row r="93" spans="1:6" s="1087" customFormat="1" ht="36">
      <c r="A93" s="1136">
        <v>33</v>
      </c>
      <c r="B93" s="3551"/>
      <c r="C93" s="1136" t="s">
        <v>1559</v>
      </c>
      <c r="D93" s="1050" t="s">
        <v>1560</v>
      </c>
      <c r="E93" s="1121">
        <v>0.2</v>
      </c>
      <c r="F93" s="1136">
        <v>30</v>
      </c>
    </row>
    <row r="94" spans="1:6" s="1087" customFormat="1" ht="48">
      <c r="A94" s="1136">
        <v>34</v>
      </c>
      <c r="B94" s="3551"/>
      <c r="C94" s="1136" t="s">
        <v>1561</v>
      </c>
      <c r="D94" s="1050" t="s">
        <v>1562</v>
      </c>
      <c r="E94" s="1121">
        <v>0.2</v>
      </c>
      <c r="F94" s="1136">
        <v>30</v>
      </c>
    </row>
    <row r="95" spans="1:6" s="1087" customFormat="1" ht="36">
      <c r="A95" s="1136">
        <v>35</v>
      </c>
      <c r="B95" s="3551"/>
      <c r="C95" s="1136" t="s">
        <v>1563</v>
      </c>
      <c r="D95" s="1050" t="s">
        <v>1564</v>
      </c>
      <c r="E95" s="1121">
        <v>0.2</v>
      </c>
      <c r="F95" s="1136">
        <v>30</v>
      </c>
    </row>
    <row r="96" spans="1:6" s="1087" customFormat="1" ht="48">
      <c r="A96" s="1136">
        <v>36</v>
      </c>
      <c r="B96" s="3551"/>
      <c r="C96" s="1050" t="s">
        <v>1565</v>
      </c>
      <c r="D96" s="1050" t="s">
        <v>1566</v>
      </c>
      <c r="E96" s="1121">
        <v>0.2</v>
      </c>
      <c r="F96" s="1136">
        <v>30</v>
      </c>
    </row>
    <row r="97" spans="1:6" s="1087" customFormat="1" ht="36">
      <c r="A97" s="1136">
        <v>37</v>
      </c>
      <c r="B97" s="3551"/>
      <c r="C97" s="1136" t="s">
        <v>1567</v>
      </c>
      <c r="D97" s="1050" t="s">
        <v>1568</v>
      </c>
      <c r="E97" s="1121">
        <v>0.2</v>
      </c>
      <c r="F97" s="1136">
        <v>30</v>
      </c>
    </row>
    <row r="98" spans="1:6" s="1087" customFormat="1" ht="36">
      <c r="A98" s="1136">
        <v>38</v>
      </c>
      <c r="B98" s="3551"/>
      <c r="C98" s="1136" t="s">
        <v>1569</v>
      </c>
      <c r="D98" s="1050" t="s">
        <v>1570</v>
      </c>
      <c r="E98" s="1121">
        <v>0.2</v>
      </c>
      <c r="F98" s="1136">
        <v>30</v>
      </c>
    </row>
    <row r="99" spans="1:6" s="1087" customFormat="1" ht="36">
      <c r="A99" s="1136">
        <v>39</v>
      </c>
      <c r="B99" s="3551" t="s">
        <v>1571</v>
      </c>
      <c r="C99" s="1136" t="s">
        <v>1572</v>
      </c>
      <c r="D99" s="1050" t="s">
        <v>1573</v>
      </c>
      <c r="E99" s="1121">
        <v>0.3</v>
      </c>
      <c r="F99" s="1136">
        <v>50</v>
      </c>
    </row>
    <row r="100" spans="1:6" s="1087" customFormat="1" ht="24">
      <c r="A100" s="1136">
        <v>40</v>
      </c>
      <c r="B100" s="3551"/>
      <c r="C100" s="1136" t="s">
        <v>1574</v>
      </c>
      <c r="D100" s="1050" t="s">
        <v>1575</v>
      </c>
      <c r="E100" s="1121">
        <v>0.2</v>
      </c>
      <c r="F100" s="1136">
        <v>30</v>
      </c>
    </row>
    <row r="101" spans="1:6" s="1087" customFormat="1" ht="36">
      <c r="A101" s="1136">
        <v>41</v>
      </c>
      <c r="B101" s="3551"/>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1" t="s">
        <v>1586</v>
      </c>
      <c r="C105" s="1136" t="s">
        <v>1587</v>
      </c>
      <c r="D105" s="1050" t="s">
        <v>1588</v>
      </c>
      <c r="E105" s="1121">
        <v>0.2</v>
      </c>
      <c r="F105" s="1136">
        <v>30</v>
      </c>
    </row>
    <row r="106" spans="1:6" s="1087" customFormat="1" ht="36">
      <c r="A106" s="1136">
        <v>46</v>
      </c>
      <c r="B106" s="3551"/>
      <c r="C106" s="1136" t="s">
        <v>1589</v>
      </c>
      <c r="D106" s="1050" t="s">
        <v>1590</v>
      </c>
      <c r="E106" s="1121">
        <v>0.2</v>
      </c>
      <c r="F106" s="1136">
        <v>30</v>
      </c>
    </row>
    <row r="107" spans="1:6" s="1087" customFormat="1" ht="36">
      <c r="A107" s="1136">
        <v>47</v>
      </c>
      <c r="B107" s="3551" t="s">
        <v>1591</v>
      </c>
      <c r="C107" s="1136" t="s">
        <v>1592</v>
      </c>
      <c r="D107" s="1050" t="s">
        <v>1593</v>
      </c>
      <c r="E107" s="1121">
        <v>0.3</v>
      </c>
      <c r="F107" s="1136">
        <v>50</v>
      </c>
    </row>
    <row r="108" spans="1:6" s="1087" customFormat="1" ht="36">
      <c r="A108" s="1136">
        <v>48</v>
      </c>
      <c r="B108" s="3551"/>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1" t="s">
        <v>1602</v>
      </c>
      <c r="C111" s="1136" t="s">
        <v>1603</v>
      </c>
      <c r="D111" s="1050" t="s">
        <v>1604</v>
      </c>
      <c r="E111" s="1121">
        <v>0.2</v>
      </c>
      <c r="F111" s="1136">
        <v>30</v>
      </c>
    </row>
    <row r="112" spans="1:6" s="1087" customFormat="1" ht="24">
      <c r="A112" s="1136">
        <v>52</v>
      </c>
      <c r="B112" s="3551"/>
      <c r="C112" s="1136" t="s">
        <v>1605</v>
      </c>
      <c r="D112" s="1050" t="s">
        <v>1606</v>
      </c>
      <c r="E112" s="1121">
        <v>0.2</v>
      </c>
      <c r="F112" s="1136">
        <v>30</v>
      </c>
    </row>
    <row r="113" spans="1:14" s="1087" customFormat="1" ht="24">
      <c r="A113" s="1136">
        <v>53</v>
      </c>
      <c r="B113" s="3551"/>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1" t="s">
        <v>1615</v>
      </c>
      <c r="C116" s="1136" t="s">
        <v>1616</v>
      </c>
      <c r="D116" s="1050" t="s">
        <v>1617</v>
      </c>
      <c r="E116" s="1121">
        <v>0.2</v>
      </c>
      <c r="F116" s="1136">
        <v>30</v>
      </c>
    </row>
    <row r="117" spans="1:14" ht="36">
      <c r="A117" s="1136">
        <v>57</v>
      </c>
      <c r="B117" s="3551"/>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0" t="s">
        <v>1624</v>
      </c>
      <c r="B121" s="3550"/>
      <c r="C121" s="3550"/>
      <c r="D121" s="3550"/>
      <c r="E121" s="3550"/>
      <c r="F121" s="3550"/>
      <c r="G121" s="3550"/>
      <c r="H121" s="3550"/>
      <c r="I121" s="3550"/>
      <c r="J121" s="355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2" t="s">
        <v>1030</v>
      </c>
      <c r="B1" s="3552"/>
      <c r="C1" s="3552"/>
      <c r="D1" s="3552"/>
      <c r="E1" s="3552"/>
      <c r="F1" s="355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3" t="s">
        <v>1043</v>
      </c>
      <c r="B2" s="3553"/>
      <c r="C2" s="3553"/>
      <c r="D2" s="3553"/>
      <c r="E2" s="3553"/>
      <c r="F2" s="355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6" t="s">
        <v>2068</v>
      </c>
      <c r="B1" s="355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4" t="s">
        <v>2557</v>
      </c>
      <c r="C1" s="3564"/>
      <c r="D1" s="3564"/>
      <c r="E1" s="3564"/>
      <c r="F1" s="3564"/>
      <c r="G1" s="3563" t="s">
        <v>2558</v>
      </c>
      <c r="H1" s="3563"/>
      <c r="I1" s="3563"/>
      <c r="J1" s="3563"/>
      <c r="K1" s="3563"/>
      <c r="L1" s="3563"/>
      <c r="N1" s="3563" t="s">
        <v>2559</v>
      </c>
      <c r="O1" s="3563"/>
      <c r="P1" s="3563"/>
      <c r="Q1" s="3563"/>
      <c r="S1" s="3563" t="s">
        <v>2560</v>
      </c>
      <c r="T1" s="3563"/>
      <c r="U1" s="3563"/>
      <c r="V1" s="3563"/>
      <c r="X1" s="3562" t="s">
        <v>2620</v>
      </c>
      <c r="Y1" s="3563"/>
      <c r="Z1" s="3563"/>
      <c r="AA1" s="3563"/>
      <c r="AB1" s="3563"/>
      <c r="AD1" s="3562" t="s">
        <v>2624</v>
      </c>
      <c r="AE1" s="3563"/>
      <c r="AF1" s="3563"/>
      <c r="AG1" s="3563"/>
      <c r="AH1" s="3563"/>
    </row>
    <row r="2" spans="1:34" s="2865" customFormat="1" ht="14.25" thickBot="1">
      <c r="B2" s="2866" t="s">
        <v>2561</v>
      </c>
      <c r="C2" s="2866" t="s">
        <v>2622</v>
      </c>
      <c r="D2" s="2867" t="s">
        <v>1635</v>
      </c>
      <c r="E2" s="2867" t="s">
        <v>1938</v>
      </c>
      <c r="F2" s="2866" t="s">
        <v>2623</v>
      </c>
      <c r="G2" s="2868"/>
      <c r="I2" s="2866" t="s">
        <v>2918</v>
      </c>
      <c r="J2" s="2867" t="s">
        <v>2920</v>
      </c>
      <c r="K2" s="2867" t="s">
        <v>2921</v>
      </c>
      <c r="L2" s="2866" t="s">
        <v>2922</v>
      </c>
      <c r="N2" s="2866" t="s">
        <v>2561</v>
      </c>
      <c r="O2" s="2867" t="s">
        <v>2919</v>
      </c>
      <c r="P2" s="2867" t="s">
        <v>1938</v>
      </c>
      <c r="Q2" s="2866" t="s">
        <v>2623</v>
      </c>
      <c r="S2" s="2866" t="s">
        <v>2561</v>
      </c>
      <c r="T2" s="2867" t="s">
        <v>2919</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2929</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2930</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2997</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2959</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2957</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2954</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2953</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2950</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2949</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2946</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58">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2939</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58"/>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2940</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58"/>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2936</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59"/>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2928</v>
      </c>
      <c r="B17" s="2915">
        <v>439</v>
      </c>
      <c r="C17" s="2915">
        <v>327</v>
      </c>
      <c r="D17" s="2915">
        <f t="shared" si="120"/>
        <v>327</v>
      </c>
      <c r="E17" s="2915">
        <v>627</v>
      </c>
      <c r="F17" s="2916">
        <v>283</v>
      </c>
      <c r="G17" s="3557">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2931</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58"/>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58"/>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59"/>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57">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58"/>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58"/>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1"/>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6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58"/>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58"/>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1"/>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6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58"/>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58"/>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1"/>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65">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66"/>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66"/>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7"/>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6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58"/>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58"/>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1"/>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6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58">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58">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1">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6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58">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58">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1">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6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58">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58">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1">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6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58">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58">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1">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6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58">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58">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1">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6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58">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58">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1">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6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58">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58">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1">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6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58">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58">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1">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60">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58">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58">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1">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60">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58">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58">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1">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2912</v>
      </c>
      <c r="B1" s="3245"/>
      <c r="C1" s="3245"/>
      <c r="D1" s="3245"/>
      <c r="E1" s="3245"/>
      <c r="F1" s="3245"/>
      <c r="G1" s="3246"/>
      <c r="H1" s="3246"/>
      <c r="I1" s="3246"/>
      <c r="J1" s="3246"/>
      <c r="K1" s="3246"/>
      <c r="L1" s="3246"/>
      <c r="M1" s="3246"/>
      <c r="N1" s="3246"/>
    </row>
    <row r="2" spans="1:14" ht="14.25">
      <c r="A2" s="3251" t="s">
        <v>2907</v>
      </c>
      <c r="B2" s="3256">
        <f ca="1">SUMIF(B7:B14,"&lt;&gt;#ref!",B7:B14)</f>
        <v>0</v>
      </c>
      <c r="C2" s="3251" t="s">
        <v>2908</v>
      </c>
      <c r="D2" s="3248"/>
      <c r="E2" s="3248"/>
      <c r="F2" s="3248"/>
      <c r="G2" s="3246"/>
      <c r="H2" s="3246"/>
      <c r="I2" s="3246"/>
      <c r="J2" s="3246"/>
      <c r="K2" s="3246"/>
      <c r="L2" s="3246"/>
      <c r="M2" s="3246"/>
      <c r="N2" s="3246"/>
    </row>
    <row r="3" spans="1:14" ht="14.25">
      <c r="A3" s="3251" t="s">
        <v>2937</v>
      </c>
      <c r="B3" s="3256" t="e">
        <f ca="1">ROUND(B2*10000/E3,0)</f>
        <v>#DIV/0!</v>
      </c>
      <c r="C3" s="3251" t="s">
        <v>2067</v>
      </c>
      <c r="D3" s="3251" t="s">
        <v>2909</v>
      </c>
      <c r="E3" s="3249">
        <f ca="1">SUMIF(E7:E14,"&lt;&gt;#ref!",E7:E14)</f>
        <v>0</v>
      </c>
      <c r="F3" s="3248"/>
      <c r="G3" s="3246"/>
      <c r="H3" s="3246"/>
      <c r="I3" s="3246"/>
      <c r="J3" s="3246"/>
      <c r="K3" s="3246"/>
      <c r="L3" s="3246"/>
      <c r="M3" s="3246"/>
      <c r="N3" s="3246"/>
    </row>
    <row r="4" spans="1:14" ht="14.25">
      <c r="A4" s="3251" t="s">
        <v>2915</v>
      </c>
      <c r="B4" s="3256" t="e">
        <f ca="1">ROUND(B2*10000/E4,0)</f>
        <v>#DIV/0!</v>
      </c>
      <c r="C4" s="3251" t="s">
        <v>2067</v>
      </c>
      <c r="D4" s="3251" t="s">
        <v>2916</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2913</v>
      </c>
      <c r="B6" s="3251" t="s">
        <v>2910</v>
      </c>
      <c r="C6" s="2790"/>
      <c r="D6" s="3248"/>
      <c r="E6" s="3251" t="s">
        <v>2911</v>
      </c>
      <c r="F6" s="3251" t="s">
        <v>2914</v>
      </c>
      <c r="G6" s="3246"/>
      <c r="H6" s="3246"/>
      <c r="I6" s="3246"/>
      <c r="J6" s="3246"/>
      <c r="K6" s="3246"/>
      <c r="L6" s="3246"/>
      <c r="M6" s="3246"/>
      <c r="N6" s="3246"/>
    </row>
    <row r="7" spans="1:14" ht="14.25">
      <c r="A7" s="3254"/>
      <c r="B7" s="3256" t="e">
        <f ca="1">SUMIF(INDIRECT("'"&amp;A7&amp;"'"&amp;"!A:A"),"总价",INDIRECT("'"&amp;A7&amp;"'"&amp;"!B:B"))</f>
        <v>#REF!</v>
      </c>
      <c r="C7" s="3251" t="s">
        <v>2908</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2908</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2908</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2908</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2908</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2908</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2908</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2908</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6</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9" t="s">
        <v>2445</v>
      </c>
      <c r="C8" s="1740">
        <f ca="1">ROUND(F8*F10*F9*(1-F11)/10000,0)</f>
        <v>0</v>
      </c>
      <c r="D8" s="1737" t="s">
        <v>2516</v>
      </c>
      <c r="E8" s="61" t="s">
        <v>631</v>
      </c>
      <c r="F8" s="775">
        <f ca="1">INDIRECT("'数据-取费表'!u"&amp;$G$1)</f>
        <v>0</v>
      </c>
      <c r="G8" s="1526"/>
      <c r="H8" s="2357" t="s">
        <v>1815</v>
      </c>
      <c r="I8" s="3569" t="s">
        <v>2445</v>
      </c>
      <c r="J8" s="773">
        <f ca="1">ROUND(M8*M10*M9*(1-M11)/10000,0)</f>
        <v>0</v>
      </c>
      <c r="K8" s="339" t="s">
        <v>2516</v>
      </c>
      <c r="L8" s="774" t="s">
        <v>1729</v>
      </c>
      <c r="M8" s="775">
        <f ca="1">INDIRECT("'数据-取费表'!z"&amp;$G$1)</f>
        <v>0</v>
      </c>
    </row>
    <row r="9" spans="1:25" ht="18" customHeight="1">
      <c r="A9" s="2353"/>
      <c r="B9" s="3570"/>
      <c r="C9" s="1741"/>
      <c r="D9" s="1738"/>
      <c r="E9" s="61" t="s">
        <v>632</v>
      </c>
      <c r="F9" s="775">
        <f ca="1">IF(INDIRECT("'数据-取费表'!ah"&amp;$G$1)="",INDIRECT("'数据-取费表'!k"&amp;$G$1),INDIRECT("'数据-取费表'!ah"&amp;$G$1))</f>
        <v>0</v>
      </c>
      <c r="G9" s="1526"/>
      <c r="H9" s="2342"/>
      <c r="I9" s="3570"/>
      <c r="J9" s="778"/>
      <c r="K9" s="779"/>
      <c r="L9" s="774" t="s">
        <v>1730</v>
      </c>
      <c r="M9" s="775">
        <f ca="1">F9</f>
        <v>0</v>
      </c>
    </row>
    <row r="10" spans="1:25" ht="18" customHeight="1">
      <c r="A10" s="2346"/>
      <c r="B10" s="3571"/>
      <c r="C10" s="1741"/>
      <c r="D10" s="1738"/>
      <c r="E10" s="61" t="s">
        <v>633</v>
      </c>
      <c r="F10" s="775">
        <f ca="1">INDIRECT("'数据-取费表'!ai"&amp;$G$1)</f>
        <v>0</v>
      </c>
      <c r="G10" s="1526"/>
      <c r="H10" s="2342"/>
      <c r="I10" s="3571"/>
      <c r="J10" s="778"/>
      <c r="K10" s="779"/>
      <c r="L10" s="774" t="s">
        <v>1731</v>
      </c>
      <c r="M10" s="775">
        <f ca="1">INDIRECT("'数据-取费表'!ai"&amp;$G$1)</f>
        <v>0</v>
      </c>
    </row>
    <row r="11" spans="1:25" ht="18" customHeight="1">
      <c r="A11" s="776"/>
      <c r="B11" s="3572"/>
      <c r="C11" s="1741"/>
      <c r="D11" s="1738"/>
      <c r="E11" s="61" t="s">
        <v>634</v>
      </c>
      <c r="F11" s="784">
        <f ca="1">INDIRECT("'数据-取费表'!w"&amp;$G$1)</f>
        <v>0</v>
      </c>
      <c r="G11" s="1526"/>
      <c r="H11" s="2358"/>
      <c r="I11" s="357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2934</v>
      </c>
      <c r="E12" s="2351" t="s">
        <v>2446</v>
      </c>
      <c r="F12" s="2465"/>
      <c r="G12" s="1526"/>
      <c r="H12" s="2414" t="s">
        <v>1816</v>
      </c>
      <c r="I12" s="2419" t="s">
        <v>2441</v>
      </c>
      <c r="J12" s="773">
        <f ca="1">ROUND(IF(M12="押一",J8/12*M13,IF(M12="押二",J8/12*2*M13,IF(M12="押三",J8/12*3*M13,J13*M13))),0)</f>
        <v>0</v>
      </c>
      <c r="K12" s="2354" t="s">
        <v>2934</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1.5E-3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68"/>
      <c r="J36" s="1962"/>
      <c r="K36" s="1963"/>
      <c r="L36" s="1962"/>
      <c r="M36" s="1962"/>
    </row>
    <row r="37" spans="1:18" ht="18" customHeight="1">
      <c r="A37" s="804"/>
      <c r="B37" s="783"/>
      <c r="C37" s="69"/>
      <c r="D37" s="805"/>
      <c r="E37" s="774" t="s">
        <v>668</v>
      </c>
      <c r="F37" s="775">
        <f ca="1">INDIRECT("'数据-取费表'!r"&amp;$G$1)</f>
        <v>0</v>
      </c>
      <c r="G37" s="1945"/>
      <c r="H37" s="1948"/>
      <c r="I37" s="356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2923</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2938</v>
      </c>
      <c r="J54" s="2858">
        <f ca="1">IF(M48="住宅",MAX(J52,L49-'数据-取费表'!B20),MIN(J52,L49-'数据-取费表'!B20))</f>
        <v>-3</v>
      </c>
      <c r="K54" s="3573"/>
      <c r="L54" s="3574"/>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2906</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2" sqref="N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64257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2185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7540</v>
      </c>
      <c r="C4" s="422"/>
      <c r="D4" s="416"/>
      <c r="E4" s="416"/>
      <c r="F4" s="416"/>
      <c r="G4" s="416"/>
      <c r="H4" s="416"/>
      <c r="I4" s="416"/>
      <c r="J4" s="416"/>
      <c r="K4" s="416"/>
      <c r="L4" s="290"/>
      <c r="M4" s="290">
        <f ca="1">B2/'数据-汇总表'!F31</f>
        <v>0.21853914757590814</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503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193803</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3008</v>
      </c>
      <c r="D7" s="430" t="s">
        <v>3001</v>
      </c>
      <c r="E7" s="430" t="s">
        <v>35</v>
      </c>
      <c r="F7" s="430"/>
      <c r="G7" s="430"/>
      <c r="H7" s="430"/>
      <c r="I7" s="430"/>
      <c r="J7" s="430"/>
      <c r="K7" s="431"/>
      <c r="AA7" s="1994"/>
      <c r="AB7" s="1994"/>
      <c r="AC7" s="1994"/>
      <c r="AD7" s="1994"/>
      <c r="AE7" s="1994"/>
    </row>
    <row r="8" spans="1:31" s="1997" customFormat="1" ht="13.5" customHeight="1">
      <c r="A8" s="793" t="s">
        <v>1836</v>
      </c>
      <c r="B8" s="259" t="s">
        <v>466</v>
      </c>
      <c r="C8" s="2551"/>
      <c r="D8" s="2551">
        <f ca="1">不动产收益法!C43</f>
        <v>6591</v>
      </c>
      <c r="E8" s="2551">
        <f ca="1">不动产收益法车!B3</f>
        <v>0</v>
      </c>
      <c r="F8" s="2551"/>
      <c r="G8" s="2551"/>
      <c r="H8" s="2551"/>
      <c r="I8" s="2551"/>
      <c r="J8" s="2551"/>
      <c r="K8" s="2552"/>
      <c r="M8" s="1997" t="e">
        <f>'数据-汇总表'!G21/'剩余法-待开发'!F8</f>
        <v>#DIV/0!</v>
      </c>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294029.7</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0</v>
      </c>
      <c r="D10" s="2742">
        <f ca="1">不动产收益法!B2</f>
        <v>193803</v>
      </c>
      <c r="E10" s="2742">
        <f t="shared" ref="E10" ca="1" si="0">ROUND(E9*E8/10000,0)</f>
        <v>0</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67627</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2029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4410</v>
      </c>
      <c r="D16" s="2561">
        <f ca="1">IF(B1="",'数据-汇总表'!E3,INDIRECT("'数据-取费表'!K"&amp;$K$1)+INDIRECT("'数据-取费表'!S"&amp;$K$1))</f>
        <v>294029.7</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1014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75080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2352</v>
      </c>
      <c r="D19" s="2571">
        <f ca="1">D16</f>
        <v>294029.7</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3087</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3087</v>
      </c>
      <c r="D22" s="2561">
        <f ca="1">IF(B1="",'数据-汇总表'!E6,IF(INDIRECT("'数据-取费表'!c"&amp;$K$1)="住宅",INDIRECT("'数据-取费表'!s"&amp;$K$1),INDIRECT("'数据-取费表'!k"&amp;$K$1)+INDIRECT("'数据-取费表'!s"&amp;$K$1)))</f>
        <v>294029.7</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1208</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3876</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6368</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6368</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10336</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102307</v>
      </c>
      <c r="D30" s="471">
        <f ca="1">C32</f>
        <v>0.18779999999999999</v>
      </c>
      <c r="E30" s="463" t="s">
        <v>489</v>
      </c>
      <c r="F30" s="465"/>
      <c r="G30" s="2537" t="s">
        <v>2932</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102307</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8560</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8560</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64257</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受贵公司委托，我公司对江苏省连云港海州区锦屏山东南侧4号地出让国有建设用地使用权进行了预评估。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294029.7平方米。</v>
      </c>
    </row>
    <row r="7" spans="1:4" ht="56.25">
      <c r="A7" s="1710" t="s">
        <v>2728</v>
      </c>
    </row>
    <row r="8" spans="1:4" ht="18.75">
      <c r="A8" s="1709" t="s">
        <v>1897</v>
      </c>
    </row>
    <row r="9" spans="1:4" ht="75">
      <c r="A9" s="1711"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2021年3月22日（评估专业人员勘察现场之日）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根据《国有土地使用证》[]，估价对象（分摊）出让国有建设用地使用权面积为85225.54平方米。根据《建设工程规划许可证》[]、《出让合同》[]，估价对象规划建筑面积为294029.7平方米。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本次估价对象为出让国有建设用地使用权，《国有土地使用证》[]证载土地终止日期为商业2053年10月13日。截至估价期日，出让国有建设用地使用权剩余土地使用年限为。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22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43" sqref="F4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3001</v>
      </c>
      <c r="D1" s="2798" t="s">
        <v>3073</v>
      </c>
      <c r="E1" s="2242" t="s">
        <v>2359</v>
      </c>
      <c r="F1" s="2243">
        <f ca="1">J53</f>
        <v>29.58</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193803</v>
      </c>
      <c r="C2" s="3263"/>
      <c r="D2" s="3264"/>
      <c r="E2" s="3265"/>
      <c r="F2" s="3265"/>
      <c r="G2" s="3259"/>
      <c r="H2" s="1940"/>
      <c r="I2" s="1940"/>
      <c r="J2" s="1940"/>
      <c r="K2" s="1941"/>
      <c r="L2" s="1940"/>
      <c r="M2" s="1940"/>
    </row>
    <row r="3" spans="1:33" ht="18" customHeight="1" thickBot="1">
      <c r="A3" s="822" t="s">
        <v>1718</v>
      </c>
      <c r="B3" s="823">
        <f ca="1">IF(ISERROR(B2*10000/F43),0,ROUND(B2*10000/F43,0))</f>
        <v>6591</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13700</v>
      </c>
      <c r="D5" s="2349" t="s">
        <v>2443</v>
      </c>
      <c r="E5" s="2343"/>
      <c r="F5" s="2344"/>
      <c r="G5" s="1945"/>
      <c r="H5" s="771">
        <v>1</v>
      </c>
      <c r="I5" s="772" t="s">
        <v>2440</v>
      </c>
      <c r="J5" s="55">
        <f ca="1">J6+J10+J12</f>
        <v>0</v>
      </c>
      <c r="K5" s="2349" t="s">
        <v>2443</v>
      </c>
      <c r="L5" s="2343"/>
      <c r="M5" s="2344"/>
    </row>
    <row r="6" spans="1:33" ht="18" customHeight="1">
      <c r="A6" s="1745" t="s">
        <v>1815</v>
      </c>
      <c r="B6" s="3569" t="s">
        <v>2445</v>
      </c>
      <c r="C6" s="773">
        <f ca="1">ROUND(F6*F8*F7*(1-F9)/10000,0)</f>
        <v>13683</v>
      </c>
      <c r="D6" s="2350" t="s">
        <v>2444</v>
      </c>
      <c r="E6" s="774" t="s">
        <v>1729</v>
      </c>
      <c r="F6" s="775">
        <f ca="1">INDIRECT("'数据-取费表'!u"&amp;$G$1)</f>
        <v>1.5</v>
      </c>
      <c r="G6" s="1945"/>
      <c r="H6" s="2357" t="s">
        <v>2450</v>
      </c>
      <c r="I6" s="3569" t="s">
        <v>2445</v>
      </c>
      <c r="J6" s="773">
        <f ca="1">ROUND(M6*M8*M7*(1-M9)/10000,0)</f>
        <v>0</v>
      </c>
      <c r="K6" s="339" t="s">
        <v>1728</v>
      </c>
      <c r="L6" s="774" t="s">
        <v>1729</v>
      </c>
      <c r="M6" s="775">
        <f ca="1">INDIRECT("'数据-取费表'!z"&amp;$G$1)</f>
        <v>0</v>
      </c>
    </row>
    <row r="7" spans="1:33" ht="18" customHeight="1">
      <c r="A7" s="2353"/>
      <c r="B7" s="3570"/>
      <c r="C7" s="778"/>
      <c r="D7" s="779"/>
      <c r="E7" s="774" t="s">
        <v>1730</v>
      </c>
      <c r="F7" s="775">
        <f ca="1">IF(INDIRECT("'数据-取费表'!ah"&amp;$G$1)="",INDIRECT("'数据-取费表'!k"&amp;$G$1),INDIRECT("'数据-取费表'!ah"&amp;$G$1))</f>
        <v>294029.7</v>
      </c>
      <c r="G7" s="1945"/>
      <c r="H7" s="2342"/>
      <c r="I7" s="3570"/>
      <c r="J7" s="778"/>
      <c r="K7" s="779"/>
      <c r="L7" s="774" t="s">
        <v>1730</v>
      </c>
      <c r="M7" s="775">
        <f ca="1">F7</f>
        <v>294029.7</v>
      </c>
    </row>
    <row r="8" spans="1:33" ht="18" customHeight="1">
      <c r="A8" s="2346"/>
      <c r="B8" s="3571"/>
      <c r="C8" s="778"/>
      <c r="D8" s="779"/>
      <c r="E8" s="774" t="s">
        <v>1731</v>
      </c>
      <c r="F8" s="775">
        <f ca="1">INDIRECT("'数据-取费表'!ai"&amp;$G$1)</f>
        <v>365</v>
      </c>
      <c r="G8" s="1945"/>
      <c r="H8" s="2342"/>
      <c r="I8" s="3571"/>
      <c r="J8" s="778"/>
      <c r="K8" s="779"/>
      <c r="L8" s="774" t="s">
        <v>1731</v>
      </c>
      <c r="M8" s="775">
        <f ca="1">INDIRECT("'数据-取费表'!ai"&amp;$G$1)</f>
        <v>365</v>
      </c>
    </row>
    <row r="9" spans="1:33" ht="18" customHeight="1">
      <c r="A9" s="776"/>
      <c r="B9" s="3572"/>
      <c r="C9" s="778"/>
      <c r="D9" s="779"/>
      <c r="E9" s="774" t="s">
        <v>1732</v>
      </c>
      <c r="F9" s="784">
        <f ca="1">INDIRECT("'数据-取费表'!w"&amp;$G$1)</f>
        <v>0.15</v>
      </c>
      <c r="G9" s="1945"/>
      <c r="H9" s="2358"/>
      <c r="I9" s="357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17</v>
      </c>
      <c r="D10" s="2354" t="s">
        <v>2934</v>
      </c>
      <c r="E10" s="2351" t="s">
        <v>2446</v>
      </c>
      <c r="F10" s="2465" t="s">
        <v>3074</v>
      </c>
      <c r="G10" s="1945"/>
      <c r="H10" s="2414" t="s">
        <v>2451</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96941</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67627</v>
      </c>
      <c r="D14" s="1893" t="s">
        <v>1736</v>
      </c>
      <c r="E14" s="1894"/>
      <c r="F14" s="795"/>
      <c r="G14" s="1945"/>
      <c r="H14" s="1577" t="s">
        <v>1821</v>
      </c>
      <c r="I14" s="2111" t="s">
        <v>2806</v>
      </c>
      <c r="J14" s="53">
        <f ca="1">C29</f>
        <v>96941</v>
      </c>
      <c r="K14" s="26"/>
      <c r="L14" s="791"/>
      <c r="M14" s="792"/>
    </row>
    <row r="15" spans="1:33" s="1947" customFormat="1" ht="18" customHeight="1" thickBot="1">
      <c r="A15" s="1576" t="s">
        <v>1876</v>
      </c>
      <c r="B15" s="774" t="s">
        <v>641</v>
      </c>
      <c r="C15" s="53">
        <f ca="1">ROUND(C14*F15,0)</f>
        <v>2029</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9138</v>
      </c>
      <c r="K16" s="1736" t="s">
        <v>1741</v>
      </c>
      <c r="L16" s="2339"/>
      <c r="M16" s="2344"/>
    </row>
    <row r="17" spans="1:33" s="1947" customFormat="1" ht="18" customHeight="1">
      <c r="A17" s="1576" t="s">
        <v>1878</v>
      </c>
      <c r="B17" s="774" t="s">
        <v>647</v>
      </c>
      <c r="C17" s="53">
        <f ca="1">ROUND(F17*(F43+INDIRECT("'数据-取费表'!S"&amp;$G$1))/10000,0)</f>
        <v>4410</v>
      </c>
      <c r="D17" s="774" t="s">
        <v>1742</v>
      </c>
      <c r="E17" s="774" t="s">
        <v>1743</v>
      </c>
      <c r="F17" s="56">
        <f>'数据-取费表'!B35</f>
        <v>150</v>
      </c>
      <c r="G17" s="3260"/>
      <c r="H17" s="1577" t="s">
        <v>1821</v>
      </c>
      <c r="I17" s="774" t="s">
        <v>650</v>
      </c>
      <c r="J17" s="3019">
        <f ca="1">ROUND(IF(AND(项目基本情况!B11="自然人",项目基本情况!B10="北京市"),J6*M17/(1+'数据-取费表'!C42),J18+J19+J20),0)</f>
        <v>8169</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1014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75080</v>
      </c>
      <c r="D19" s="259" t="s">
        <v>1748</v>
      </c>
      <c r="E19" s="1896"/>
      <c r="F19" s="56"/>
      <c r="G19" s="1945"/>
      <c r="H19" s="1576" t="s">
        <v>1876</v>
      </c>
      <c r="I19" s="774" t="s">
        <v>1749</v>
      </c>
      <c r="J19" s="53">
        <f ca="1">IF(K19="按租金收入计税",ROUND(J6*M19/(1+'数据-取费表'!C42),1),ROUND(C29*F33*0.7,1))</f>
        <v>8143</v>
      </c>
      <c r="K19" s="800" t="s">
        <v>659</v>
      </c>
      <c r="L19" s="774" t="s">
        <v>1738</v>
      </c>
      <c r="M19" s="799">
        <f>IF(K19="按租金收入计税",'数据-取费表'!B51,'数据-取费表'!B50)</f>
        <v>1.2E-2</v>
      </c>
    </row>
    <row r="20" spans="1:33" s="1947" customFormat="1" ht="18" customHeight="1">
      <c r="A20" s="1577" t="s">
        <v>1880</v>
      </c>
      <c r="B20" s="774" t="s">
        <v>660</v>
      </c>
      <c r="C20" s="53">
        <f ca="1">ROUND(C19*F20,0)</f>
        <v>1126</v>
      </c>
      <c r="D20" s="801" t="s">
        <v>1750</v>
      </c>
      <c r="E20" s="774" t="s">
        <v>1738</v>
      </c>
      <c r="F20" s="799">
        <f>'数据-取费表'!B37</f>
        <v>1.4999999999999999E-2</v>
      </c>
      <c r="G20" s="3260"/>
      <c r="H20" s="1579" t="s">
        <v>1871</v>
      </c>
      <c r="I20" s="339" t="s">
        <v>1751</v>
      </c>
      <c r="J20" s="54">
        <f ca="1">ROUND(M20*M21/10000,0)</f>
        <v>26</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85225.54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969</v>
      </c>
      <c r="K22" s="2337" t="s">
        <v>1760</v>
      </c>
      <c r="L22" s="774" t="s">
        <v>1738</v>
      </c>
      <c r="M22" s="806">
        <f ca="1">INDIRECT("'数据-取费表'!Ak"&amp;$G$1)</f>
        <v>0.01</v>
      </c>
    </row>
    <row r="23" spans="1:33" s="1947" customFormat="1" ht="18" customHeight="1">
      <c r="A23" s="1576" t="s">
        <v>1822</v>
      </c>
      <c r="B23" s="774" t="s">
        <v>2517</v>
      </c>
      <c r="C23" s="53">
        <f ca="1">ROUND(IF('数据-取费表'!B22&lt;=1,(C19+C20)*F24*F23/2,(C19+C20)*(POWER((1+F24),F23/2)-1)),0)</f>
        <v>5669</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-9138</v>
      </c>
      <c r="K25" s="2401" t="s">
        <v>1768</v>
      </c>
      <c r="L25" s="2402"/>
      <c r="M25" s="2403"/>
    </row>
    <row r="26" spans="1:33" ht="18" customHeight="1">
      <c r="A26" s="1576" t="s">
        <v>1822</v>
      </c>
      <c r="B26" s="774" t="s">
        <v>2422</v>
      </c>
      <c r="C26" s="53">
        <f ca="1">ROUND((C19+C20)*F26,0)</f>
        <v>7621</v>
      </c>
      <c r="D26" s="801" t="s">
        <v>1769</v>
      </c>
      <c r="E26" s="785" t="s">
        <v>1770</v>
      </c>
      <c r="F26" s="784">
        <f ca="1">INDIRECT("'数据-取费表'!q"&amp;$G$1)</f>
        <v>0.1</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2E-3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96941</v>
      </c>
      <c r="D29" s="2398"/>
      <c r="E29" s="2399"/>
      <c r="F29" s="2400"/>
      <c r="G29" s="3260"/>
      <c r="H29" s="812" t="s">
        <v>1778</v>
      </c>
      <c r="I29" s="813" t="s">
        <v>1779</v>
      </c>
      <c r="J29" s="814">
        <f ca="1">ROUND(J26/(1+F40)^F41,0)</f>
        <v>0</v>
      </c>
      <c r="K29" s="815" t="s">
        <v>1780</v>
      </c>
      <c r="L29" s="816"/>
      <c r="M29" s="817">
        <f ca="1">INDIRECT("'数据-取费表'!k"&amp;$G$1)</f>
        <v>294029.7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3571</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2319</v>
      </c>
      <c r="D31" s="1893" t="s">
        <v>1783</v>
      </c>
      <c r="E31" s="1891" t="s">
        <v>1784</v>
      </c>
      <c r="F31" s="3018">
        <f ca="1">IF(项目基本情况!B11="企业","——",IF('数据-取费表'!B10="住宅",IF(F6*F7*F8/12/(1+'数据-取费表'!F30)&gt;100000,4%,2.5%),IF(F6*F7*F8/12/(1+'数据-取费表'!F30)&gt;100000,12%,7%)))</f>
        <v>0.12</v>
      </c>
      <c r="G31" s="1945"/>
      <c r="H31" s="3257" t="s">
        <v>2993</v>
      </c>
      <c r="I31" s="1949"/>
      <c r="J31" s="1950"/>
      <c r="K31" s="1951"/>
      <c r="L31" s="1952"/>
      <c r="M31" s="1953"/>
    </row>
    <row r="32" spans="1:33" ht="18" customHeight="1">
      <c r="A32" s="1576" t="s">
        <v>1822</v>
      </c>
      <c r="B32" s="774" t="s">
        <v>1785</v>
      </c>
      <c r="C32" s="53">
        <f ca="1">ROUND(C6*F32/(1+'数据-取费表'!C42),1)</f>
        <v>729.8</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1563.8</v>
      </c>
      <c r="D33" s="800" t="s">
        <v>3075</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25.6</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85225.54</v>
      </c>
      <c r="G35" s="1945"/>
      <c r="H35" s="1948"/>
      <c r="I35" s="826" t="s">
        <v>1805</v>
      </c>
      <c r="J35" s="827">
        <f ca="1">ROUND(C13*J36,0)</f>
        <v>7755</v>
      </c>
      <c r="K35" s="1961"/>
      <c r="L35" s="1960"/>
      <c r="M35" s="1960"/>
    </row>
    <row r="36" spans="1:18" ht="18" customHeight="1">
      <c r="A36" s="1577" t="s">
        <v>1880</v>
      </c>
      <c r="B36" s="774" t="s">
        <v>1793</v>
      </c>
      <c r="C36" s="53">
        <f ca="1">ROUND(C29*F36,1)</f>
        <v>969.4</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145.4</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137</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10129</v>
      </c>
      <c r="D39" s="2401" t="s">
        <v>1797</v>
      </c>
      <c r="E39" s="2402"/>
      <c r="F39" s="2403"/>
      <c r="G39" s="1945"/>
      <c r="H39" s="1960"/>
      <c r="I39" s="826" t="s">
        <v>1809</v>
      </c>
      <c r="J39" s="834">
        <f ca="1">ROUND(J35/C39,3)</f>
        <v>0.76600000000000001</v>
      </c>
      <c r="K39" s="1965"/>
      <c r="L39" s="1960"/>
      <c r="M39" s="1960"/>
    </row>
    <row r="40" spans="1:18" ht="18" customHeight="1">
      <c r="A40" s="771" t="s">
        <v>1886</v>
      </c>
      <c r="B40" s="2112" t="s">
        <v>2289</v>
      </c>
      <c r="C40" s="773">
        <f ca="1">ROUND(C39*(1-((1+F42)/(1+F40))^F41)/(F40-F42),0)</f>
        <v>193803</v>
      </c>
      <c r="D40" s="803" t="s">
        <v>1798</v>
      </c>
      <c r="E40" s="774" t="s">
        <v>2404</v>
      </c>
      <c r="F40" s="784">
        <f ca="1">INDIRECT("'数据-取费表'!I"&amp;$G$1)</f>
        <v>5.5E-2</v>
      </c>
      <c r="G40" s="1945"/>
      <c r="H40" s="1945"/>
      <c r="I40" s="826" t="s">
        <v>1810</v>
      </c>
      <c r="J40" s="834">
        <f ca="1">1-J39</f>
        <v>0.23399999999999999</v>
      </c>
      <c r="K40" s="1965"/>
      <c r="L40" s="1945"/>
      <c r="M40" s="1945"/>
    </row>
    <row r="41" spans="1:18" ht="18" customHeight="1">
      <c r="A41" s="776"/>
      <c r="B41" s="777"/>
      <c r="C41" s="778"/>
      <c r="D41" s="810" t="s">
        <v>1799</v>
      </c>
      <c r="E41" s="774" t="s">
        <v>2925</v>
      </c>
      <c r="F41" s="811">
        <f ca="1">IF(INDIRECT("'数据-取费表'!af"&amp;$G$1)=0,INDIRECT("'数据-取费表'!ae"&amp;$G$1),INDIRECT("'数据-取费表'!af"&amp;$G$1))</f>
        <v>29.58</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0.5</v>
      </c>
      <c r="K42" s="1964"/>
      <c r="L42" s="1900"/>
      <c r="M42" s="1900"/>
    </row>
    <row r="43" spans="1:18" ht="18" customHeight="1" thickBot="1">
      <c r="A43" s="812" t="s">
        <v>1778</v>
      </c>
      <c r="B43" s="813" t="s">
        <v>1801</v>
      </c>
      <c r="C43" s="814">
        <f ca="1">ROUND(C40*10000/F43,0)</f>
        <v>6591</v>
      </c>
      <c r="D43" s="815" t="s">
        <v>1802</v>
      </c>
      <c r="E43" s="816" t="s">
        <v>1803</v>
      </c>
      <c r="F43" s="817">
        <f ca="1">INDIRECT("'数据-取费表'!k"&amp;$G$1)</f>
        <v>294029.7</v>
      </c>
      <c r="G43" s="1945"/>
      <c r="H43" s="1900"/>
      <c r="I43" s="836" t="s">
        <v>1813</v>
      </c>
      <c r="J43" s="837">
        <f ca="1">1-J42</f>
        <v>0.5</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-210291</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3062</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32.58</v>
      </c>
      <c r="M48" s="3262"/>
      <c r="O48" s="2253" t="s">
        <v>2364</v>
      </c>
      <c r="P48" s="2254" t="s">
        <v>2390</v>
      </c>
      <c r="Q48" s="2255">
        <f ca="1">C40+J29</f>
        <v>193803</v>
      </c>
      <c r="R48" s="2254" t="s">
        <v>2365</v>
      </c>
    </row>
    <row r="49" spans="1:18" s="1942" customFormat="1" ht="18" customHeight="1" thickBot="1">
      <c r="A49" s="776"/>
      <c r="B49" s="777"/>
      <c r="C49" s="778"/>
      <c r="D49" s="779"/>
      <c r="E49" s="774" t="s">
        <v>1730</v>
      </c>
      <c r="F49" s="775">
        <f ca="1">F7</f>
        <v>294029.7</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96941</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44933</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f ca="1">IF(M47="住宅",IF(D1="——",MAX(J51,L48),MAX(J51,L48-'数据-取费表'!B20)),IF(D1="——",MIN(J51,L48),MIN(J51,L48-'数据-取费表'!B20)))</f>
        <v>29.58</v>
      </c>
      <c r="K53" s="3575" t="s">
        <v>2927</v>
      </c>
      <c r="L53" s="3576"/>
      <c r="M53" s="3262"/>
      <c r="O53" s="2256" t="s">
        <v>2373</v>
      </c>
      <c r="P53" s="2254" t="s">
        <v>2374</v>
      </c>
      <c r="Q53" s="2255">
        <f ca="1">J53</f>
        <v>29.58</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193803</v>
      </c>
      <c r="R54" s="2258" t="s">
        <v>2377</v>
      </c>
    </row>
    <row r="55" spans="1:18" s="1942" customFormat="1" ht="18" customHeight="1" thickTop="1" thickBot="1">
      <c r="A55" s="787">
        <v>2</v>
      </c>
      <c r="B55" s="788" t="s">
        <v>638</v>
      </c>
      <c r="C55" s="789">
        <f ca="1">C13</f>
        <v>96941</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96941</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1141</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193803</v>
      </c>
      <c r="R57" s="2254" t="s">
        <v>2365</v>
      </c>
    </row>
    <row r="58" spans="1:18" s="1942" customFormat="1" ht="28.5" customHeight="1" thickBot="1">
      <c r="A58" s="1577" t="s">
        <v>1815</v>
      </c>
      <c r="B58" s="774" t="s">
        <v>650</v>
      </c>
      <c r="C58" s="3019">
        <f ca="1">ROUND(IF(AND(项目基本情况!B11="自然人",项目基本情况!B10="北京市"),C48*F58/(1+'数据-取费表'!C42),C59+C60+C61),0)</f>
        <v>26</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25.6</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85225.54</v>
      </c>
      <c r="I62" s="2824" t="s">
        <v>2352</v>
      </c>
      <c r="J62" s="2825" t="s">
        <v>2353</v>
      </c>
      <c r="K62" s="2825" t="s">
        <v>2354</v>
      </c>
      <c r="L62" s="2825" t="s">
        <v>2335</v>
      </c>
      <c r="M62" s="2826" t="s">
        <v>2906</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969.4</v>
      </c>
      <c r="D63" s="2481" t="s">
        <v>1794</v>
      </c>
      <c r="E63" s="774" t="s">
        <v>1738</v>
      </c>
      <c r="F63" s="806">
        <f t="shared" ca="1" si="0"/>
        <v>0.01</v>
      </c>
      <c r="I63" s="2824" t="s">
        <v>2355</v>
      </c>
      <c r="J63" s="2825">
        <v>70</v>
      </c>
      <c r="K63" s="2825">
        <v>50</v>
      </c>
      <c r="L63" s="2825">
        <v>80</v>
      </c>
      <c r="M63" s="2827">
        <v>0.02</v>
      </c>
      <c r="O63" s="2253" t="s">
        <v>2376</v>
      </c>
      <c r="P63" s="2254" t="s">
        <v>2393</v>
      </c>
      <c r="Q63" s="2255">
        <f ca="1">Q57+Q58</f>
        <v>193803</v>
      </c>
      <c r="R63" s="2258" t="s">
        <v>2377</v>
      </c>
    </row>
    <row r="64" spans="1:18" s="1942" customFormat="1" ht="16.5" thickBot="1">
      <c r="A64" s="1577" t="s">
        <v>1881</v>
      </c>
      <c r="B64" s="774" t="s">
        <v>673</v>
      </c>
      <c r="C64" s="53">
        <f ca="1">ROUND(C55*F64,1)</f>
        <v>145.4</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-1141</v>
      </c>
      <c r="D66" s="2480" t="s">
        <v>694</v>
      </c>
      <c r="E66" s="2479"/>
      <c r="F66" s="809"/>
      <c r="K66" s="1968"/>
      <c r="O66" s="2253" t="s">
        <v>2364</v>
      </c>
      <c r="P66" s="2254" t="s">
        <v>2394</v>
      </c>
      <c r="Q66" s="2255">
        <f ca="1">C40+J29</f>
        <v>193803</v>
      </c>
      <c r="R66" s="2254" t="s">
        <v>2365</v>
      </c>
    </row>
    <row r="67" spans="1:18" s="1942" customFormat="1" ht="20.25" thickBot="1">
      <c r="A67" s="771" t="s">
        <v>1771</v>
      </c>
      <c r="B67" s="2112" t="s">
        <v>2289</v>
      </c>
      <c r="C67" s="773">
        <f ca="1">ROUND(C66*(1-((1+F69)/(1+F67))^F68)/(F67-F69),0)</f>
        <v>-16488</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29.58</v>
      </c>
      <c r="O68" s="2256" t="s">
        <v>2368</v>
      </c>
      <c r="P68" s="2254" t="s">
        <v>2398</v>
      </c>
      <c r="Q68" s="2260">
        <f ca="1">L51</f>
        <v>44933</v>
      </c>
      <c r="R68" s="2261" t="s">
        <v>2401</v>
      </c>
    </row>
    <row r="69" spans="1:18" ht="20.25" thickBot="1">
      <c r="A69" s="780"/>
      <c r="B69" s="781"/>
      <c r="C69" s="782"/>
      <c r="D69" s="805"/>
      <c r="E69" s="774" t="s">
        <v>704</v>
      </c>
      <c r="F69" s="2226"/>
      <c r="O69" s="2256" t="s">
        <v>2369</v>
      </c>
      <c r="P69" s="2262" t="s">
        <v>2383</v>
      </c>
      <c r="Q69" s="2255">
        <f ca="1">ROUND(Q70-Q71*Q72,0)</f>
        <v>2374</v>
      </c>
      <c r="R69" s="2258"/>
    </row>
    <row r="70" spans="1:18" ht="15.75" thickBot="1">
      <c r="A70" s="812" t="s">
        <v>1778</v>
      </c>
      <c r="B70" s="813" t="s">
        <v>1801</v>
      </c>
      <c r="C70" s="814">
        <f ca="1">ROUND(C67*10000/F70,0)</f>
        <v>-561</v>
      </c>
      <c r="D70" s="815" t="s">
        <v>1802</v>
      </c>
      <c r="E70" s="816" t="s">
        <v>1803</v>
      </c>
      <c r="F70" s="817">
        <f ca="1">F43</f>
        <v>294029.7</v>
      </c>
      <c r="O70" s="2256" t="s">
        <v>2384</v>
      </c>
      <c r="P70" s="2262" t="s">
        <v>2385</v>
      </c>
      <c r="Q70" s="2255">
        <f ca="1">C39</f>
        <v>10129</v>
      </c>
      <c r="R70" s="2254" t="s">
        <v>2365</v>
      </c>
    </row>
    <row r="71" spans="1:18" ht="15.75" thickBot="1">
      <c r="O71" s="2256" t="s">
        <v>2386</v>
      </c>
      <c r="P71" s="2262" t="s">
        <v>2387</v>
      </c>
      <c r="Q71" s="2255">
        <f ca="1">C13</f>
        <v>96941</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193803</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77" t="s">
        <v>2453</v>
      </c>
      <c r="B1" s="3578"/>
      <c r="C1" s="3579"/>
      <c r="D1" s="3580">
        <f>SUM(I10,I15,I20,I21,I23)</f>
        <v>0</v>
      </c>
      <c r="E1" s="3580"/>
      <c r="F1" s="3580"/>
      <c r="G1" s="3580"/>
      <c r="H1" s="3580"/>
      <c r="I1" s="3581"/>
    </row>
    <row r="2" spans="1:9">
      <c r="A2" s="3582" t="s">
        <v>2454</v>
      </c>
      <c r="B2" s="3583" t="s">
        <v>2455</v>
      </c>
      <c r="C2" s="3583"/>
      <c r="D2" s="2360" t="s">
        <v>2456</v>
      </c>
      <c r="E2" s="2360" t="s">
        <v>2457</v>
      </c>
      <c r="F2" s="2360" t="s">
        <v>2458</v>
      </c>
      <c r="G2" s="2360" t="s">
        <v>2459</v>
      </c>
      <c r="H2" s="2360" t="s">
        <v>2460</v>
      </c>
      <c r="I2" s="2361" t="s">
        <v>2461</v>
      </c>
    </row>
    <row r="3" spans="1:9">
      <c r="A3" s="3582"/>
      <c r="B3" s="3583" t="s">
        <v>2462</v>
      </c>
      <c r="C3" s="3583"/>
      <c r="D3" s="2362"/>
      <c r="E3" s="2360"/>
      <c r="F3" s="2363"/>
      <c r="G3" s="2363"/>
      <c r="H3" s="2364"/>
      <c r="I3" s="2365">
        <f>ROUND(D3*E3*F3*G3*H3/10000,0)</f>
        <v>0</v>
      </c>
    </row>
    <row r="4" spans="1:9">
      <c r="A4" s="3582"/>
      <c r="B4" s="3583" t="s">
        <v>2463</v>
      </c>
      <c r="C4" s="3583"/>
      <c r="D4" s="2362"/>
      <c r="E4" s="2360"/>
      <c r="F4" s="2363"/>
      <c r="G4" s="2363"/>
      <c r="H4" s="2364"/>
      <c r="I4" s="2365">
        <f t="shared" ref="I4:I9" si="0">ROUND(D4*E4*F4*G4*H4/10000,0)</f>
        <v>0</v>
      </c>
    </row>
    <row r="5" spans="1:9">
      <c r="A5" s="3582"/>
      <c r="B5" s="3583" t="s">
        <v>2464</v>
      </c>
      <c r="C5" s="3583"/>
      <c r="D5" s="2362"/>
      <c r="E5" s="2360"/>
      <c r="F5" s="2363"/>
      <c r="G5" s="2363"/>
      <c r="H5" s="2364"/>
      <c r="I5" s="2365">
        <f t="shared" si="0"/>
        <v>0</v>
      </c>
    </row>
    <row r="6" spans="1:9">
      <c r="A6" s="3582"/>
      <c r="B6" s="3583" t="s">
        <v>2465</v>
      </c>
      <c r="C6" s="3583"/>
      <c r="D6" s="2362"/>
      <c r="E6" s="2360"/>
      <c r="F6" s="2363"/>
      <c r="G6" s="2363"/>
      <c r="H6" s="2364"/>
      <c r="I6" s="2365">
        <f t="shared" si="0"/>
        <v>0</v>
      </c>
    </row>
    <row r="7" spans="1:9">
      <c r="A7" s="3582"/>
      <c r="B7" s="3583" t="s">
        <v>2466</v>
      </c>
      <c r="C7" s="3583"/>
      <c r="D7" s="2362"/>
      <c r="E7" s="2360"/>
      <c r="F7" s="2363"/>
      <c r="G7" s="2363"/>
      <c r="H7" s="2364"/>
      <c r="I7" s="2365">
        <f t="shared" si="0"/>
        <v>0</v>
      </c>
    </row>
    <row r="8" spans="1:9">
      <c r="A8" s="3582"/>
      <c r="B8" s="3583" t="s">
        <v>2467</v>
      </c>
      <c r="C8" s="3583"/>
      <c r="D8" s="2362"/>
      <c r="E8" s="2360"/>
      <c r="F8" s="2363"/>
      <c r="G8" s="2363"/>
      <c r="H8" s="2364"/>
      <c r="I8" s="2365">
        <f t="shared" si="0"/>
        <v>0</v>
      </c>
    </row>
    <row r="9" spans="1:9">
      <c r="A9" s="3582"/>
      <c r="B9" s="3583" t="s">
        <v>2468</v>
      </c>
      <c r="C9" s="3583"/>
      <c r="D9" s="2362"/>
      <c r="E9" s="2360"/>
      <c r="F9" s="2363"/>
      <c r="G9" s="2363"/>
      <c r="H9" s="2364"/>
      <c r="I9" s="2365">
        <f t="shared" si="0"/>
        <v>0</v>
      </c>
    </row>
    <row r="10" spans="1:9">
      <c r="A10" s="3582"/>
      <c r="B10" s="3584" t="s">
        <v>2469</v>
      </c>
      <c r="C10" s="3584"/>
      <c r="D10" s="2366">
        <v>527</v>
      </c>
      <c r="E10" s="2366" t="e">
        <f>ROUND(D1*10000/D10/H9,0)</f>
        <v>#DIV/0!</v>
      </c>
      <c r="F10" s="2367"/>
      <c r="G10" s="2367"/>
      <c r="H10" s="2368"/>
      <c r="I10" s="2369">
        <f>SUM(I3:I9)</f>
        <v>0</v>
      </c>
    </row>
    <row r="11" spans="1:9" ht="14.25">
      <c r="A11" s="3582" t="s">
        <v>2470</v>
      </c>
      <c r="B11" s="3583" t="s">
        <v>2471</v>
      </c>
      <c r="C11" s="3583"/>
      <c r="D11" s="2362" t="s">
        <v>2472</v>
      </c>
      <c r="E11" s="2362" t="s">
        <v>2473</v>
      </c>
      <c r="F11" s="2363" t="s">
        <v>2474</v>
      </c>
      <c r="G11" s="2363" t="s">
        <v>2475</v>
      </c>
      <c r="H11" s="2370" t="s">
        <v>2476</v>
      </c>
      <c r="I11" s="2361" t="s">
        <v>2477</v>
      </c>
    </row>
    <row r="12" spans="1:9">
      <c r="A12" s="3582"/>
      <c r="B12" s="3583" t="s">
        <v>2478</v>
      </c>
      <c r="C12" s="3583"/>
      <c r="D12" s="2362"/>
      <c r="E12" s="2362"/>
      <c r="F12" s="2363"/>
      <c r="G12" s="2364"/>
      <c r="H12" s="2371"/>
      <c r="I12" s="2361">
        <f>ROUND(D12*E12*F12*G12/10000,0)</f>
        <v>0</v>
      </c>
    </row>
    <row r="13" spans="1:9">
      <c r="A13" s="3582"/>
      <c r="B13" s="3583" t="s">
        <v>2479</v>
      </c>
      <c r="C13" s="3583"/>
      <c r="D13" s="2362"/>
      <c r="E13" s="2362"/>
      <c r="F13" s="2363"/>
      <c r="G13" s="2364"/>
      <c r="H13" s="2371"/>
      <c r="I13" s="2361">
        <f>ROUND(D13*E13*F13*G13/10000,0)</f>
        <v>0</v>
      </c>
    </row>
    <row r="14" spans="1:9">
      <c r="A14" s="3582"/>
      <c r="B14" s="3583" t="s">
        <v>2480</v>
      </c>
      <c r="C14" s="3583"/>
      <c r="D14" s="2362"/>
      <c r="E14" s="2362"/>
      <c r="F14" s="2363"/>
      <c r="G14" s="2364"/>
      <c r="H14" s="2371"/>
      <c r="I14" s="2361">
        <f>ROUND(D14*E14*F14*G14/10000,0)</f>
        <v>0</v>
      </c>
    </row>
    <row r="15" spans="1:9">
      <c r="A15" s="3582"/>
      <c r="B15" s="3584" t="s">
        <v>2469</v>
      </c>
      <c r="C15" s="3584"/>
      <c r="D15" s="2366"/>
      <c r="E15" s="2366">
        <f>SUM(E12:E14)</f>
        <v>0</v>
      </c>
      <c r="F15" s="2367"/>
      <c r="G15" s="2364"/>
      <c r="H15" s="2371"/>
      <c r="I15" s="2372">
        <f>SUM(I12:I14)</f>
        <v>0</v>
      </c>
    </row>
    <row r="16" spans="1:9" ht="24">
      <c r="A16" s="3582" t="s">
        <v>2481</v>
      </c>
      <c r="B16" s="3583" t="s">
        <v>2482</v>
      </c>
      <c r="C16" s="3583"/>
      <c r="D16" s="2362" t="s">
        <v>2483</v>
      </c>
      <c r="E16" s="2373" t="s">
        <v>2484</v>
      </c>
      <c r="F16" s="2363" t="s">
        <v>2485</v>
      </c>
      <c r="G16" s="2364" t="s">
        <v>2475</v>
      </c>
      <c r="H16" s="2370" t="s">
        <v>2476</v>
      </c>
      <c r="I16" s="2361" t="s">
        <v>2477</v>
      </c>
    </row>
    <row r="17" spans="1:9" ht="14.25">
      <c r="A17" s="3582"/>
      <c r="B17" s="3583" t="s">
        <v>2486</v>
      </c>
      <c r="C17" s="3583"/>
      <c r="D17" s="2362"/>
      <c r="E17" s="2362"/>
      <c r="F17" s="2363"/>
      <c r="G17" s="2364"/>
      <c r="H17" s="2374"/>
      <c r="I17" s="2375">
        <f>ROUND(D17*E17*F17*G17/10000,0)</f>
        <v>0</v>
      </c>
    </row>
    <row r="18" spans="1:9" ht="14.25">
      <c r="A18" s="3582"/>
      <c r="B18" s="3583" t="s">
        <v>2487</v>
      </c>
      <c r="C18" s="3583"/>
      <c r="D18" s="2362"/>
      <c r="E18" s="2362"/>
      <c r="F18" s="2363"/>
      <c r="G18" s="2364"/>
      <c r="H18" s="2374"/>
      <c r="I18" s="2375">
        <f>ROUND(D18*E18*F18*G18/10000,0)</f>
        <v>0</v>
      </c>
    </row>
    <row r="19" spans="1:9" ht="14.25">
      <c r="A19" s="3582"/>
      <c r="B19" s="3583" t="s">
        <v>2488</v>
      </c>
      <c r="C19" s="3583"/>
      <c r="D19" s="2362"/>
      <c r="E19" s="2362"/>
      <c r="F19" s="2363"/>
      <c r="G19" s="2364"/>
      <c r="H19" s="2374"/>
      <c r="I19" s="2375">
        <f>ROUND(D19*E19*F19*G19/10000,0)</f>
        <v>0</v>
      </c>
    </row>
    <row r="20" spans="1:9">
      <c r="A20" s="3582"/>
      <c r="B20" s="3584" t="s">
        <v>2469</v>
      </c>
      <c r="C20" s="3584"/>
      <c r="D20" s="2366">
        <f>SUM(D17:D19)</f>
        <v>0</v>
      </c>
      <c r="E20" s="2366"/>
      <c r="F20" s="2367"/>
      <c r="G20" s="2364"/>
      <c r="H20" s="2371"/>
      <c r="I20" s="2372">
        <f>SUM(I17:I19)</f>
        <v>0</v>
      </c>
    </row>
    <row r="21" spans="1:9">
      <c r="A21" s="3582" t="s">
        <v>2489</v>
      </c>
      <c r="B21" s="3586"/>
      <c r="C21" s="3586"/>
      <c r="D21" s="3586"/>
      <c r="E21" s="3586"/>
      <c r="F21" s="3586"/>
      <c r="G21" s="3586"/>
      <c r="H21" s="2376">
        <v>0.1</v>
      </c>
      <c r="I21" s="2369">
        <f>ROUND(I10*H21,0)</f>
        <v>0</v>
      </c>
    </row>
    <row r="22" spans="1:9" ht="14.25">
      <c r="A22" s="3587" t="s">
        <v>2490</v>
      </c>
      <c r="B22" s="3588"/>
      <c r="C22" s="3589"/>
      <c r="D22" s="2377" t="s">
        <v>2491</v>
      </c>
      <c r="E22" s="2377" t="s">
        <v>2492</v>
      </c>
      <c r="F22" s="2378" t="s">
        <v>2493</v>
      </c>
      <c r="G22" s="2378" t="s">
        <v>2494</v>
      </c>
      <c r="H22" s="2370" t="s">
        <v>2495</v>
      </c>
      <c r="I22" s="2361" t="s">
        <v>2496</v>
      </c>
    </row>
    <row r="23" spans="1:9" ht="14.25" thickBot="1">
      <c r="A23" s="3590"/>
      <c r="B23" s="3591"/>
      <c r="C23" s="3592"/>
      <c r="D23" s="2379"/>
      <c r="E23" s="2379"/>
      <c r="F23" s="2379"/>
      <c r="G23" s="2380"/>
      <c r="H23" s="2381"/>
      <c r="I23" s="2382">
        <f>ROUND(E23*D23*F23*(1-G23)/10000,0)</f>
        <v>0</v>
      </c>
    </row>
    <row r="26" spans="1:9">
      <c r="A26" s="2383" t="s">
        <v>2497</v>
      </c>
      <c r="B26" s="2383"/>
      <c r="C26" s="2383"/>
      <c r="D26" s="2383"/>
      <c r="E26" s="3593">
        <f>C27-C30-C31-C32</f>
        <v>0</v>
      </c>
      <c r="F26" s="3593"/>
      <c r="G26" s="3593"/>
      <c r="H26" s="2756" t="s">
        <v>2823</v>
      </c>
    </row>
    <row r="27" spans="1:9">
      <c r="A27" s="2384">
        <v>1</v>
      </c>
      <c r="B27" s="2385" t="s">
        <v>2498</v>
      </c>
      <c r="C27" s="2385"/>
      <c r="D27" s="2385"/>
      <c r="E27" s="3594"/>
      <c r="F27" s="3594"/>
      <c r="G27" s="3594"/>
    </row>
    <row r="28" spans="1:9">
      <c r="A28" s="2386" t="s">
        <v>2499</v>
      </c>
      <c r="B28" s="2385" t="s">
        <v>2500</v>
      </c>
      <c r="C28" s="2385"/>
      <c r="D28" s="2385"/>
      <c r="E28" s="3594"/>
      <c r="F28" s="3594"/>
      <c r="G28" s="3594"/>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5"/>
      <c r="F32" s="3585"/>
      <c r="G32" s="3585"/>
    </row>
    <row r="33" spans="1:7" hidden="1">
      <c r="A33" s="3595" t="s">
        <v>2508</v>
      </c>
      <c r="B33" s="3596"/>
      <c r="C33" s="3596"/>
      <c r="D33" s="3597"/>
      <c r="E33" s="3593"/>
      <c r="F33" s="3593"/>
      <c r="G33" s="3593"/>
    </row>
    <row r="34" spans="1:7" hidden="1">
      <c r="A34" s="2388">
        <v>1</v>
      </c>
      <c r="B34" s="2385" t="s">
        <v>2509</v>
      </c>
      <c r="C34" s="2385"/>
      <c r="D34" s="2385"/>
      <c r="E34" s="3594"/>
      <c r="F34" s="3594"/>
      <c r="G34" s="3594"/>
    </row>
    <row r="35" spans="1:7" hidden="1">
      <c r="A35" s="2388">
        <v>2</v>
      </c>
      <c r="B35" s="2385" t="s">
        <v>2510</v>
      </c>
      <c r="C35" s="2385"/>
      <c r="D35" s="2385"/>
      <c r="E35" s="3594"/>
      <c r="F35" s="3594"/>
      <c r="G35" s="3594"/>
    </row>
    <row r="36" spans="1:7" hidden="1">
      <c r="A36" s="2388">
        <v>3</v>
      </c>
      <c r="B36" s="2385" t="s">
        <v>2511</v>
      </c>
      <c r="C36" s="2385"/>
      <c r="D36" s="2385"/>
      <c r="E36" s="3594"/>
      <c r="F36" s="3594"/>
      <c r="G36" s="3594"/>
    </row>
    <row r="37" spans="1:7" hidden="1">
      <c r="A37" s="2388">
        <v>4</v>
      </c>
      <c r="B37" s="2385" t="s">
        <v>2512</v>
      </c>
      <c r="C37" s="2385"/>
      <c r="D37" s="2385"/>
      <c r="E37" s="3594"/>
      <c r="F37" s="3594"/>
      <c r="G37" s="3594"/>
    </row>
    <row r="38" spans="1:7" hidden="1">
      <c r="A38" s="3595" t="s">
        <v>2513</v>
      </c>
      <c r="B38" s="3596"/>
      <c r="C38" s="3596"/>
      <c r="D38" s="3597"/>
      <c r="E38" s="3593"/>
      <c r="F38" s="3593"/>
      <c r="G38" s="35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0</v>
      </c>
      <c r="E12" s="3270">
        <f>'数据-取费表'!B27</f>
        <v>0</v>
      </c>
      <c r="F12" s="746"/>
      <c r="G12" s="749"/>
    </row>
    <row r="13" spans="1:25" s="2064" customFormat="1" ht="13.5" customHeight="1">
      <c r="A13" s="2329" t="s">
        <v>2430</v>
      </c>
      <c r="B13" s="747" t="s">
        <v>606</v>
      </c>
      <c r="C13" s="748">
        <f>ROUND(D13*E13/10000,0)</f>
        <v>3087</v>
      </c>
      <c r="D13" s="3270">
        <f>'数据-汇总表'!E6</f>
        <v>294029.7</v>
      </c>
      <c r="E13" s="3270">
        <f>'数据-取费表'!B28</f>
        <v>105</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0.79600000000000004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3073</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t="e">
        <f ca="1">C40+J29+L46</f>
        <v>#N/A</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t="e">
        <f ca="1">C6+C10+C12</f>
        <v>#N/A</v>
      </c>
      <c r="D5" s="2349" t="s">
        <v>2443</v>
      </c>
      <c r="E5" s="2343"/>
      <c r="F5" s="2344"/>
      <c r="G5" s="1945"/>
      <c r="H5" s="771">
        <v>1</v>
      </c>
      <c r="I5" s="772" t="s">
        <v>2440</v>
      </c>
      <c r="J5" s="55" t="e">
        <f ca="1">J6+J10+J12</f>
        <v>#N/A</v>
      </c>
      <c r="K5" s="2349" t="s">
        <v>2443</v>
      </c>
      <c r="L5" s="2343"/>
      <c r="M5" s="2344"/>
    </row>
    <row r="6" spans="1:33" ht="18" customHeight="1">
      <c r="A6" s="1745" t="s">
        <v>1815</v>
      </c>
      <c r="B6" s="3569" t="s">
        <v>2445</v>
      </c>
      <c r="C6" s="773" t="e">
        <f ca="1">ROUND(F6*F8*F7*(1-F9)/10000,0)</f>
        <v>#N/A</v>
      </c>
      <c r="D6" s="2350" t="s">
        <v>2444</v>
      </c>
      <c r="E6" s="774" t="s">
        <v>1729</v>
      </c>
      <c r="F6" s="775" t="e">
        <f ca="1">INDIRECT("'数据-取费表'!u"&amp;$G$1)</f>
        <v>#N/A</v>
      </c>
      <c r="G6" s="1945"/>
      <c r="H6" s="2357" t="s">
        <v>1815</v>
      </c>
      <c r="I6" s="3569" t="s">
        <v>2445</v>
      </c>
      <c r="J6" s="773" t="e">
        <f ca="1">ROUND(M6*M8*M7*(1-M9)/10000,0)</f>
        <v>#N/A</v>
      </c>
      <c r="K6" s="339" t="s">
        <v>1728</v>
      </c>
      <c r="L6" s="774" t="s">
        <v>1729</v>
      </c>
      <c r="M6" s="775" t="e">
        <f ca="1">INDIRECT("'数据-取费表'!z"&amp;$G$1)</f>
        <v>#N/A</v>
      </c>
    </row>
    <row r="7" spans="1:33" ht="18" customHeight="1">
      <c r="A7" s="2353"/>
      <c r="B7" s="3570"/>
      <c r="C7" s="778"/>
      <c r="D7" s="779"/>
      <c r="E7" s="774" t="s">
        <v>632</v>
      </c>
      <c r="F7" s="775" t="e">
        <f ca="1">IF(INDIRECT("'数据-取费表'!ah"&amp;$G$1)="",INDIRECT("'数据-取费表'!k"&amp;$G$1),INDIRECT("'数据-取费表'!ah"&amp;$G$1))</f>
        <v>#N/A</v>
      </c>
      <c r="G7" s="1945"/>
      <c r="H7" s="2342"/>
      <c r="I7" s="3570"/>
      <c r="J7" s="778"/>
      <c r="K7" s="779"/>
      <c r="L7" s="774" t="s">
        <v>632</v>
      </c>
      <c r="M7" s="775" t="e">
        <f ca="1">F7</f>
        <v>#N/A</v>
      </c>
    </row>
    <row r="8" spans="1:33" ht="18" customHeight="1">
      <c r="A8" s="2346"/>
      <c r="B8" s="3571"/>
      <c r="C8" s="778"/>
      <c r="D8" s="779"/>
      <c r="E8" s="774" t="s">
        <v>633</v>
      </c>
      <c r="F8" s="775" t="e">
        <f ca="1">INDIRECT("'数据-取费表'!ai"&amp;$G$1)</f>
        <v>#N/A</v>
      </c>
      <c r="G8" s="1945"/>
      <c r="H8" s="2342"/>
      <c r="I8" s="3571"/>
      <c r="J8" s="778"/>
      <c r="K8" s="779"/>
      <c r="L8" s="774" t="s">
        <v>633</v>
      </c>
      <c r="M8" s="775" t="e">
        <f ca="1">INDIRECT("'数据-取费表'!ai"&amp;$G$1)</f>
        <v>#N/A</v>
      </c>
    </row>
    <row r="9" spans="1:33" ht="18" customHeight="1">
      <c r="A9" s="776"/>
      <c r="B9" s="3572"/>
      <c r="C9" s="778"/>
      <c r="D9" s="779"/>
      <c r="E9" s="774" t="s">
        <v>1732</v>
      </c>
      <c r="F9" s="784" t="e">
        <f ca="1">INDIRECT("'数据-取费表'!w"&amp;$G$1)</f>
        <v>#N/A</v>
      </c>
      <c r="G9" s="1945"/>
      <c r="H9" s="2358"/>
      <c r="I9" s="3571"/>
      <c r="J9" s="778"/>
      <c r="K9" s="779"/>
      <c r="L9" s="785" t="s">
        <v>1732</v>
      </c>
      <c r="M9" s="786" t="e">
        <f ca="1">INDIRECT("'数据-取费表'!ab"&amp;$G$1)</f>
        <v>#N/A</v>
      </c>
    </row>
    <row r="10" spans="1:33" ht="18" customHeight="1">
      <c r="A10" s="1745" t="s">
        <v>1816</v>
      </c>
      <c r="B10" s="2347" t="s">
        <v>2441</v>
      </c>
      <c r="C10" s="789" t="e">
        <f ca="1">ROUND(IF(F10="押一",C6/12*F11,IF(F10="押二",C6/12*2*F11,IF(F10="押三",C6/12*3*F11,C11*F11))),0)</f>
        <v>#N/A</v>
      </c>
      <c r="D10" s="2354" t="s">
        <v>2934</v>
      </c>
      <c r="E10" s="2351" t="s">
        <v>2446</v>
      </c>
      <c r="F10" s="2465" t="s">
        <v>3074</v>
      </c>
      <c r="G10" s="1945"/>
      <c r="H10" s="2414" t="s">
        <v>1816</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t="e">
        <f ca="1">ROUND(C29*F13,0)</f>
        <v>#N/A</v>
      </c>
      <c r="D13" s="1749" t="s">
        <v>2285</v>
      </c>
      <c r="E13" s="1749" t="s">
        <v>637</v>
      </c>
      <c r="F13" s="2389" t="e">
        <f ca="1">INDIRECT("'数据-取费表'!y"&amp;$G$1)</f>
        <v>#N/A</v>
      </c>
      <c r="G13" s="1945"/>
      <c r="H13" s="1744">
        <v>2</v>
      </c>
      <c r="I13" s="1742" t="s">
        <v>1733</v>
      </c>
      <c r="J13" s="1734" t="e">
        <f ca="1">ROUND(J14*J15,0)</f>
        <v>#N/A</v>
      </c>
      <c r="K13" s="1736" t="s">
        <v>1734</v>
      </c>
      <c r="L13" s="2405"/>
      <c r="M13" s="2406"/>
    </row>
    <row r="14" spans="1:33" ht="18" customHeight="1">
      <c r="A14" s="1576" t="s">
        <v>1822</v>
      </c>
      <c r="B14" s="774" t="s">
        <v>639</v>
      </c>
      <c r="C14" s="794" t="e">
        <f ca="1">INDIRECT("'数据-取费表'!m"&amp;$G$1)+INDIRECT("'数据-取费表'!t"&amp;$G$1)</f>
        <v>#N/A</v>
      </c>
      <c r="D14" s="3278" t="s">
        <v>640</v>
      </c>
      <c r="E14" s="3279"/>
      <c r="F14" s="795"/>
      <c r="G14" s="1945"/>
      <c r="H14" s="1577" t="s">
        <v>1815</v>
      </c>
      <c r="I14" s="2111" t="s">
        <v>2805</v>
      </c>
      <c r="J14" s="53" t="e">
        <f ca="1">C29</f>
        <v>#N/A</v>
      </c>
      <c r="K14" s="26"/>
      <c r="L14" s="791"/>
      <c r="M14" s="792"/>
    </row>
    <row r="15" spans="1:33" s="1947" customFormat="1" ht="18" customHeight="1" thickBot="1">
      <c r="A15" s="1576" t="s">
        <v>1823</v>
      </c>
      <c r="B15" s="774" t="s">
        <v>641</v>
      </c>
      <c r="C15" s="53" t="e">
        <f ca="1">ROUND(C14*F15,0)</f>
        <v>#N/A</v>
      </c>
      <c r="D15" s="796" t="s">
        <v>642</v>
      </c>
      <c r="E15" s="796" t="s">
        <v>643</v>
      </c>
      <c r="F15" s="797">
        <f>'数据-取费表'!B33</f>
        <v>0.03</v>
      </c>
      <c r="G15" s="3260"/>
      <c r="H15" s="2404" t="s">
        <v>1880</v>
      </c>
      <c r="I15" s="2399" t="s">
        <v>637</v>
      </c>
      <c r="J15" s="2408" t="e">
        <f ca="1">INDIRECT("'数据-取费表'!ad"&amp;$G$1)</f>
        <v>#N/A</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t="e">
        <f ca="1">ROUND(INDIRECT("'数据-取费表'!m"&amp;$G$1)*F16,0)</f>
        <v>#N/A</v>
      </c>
      <c r="D16" s="774" t="s">
        <v>642</v>
      </c>
      <c r="E16" s="774" t="s">
        <v>643</v>
      </c>
      <c r="F16" s="799" t="e">
        <f ca="1">IF(INDIRECT("'数据-取费表'!c"&amp;$G$1)="住宅",'数据-取费表'!B34,0)</f>
        <v>#N/A</v>
      </c>
      <c r="G16" s="1945"/>
      <c r="H16" s="1744" t="s">
        <v>1739</v>
      </c>
      <c r="I16" s="1742" t="s">
        <v>1740</v>
      </c>
      <c r="J16" s="782" t="e">
        <f ca="1">ROUND(J17+J22+J23+J24,0)</f>
        <v>#N/A</v>
      </c>
      <c r="K16" s="1736" t="s">
        <v>646</v>
      </c>
      <c r="L16" s="3280"/>
      <c r="M16" s="2344"/>
    </row>
    <row r="17" spans="1:33" s="1947" customFormat="1" ht="18" customHeight="1">
      <c r="A17" s="1576" t="s">
        <v>1878</v>
      </c>
      <c r="B17" s="774" t="s">
        <v>647</v>
      </c>
      <c r="C17" s="53" t="e">
        <f ca="1">ROUND(F17*(F43+INDIRECT("'数据-取费表'!S"&amp;$G$1))/10000,0)</f>
        <v>#N/A</v>
      </c>
      <c r="D17" s="774" t="s">
        <v>648</v>
      </c>
      <c r="E17" s="774" t="s">
        <v>649</v>
      </c>
      <c r="F17" s="56">
        <f>'数据-取费表'!B35</f>
        <v>150</v>
      </c>
      <c r="G17" s="3260"/>
      <c r="H17" s="1577" t="s">
        <v>1815</v>
      </c>
      <c r="I17" s="774" t="s">
        <v>650</v>
      </c>
      <c r="J17" s="3019" t="e">
        <f ca="1">ROUND(IF(AND(项目基本情况!B11="自然人",项目基本情况!B10="北京市"),J6*M17/(1+'数据-取费表'!C42),J18+J19+J20),0)</f>
        <v>#N/A</v>
      </c>
      <c r="K17" s="3278" t="s">
        <v>1744</v>
      </c>
      <c r="L17" s="3277" t="s">
        <v>652</v>
      </c>
      <c r="M17" s="3018" t="e">
        <f ca="1">IF(项目基本情况!B11="企业","——",IF('数据-取费表'!B10="住宅",IF(M6*M7*M8/12/(1+'数据-取费表'!F30)&gt;100000,4%,2.5%),IF(M6*M7*M8/12/(1+'数据-取费表'!F30)&gt;100000,12%,7%)))</f>
        <v>#N/A</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t="e">
        <f ca="1">ROUND(C14*F18,0)</f>
        <v>#N/A</v>
      </c>
      <c r="D18" s="774" t="s">
        <v>642</v>
      </c>
      <c r="E18" s="774" t="s">
        <v>643</v>
      </c>
      <c r="F18" s="799">
        <f>'数据-取费表'!B36</f>
        <v>1.4999999999999999E-2</v>
      </c>
      <c r="G18" s="3260"/>
      <c r="H18" s="1576" t="s">
        <v>1822</v>
      </c>
      <c r="I18" s="774" t="s">
        <v>1746</v>
      </c>
      <c r="J18" s="53" t="e">
        <f ca="1">ROUND(J6*M18/(1+'数据-取费表'!C42),1)</f>
        <v>#N/A</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t="e">
        <f ca="1">SUM(C14:C18)</f>
        <v>#N/A</v>
      </c>
      <c r="D19" s="259" t="s">
        <v>657</v>
      </c>
      <c r="E19" s="3282"/>
      <c r="F19" s="56"/>
      <c r="G19" s="1945"/>
      <c r="H19" s="1576" t="s">
        <v>1823</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1880</v>
      </c>
      <c r="B20" s="774" t="s">
        <v>660</v>
      </c>
      <c r="C20" s="53" t="e">
        <f ca="1">ROUND(C19*F20,0)</f>
        <v>#N/A</v>
      </c>
      <c r="D20" s="801" t="s">
        <v>1750</v>
      </c>
      <c r="E20" s="774" t="s">
        <v>643</v>
      </c>
      <c r="F20" s="799">
        <f>'数据-取费表'!B37</f>
        <v>1.4999999999999999E-2</v>
      </c>
      <c r="G20" s="3260"/>
      <c r="H20" s="1579" t="s">
        <v>1824</v>
      </c>
      <c r="I20" s="339" t="s">
        <v>1751</v>
      </c>
      <c r="J20" s="54" t="e">
        <f ca="1">ROUND(M20*M21/10000,0)</f>
        <v>#N/A</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0.02</v>
      </c>
      <c r="G21" s="3260"/>
      <c r="H21" s="2359"/>
      <c r="I21" s="783"/>
      <c r="J21" s="69"/>
      <c r="K21" s="805"/>
      <c r="L21" s="774" t="s">
        <v>1757</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t="e">
        <f ca="1">ROUND(J14*M22,0)</f>
        <v>#N/A</v>
      </c>
      <c r="K22" s="3277" t="s">
        <v>1760</v>
      </c>
      <c r="L22" s="774" t="s">
        <v>643</v>
      </c>
      <c r="M22" s="806" t="e">
        <f ca="1">INDIRECT("'数据-取费表'!Ak"&amp;$G$1)</f>
        <v>#N/A</v>
      </c>
    </row>
    <row r="23" spans="1:33" s="1947" customFormat="1" ht="18" customHeight="1">
      <c r="A23" s="1576" t="s">
        <v>1822</v>
      </c>
      <c r="B23" s="774" t="s">
        <v>2421</v>
      </c>
      <c r="C23" s="53" t="e">
        <f ca="1">ROUND(IF('数据-取费表'!B22&lt;=1,(C19+C20)*F24*F23/2,(C19+C20)*(POWER((1+F24),F23/2)-1)),0)</f>
        <v>#N/A</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t="e">
        <f ca="1">ROUND(J13*M23,0)</f>
        <v>#N/A</v>
      </c>
      <c r="K23" s="3277"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t="e">
        <f ca="1">ROUND(J5*M24,0)</f>
        <v>#N/A</v>
      </c>
      <c r="K24" s="2398" t="s">
        <v>1765</v>
      </c>
      <c r="L24" s="2399" t="s">
        <v>643</v>
      </c>
      <c r="M24" s="2395"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t="e">
        <f ca="1">J5-J16</f>
        <v>#N/A</v>
      </c>
      <c r="K25" s="2401" t="s">
        <v>694</v>
      </c>
      <c r="L25" s="2402"/>
      <c r="M25" s="2403"/>
    </row>
    <row r="26" spans="1:33" ht="18" customHeight="1">
      <c r="A26" s="1576" t="s">
        <v>1822</v>
      </c>
      <c r="B26" s="774" t="s">
        <v>2422</v>
      </c>
      <c r="C26" s="53" t="e">
        <f ca="1">ROUND((C19+C20)*F26,0)</f>
        <v>#N/A</v>
      </c>
      <c r="D26" s="801" t="s">
        <v>1769</v>
      </c>
      <c r="E26" s="785" t="s">
        <v>696</v>
      </c>
      <c r="F26" s="784" t="e">
        <f ca="1">INDIRECT("'数据-取费表'!q"&amp;$G$1)</f>
        <v>#N/A</v>
      </c>
      <c r="G26" s="1945"/>
      <c r="H26" s="2355" t="s">
        <v>1771</v>
      </c>
      <c r="I26" s="2112" t="s">
        <v>2807</v>
      </c>
      <c r="J26" s="773" t="e">
        <f ca="1">IF(J5&lt;&gt;0,ROUND(J25*(1-((1+M28)/(1+M26))^M27)/(M26-M28),0),0)</f>
        <v>#N/A</v>
      </c>
      <c r="K26" s="803" t="s">
        <v>698</v>
      </c>
      <c r="L26" s="774" t="s">
        <v>2404</v>
      </c>
      <c r="M26" s="784" t="e">
        <f ca="1">INDIRECT("'数据-取费表'!I"&amp;$G$1)</f>
        <v>#N/A</v>
      </c>
    </row>
    <row r="27" spans="1:33" ht="18" customHeight="1">
      <c r="A27" s="1576" t="s">
        <v>1823</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#N/A</v>
      </c>
      <c r="D29" s="2398"/>
      <c r="E29" s="2399"/>
      <c r="F29" s="2400"/>
      <c r="G29" s="3260"/>
      <c r="H29" s="812" t="s">
        <v>1778</v>
      </c>
      <c r="I29" s="813" t="s">
        <v>1779</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t="e">
        <f ca="1">ROUND(C31+C36+C37+C38,0)</f>
        <v>#N/A</v>
      </c>
      <c r="D30" s="1736" t="s">
        <v>646</v>
      </c>
      <c r="E30" s="3280"/>
      <c r="F30" s="2344"/>
      <c r="G30" s="1945"/>
      <c r="H30" s="1948"/>
      <c r="I30" s="1949"/>
      <c r="J30" s="1950"/>
      <c r="K30" s="1951"/>
      <c r="L30" s="1952"/>
      <c r="M30" s="1953"/>
    </row>
    <row r="31" spans="1:33" ht="18" customHeight="1">
      <c r="A31" s="1577" t="s">
        <v>1815</v>
      </c>
      <c r="B31" s="774" t="s">
        <v>650</v>
      </c>
      <c r="C31" s="3019" t="e">
        <f ca="1">ROUND(IF(AND(项目基本情况!B11="自然人",项目基本情况!B10="北京市"),C6*F31/(1+'数据-取费表'!C42),C32+C33+C34),0)</f>
        <v>#N/A</v>
      </c>
      <c r="D31" s="3278" t="s">
        <v>1744</v>
      </c>
      <c r="E31" s="3277" t="s">
        <v>684</v>
      </c>
      <c r="F31" s="3018" t="e">
        <f ca="1">IF(项目基本情况!B11="企业","——",IF('数据-取费表'!B10="住宅",IF(F6*F7*F8/12/(1+'数据-取费表'!F30)&gt;100000,4%,2.5%),IF(F6*F7*F8/12/(1+'数据-取费表'!F30)&gt;100000,12%,7%)))</f>
        <v>#N/A</v>
      </c>
      <c r="G31" s="1945"/>
      <c r="H31" s="3257" t="s">
        <v>2992</v>
      </c>
      <c r="I31" s="1949"/>
      <c r="J31" s="1950"/>
      <c r="K31" s="1951"/>
      <c r="L31" s="1952"/>
      <c r="M31" s="1953"/>
    </row>
    <row r="32" spans="1:33" ht="18" customHeight="1">
      <c r="A32" s="1576" t="s">
        <v>1822</v>
      </c>
      <c r="B32" s="774" t="s">
        <v>1746</v>
      </c>
      <c r="C32" s="53" t="e">
        <f ca="1">ROUND(C6*F32/(1+'数据-取费表'!C42),1)</f>
        <v>#N/A</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t="e">
        <f ca="1">IF(D33="按租金收入计税",ROUND(C6*F33/(1+'数据-取费表'!C42),1),IF(D33="按房产原值计税",ROUND(C29*F33*0.7,1),INDIRECT("'数据-取费表'!Aj"&amp;$G$1)))</f>
        <v>#N/A</v>
      </c>
      <c r="D33" s="800" t="s">
        <v>3075</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t="e">
        <f ca="1">ROUND(F34*F35/10000,1)</f>
        <v>#N/A</v>
      </c>
      <c r="D34" s="803" t="s">
        <v>1752</v>
      </c>
      <c r="E34" s="774" t="s">
        <v>1753</v>
      </c>
      <c r="F34" s="632">
        <f>'数据-取费表'!B52</f>
        <v>3</v>
      </c>
      <c r="G34" s="1945"/>
      <c r="H34" s="1948"/>
      <c r="I34" s="824" t="s">
        <v>1804</v>
      </c>
      <c r="J34" s="825"/>
      <c r="K34" s="1963"/>
      <c r="L34" s="1962"/>
      <c r="M34" s="1962"/>
    </row>
    <row r="35" spans="1:18" ht="18" customHeight="1">
      <c r="A35" s="804"/>
      <c r="B35" s="783"/>
      <c r="C35" s="69"/>
      <c r="D35" s="805"/>
      <c r="E35" s="774" t="s">
        <v>1757</v>
      </c>
      <c r="F35" s="775" t="e">
        <f ca="1">INDIRECT("'数据-取费表'!r"&amp;$G$1)</f>
        <v>#N/A</v>
      </c>
      <c r="G35" s="1945"/>
      <c r="H35" s="1948"/>
      <c r="I35" s="826" t="s">
        <v>1805</v>
      </c>
      <c r="J35" s="827" t="e">
        <f ca="1">ROUND(C13*J36,0)</f>
        <v>#N/A</v>
      </c>
      <c r="K35" s="1961"/>
      <c r="L35" s="1960"/>
      <c r="M35" s="1960"/>
    </row>
    <row r="36" spans="1:18" ht="18" customHeight="1">
      <c r="A36" s="1577" t="s">
        <v>1880</v>
      </c>
      <c r="B36" s="774" t="s">
        <v>670</v>
      </c>
      <c r="C36" s="53" t="e">
        <f ca="1">ROUND(C29*F36,1)</f>
        <v>#N/A</v>
      </c>
      <c r="D36" s="3277" t="s">
        <v>685</v>
      </c>
      <c r="E36" s="774" t="s">
        <v>643</v>
      </c>
      <c r="F36" s="806" t="e">
        <f ca="1">INDIRECT("'数据-取费表'!Ak"&amp;$G$1)</f>
        <v>#N/A</v>
      </c>
      <c r="G36" s="1945"/>
      <c r="H36" s="1960"/>
      <c r="I36" s="828" t="s">
        <v>1806</v>
      </c>
      <c r="J36" s="829" t="e">
        <f ca="1">INDIRECT("'数据-取费表'!j"&amp;$G$1)</f>
        <v>#N/A</v>
      </c>
      <c r="K36" s="1964"/>
      <c r="L36" s="1960"/>
      <c r="M36" s="1960"/>
    </row>
    <row r="37" spans="1:18" ht="18" customHeight="1">
      <c r="A37" s="1577" t="s">
        <v>1881</v>
      </c>
      <c r="B37" s="774" t="s">
        <v>673</v>
      </c>
      <c r="C37" s="53" t="e">
        <f ca="1">ROUND(C13*F37,1)</f>
        <v>#N/A</v>
      </c>
      <c r="D37" s="3277" t="s">
        <v>674</v>
      </c>
      <c r="E37" s="774" t="s">
        <v>643</v>
      </c>
      <c r="F37" s="807" t="e">
        <f ca="1">INDIRECT("'数据-取费表'!Al"&amp;$G$1)</f>
        <v>#N/A</v>
      </c>
      <c r="G37" s="1945"/>
      <c r="H37" s="1960"/>
      <c r="I37" s="830" t="s">
        <v>1807</v>
      </c>
      <c r="J37" s="831"/>
      <c r="K37" s="1964"/>
      <c r="L37" s="1960"/>
      <c r="M37" s="1960"/>
    </row>
    <row r="38" spans="1:18" ht="18" customHeight="1" thickBot="1">
      <c r="A38" s="2404" t="s">
        <v>1882</v>
      </c>
      <c r="B38" s="2399" t="s">
        <v>660</v>
      </c>
      <c r="C38" s="2397" t="e">
        <f ca="1">ROUND(C5*F38,1)</f>
        <v>#N/A</v>
      </c>
      <c r="D38" s="2398" t="s">
        <v>1765</v>
      </c>
      <c r="E38" s="2399" t="s">
        <v>643</v>
      </c>
      <c r="F38" s="2395" t="e">
        <f ca="1">INDIRECT("'数据-取费表'!Am"&amp;$G$1)</f>
        <v>#N/A</v>
      </c>
      <c r="G38" s="1945"/>
      <c r="H38" s="1960"/>
      <c r="I38" s="832" t="s">
        <v>1808</v>
      </c>
      <c r="J38" s="833"/>
      <c r="K38" s="1965"/>
      <c r="L38" s="1960"/>
      <c r="M38" s="1960"/>
    </row>
    <row r="39" spans="1:18" ht="24.6" customHeight="1" thickTop="1">
      <c r="A39" s="1744" t="s">
        <v>1767</v>
      </c>
      <c r="B39" s="2723" t="s">
        <v>2802</v>
      </c>
      <c r="C39" s="782" t="e">
        <f ca="1">C5-C30</f>
        <v>#N/A</v>
      </c>
      <c r="D39" s="2401" t="s">
        <v>694</v>
      </c>
      <c r="E39" s="2402"/>
      <c r="F39" s="2403"/>
      <c r="G39" s="1945"/>
      <c r="H39" s="1960"/>
      <c r="I39" s="826" t="s">
        <v>1809</v>
      </c>
      <c r="J39" s="834" t="e">
        <f ca="1">ROUND(J35/C39,3)</f>
        <v>#N/A</v>
      </c>
      <c r="K39" s="1965"/>
      <c r="L39" s="1960"/>
      <c r="M39" s="1960"/>
    </row>
    <row r="40" spans="1:18" ht="18" customHeight="1">
      <c r="A40" s="771" t="s">
        <v>1771</v>
      </c>
      <c r="B40" s="2112" t="s">
        <v>2289</v>
      </c>
      <c r="C40" s="773" t="e">
        <f ca="1">ROUND(C39*(1-((1+F42)/(1+F40))^F41)/(F40-F42),0)</f>
        <v>#N/A</v>
      </c>
      <c r="D40" s="803" t="s">
        <v>698</v>
      </c>
      <c r="E40" s="774" t="s">
        <v>2404</v>
      </c>
      <c r="F40" s="784" t="e">
        <f ca="1">INDIRECT("'数据-取费表'!I"&amp;$G$1)</f>
        <v>#N/A</v>
      </c>
      <c r="G40" s="1945"/>
      <c r="H40" s="1945"/>
      <c r="I40" s="826" t="s">
        <v>1810</v>
      </c>
      <c r="J40" s="834" t="e">
        <f ca="1">1-J39</f>
        <v>#N/A</v>
      </c>
      <c r="K40" s="1965"/>
      <c r="L40" s="1945"/>
      <c r="M40" s="1945"/>
    </row>
    <row r="41" spans="1:18" ht="18" customHeight="1">
      <c r="A41" s="776"/>
      <c r="B41" s="777"/>
      <c r="C41" s="778"/>
      <c r="D41" s="810" t="s">
        <v>1799</v>
      </c>
      <c r="E41" s="774" t="s">
        <v>702</v>
      </c>
      <c r="F41" s="811" t="e">
        <f ca="1">IF(INDIRECT("'数据-取费表'!af"&amp;$G$1)=0,INDIRECT("'数据-取费表'!ae"&amp;$G$1),INDIRECT("'数据-取费表'!af"&amp;$G$1))</f>
        <v>#N/A</v>
      </c>
      <c r="G41" s="1945"/>
      <c r="H41" s="1900"/>
      <c r="I41" s="832" t="s">
        <v>1811</v>
      </c>
      <c r="J41" s="835"/>
      <c r="K41" s="1964"/>
      <c r="L41" s="1900"/>
      <c r="M41" s="1900"/>
    </row>
    <row r="42" spans="1:18" ht="18" customHeight="1">
      <c r="A42" s="780"/>
      <c r="B42" s="781"/>
      <c r="C42" s="782"/>
      <c r="D42" s="805"/>
      <c r="E42" s="774" t="s">
        <v>1777</v>
      </c>
      <c r="F42" s="784" t="e">
        <f ca="1">INDIRECT("'数据-取费表'!v"&amp;$G$1)</f>
        <v>#N/A</v>
      </c>
      <c r="G42" s="1945"/>
      <c r="H42" s="1900"/>
      <c r="I42" s="836" t="s">
        <v>1812</v>
      </c>
      <c r="J42" s="834" t="e">
        <f ca="1">ROUND(C13/C40,3)</f>
        <v>#N/A</v>
      </c>
      <c r="K42" s="1964"/>
      <c r="L42" s="1900"/>
      <c r="M42" s="1900"/>
    </row>
    <row r="43" spans="1:18" ht="18" customHeight="1" thickBot="1">
      <c r="A43" s="812" t="s">
        <v>1778</v>
      </c>
      <c r="B43" s="813" t="s">
        <v>1801</v>
      </c>
      <c r="C43" s="814" t="e">
        <f ca="1">ROUND(C40*10000/F43,0)</f>
        <v>#N/A</v>
      </c>
      <c r="D43" s="815" t="s">
        <v>1802</v>
      </c>
      <c r="E43" s="816" t="s">
        <v>1803</v>
      </c>
      <c r="F43" s="817" t="e">
        <f ca="1">INDIRECT("'数据-取费表'!k"&amp;$G$1)</f>
        <v>#N/A</v>
      </c>
      <c r="G43" s="1945"/>
      <c r="H43" s="1900"/>
      <c r="I43" s="836" t="s">
        <v>1813</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#N/A</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t="e">
        <f ca="1">C48+C52+C54</f>
        <v>#N/A</v>
      </c>
      <c r="D47" s="3261"/>
      <c r="E47" s="3261"/>
      <c r="F47" s="3261"/>
      <c r="I47" s="2802" t="s">
        <v>2329</v>
      </c>
      <c r="J47" s="2236" t="s">
        <v>3062</v>
      </c>
      <c r="K47" s="2808" t="s">
        <v>2334</v>
      </c>
      <c r="L47" s="2812" t="e">
        <f ca="1">INDIRECT("'数据-取费表'!d"&amp;$G$1)</f>
        <v>#N/A</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t="e">
        <f ca="1">ROUND(F48*F50*F49*(1-F51)/10000,0)</f>
        <v>#N/A</v>
      </c>
      <c r="D48" s="2230" t="s">
        <v>630</v>
      </c>
      <c r="E48" s="2231" t="s">
        <v>2284</v>
      </c>
      <c r="F48" s="2232"/>
      <c r="G48" s="1972"/>
      <c r="I48" s="2799" t="s">
        <v>2330</v>
      </c>
      <c r="J48" s="2237" t="s">
        <v>2335</v>
      </c>
      <c r="K48" s="2809" t="s">
        <v>2336</v>
      </c>
      <c r="L48" s="1822" t="e">
        <f ca="1">INDIRECT("'数据-取费表'!f"&amp;$G$1)</f>
        <v>#N/A</v>
      </c>
      <c r="M48" s="3262"/>
      <c r="O48" s="2253" t="s">
        <v>2364</v>
      </c>
      <c r="P48" s="2254" t="s">
        <v>2390</v>
      </c>
      <c r="Q48" s="2255" t="e">
        <f ca="1">C40+J29</f>
        <v>#N/A</v>
      </c>
      <c r="R48" s="2254" t="s">
        <v>2365</v>
      </c>
    </row>
    <row r="49" spans="1:18" s="1942" customFormat="1" ht="18" customHeight="1" thickBot="1">
      <c r="A49" s="776"/>
      <c r="B49" s="777"/>
      <c r="C49" s="778"/>
      <c r="D49" s="779"/>
      <c r="E49" s="774" t="s">
        <v>632</v>
      </c>
      <c r="F49" s="775" t="e">
        <f ca="1">F7</f>
        <v>#N/A</v>
      </c>
      <c r="G49" s="1972"/>
      <c r="H49" s="1975"/>
      <c r="I49" s="2799" t="s">
        <v>2331</v>
      </c>
      <c r="J49" s="2238"/>
      <c r="K49" s="2810" t="s">
        <v>2337</v>
      </c>
      <c r="L49" s="2239"/>
      <c r="M49" s="3262"/>
      <c r="O49" s="2253" t="s">
        <v>2366</v>
      </c>
      <c r="P49" s="2254" t="s">
        <v>2391</v>
      </c>
      <c r="Q49" s="2255" t="e">
        <f ca="1">J60</f>
        <v>#N/A</v>
      </c>
      <c r="R49" s="2254" t="s">
        <v>2367</v>
      </c>
    </row>
    <row r="50" spans="1:18" s="1942" customFormat="1" ht="18" customHeight="1" thickBot="1">
      <c r="A50" s="776"/>
      <c r="B50" s="777"/>
      <c r="C50" s="778"/>
      <c r="D50" s="779"/>
      <c r="E50" s="774" t="s">
        <v>633</v>
      </c>
      <c r="F50" s="775" t="e">
        <f ca="1">F8</f>
        <v>#N/A</v>
      </c>
      <c r="G50" s="1977"/>
      <c r="H50" s="1975"/>
      <c r="I50" s="2799" t="s">
        <v>2332</v>
      </c>
      <c r="J50" s="2806">
        <f>SUMPRODUCT((I63:I65=J47)*(J62:L62=J48)*(J63:L65))</f>
        <v>60</v>
      </c>
      <c r="K50" s="2810" t="s">
        <v>2338</v>
      </c>
      <c r="L50" s="2239"/>
      <c r="M50" s="3262"/>
      <c r="O50" s="2256" t="s">
        <v>2368</v>
      </c>
      <c r="P50" s="2254" t="s">
        <v>2392</v>
      </c>
      <c r="Q50" s="2255" t="e">
        <f ca="1">C29</f>
        <v>#N/A</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t="e">
        <f ca="1">ROUND(-PV(INDIRECT("'数据-取费表'!h"&amp;$G$1),J51,(C39-C13*J36),0),0)</f>
        <v>#N/A</v>
      </c>
      <c r="M51" s="3262"/>
      <c r="O51" s="2256" t="s">
        <v>2369</v>
      </c>
      <c r="P51" s="2254" t="s">
        <v>2370</v>
      </c>
      <c r="Q51" s="2257" t="e">
        <f ca="1">J58</f>
        <v>#N/A</v>
      </c>
      <c r="R51" s="2258"/>
    </row>
    <row r="52" spans="1:18" s="1942" customFormat="1" ht="18" customHeight="1" thickBot="1">
      <c r="A52" s="771" t="s">
        <v>2518</v>
      </c>
      <c r="B52" s="2347" t="s">
        <v>2441</v>
      </c>
      <c r="C52" s="789">
        <f ca="1">ROUND(IF(F52="押一",C48/12*F11,IF(F52="押二",C48/12*2*F11,IF(F52="押三",C48/12*3*F11,C53*F11))),0)</f>
        <v>0</v>
      </c>
      <c r="D52" s="2354" t="s">
        <v>2934</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t="e">
        <f ca="1">IF(M47="住宅",IF(D1="——",MAX(J51,L48),MAX(J51,L48-'数据-取费表'!B20)),IF(D1="——",MIN(J51,L48),MIN(J51,L48-'数据-取费表'!B20)))</f>
        <v>#N/A</v>
      </c>
      <c r="K53" s="3575" t="s">
        <v>2927</v>
      </c>
      <c r="L53" s="3576"/>
      <c r="M53" s="3262"/>
      <c r="O53" s="2256" t="s">
        <v>2373</v>
      </c>
      <c r="P53" s="2254" t="s">
        <v>2374</v>
      </c>
      <c r="Q53" s="2255" t="e">
        <f ca="1">J53</f>
        <v>#N/A</v>
      </c>
      <c r="R53" s="2254" t="s">
        <v>2375</v>
      </c>
    </row>
    <row r="54" spans="1:18" s="1942" customFormat="1" ht="18" customHeight="1" thickBot="1">
      <c r="A54" s="2390" t="s">
        <v>2449</v>
      </c>
      <c r="B54" s="2391" t="s">
        <v>2442</v>
      </c>
      <c r="C54" s="2392"/>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2376</v>
      </c>
      <c r="P54" s="2254" t="s">
        <v>2393</v>
      </c>
      <c r="Q54" s="2255" t="e">
        <f ca="1">Q48+Q49</f>
        <v>#N/A</v>
      </c>
      <c r="R54" s="2258" t="s">
        <v>2377</v>
      </c>
    </row>
    <row r="55" spans="1:18" s="1942" customFormat="1" ht="18" customHeight="1" thickTop="1" thickBot="1">
      <c r="A55" s="787">
        <v>2</v>
      </c>
      <c r="B55" s="788" t="s">
        <v>638</v>
      </c>
      <c r="C55" s="789" t="e">
        <f ca="1">C13</f>
        <v>#N/A</v>
      </c>
      <c r="D55" s="785"/>
      <c r="E55" s="785"/>
      <c r="F55" s="790"/>
      <c r="I55" s="2816" t="s">
        <v>2340</v>
      </c>
      <c r="J55" s="2788" t="e">
        <f ca="1">ROUND(IF(J47="钢混",J57/J50,1-(1-2%)*(J50-J57)/J50),3)</f>
        <v>#N/A</v>
      </c>
      <c r="K55" s="2817" t="s">
        <v>2341</v>
      </c>
      <c r="L55" s="2241"/>
      <c r="M55" s="3262"/>
      <c r="O55" s="2259" t="s">
        <v>2396</v>
      </c>
      <c r="P55" s="1526"/>
      <c r="Q55" s="1534"/>
      <c r="R55" s="1526"/>
    </row>
    <row r="56" spans="1:18" s="1942" customFormat="1" ht="42.75" customHeight="1" thickBot="1">
      <c r="A56" s="1578"/>
      <c r="B56" s="2111" t="s">
        <v>2288</v>
      </c>
      <c r="C56" s="53" t="e">
        <f ca="1">C29</f>
        <v>#N/A</v>
      </c>
      <c r="D56" s="3277"/>
      <c r="E56" s="774"/>
      <c r="F56" s="799"/>
      <c r="I56" s="2818" t="s">
        <v>2342</v>
      </c>
      <c r="J56" s="2828" t="s">
        <v>1669</v>
      </c>
      <c r="K56" s="2799" t="s">
        <v>2347</v>
      </c>
      <c r="L56" s="1822" t="e">
        <f ca="1">IF(L48&lt;J51,"——",L48-J51)</f>
        <v>#N/A</v>
      </c>
      <c r="M56" s="3262"/>
      <c r="O56" s="2250" t="s">
        <v>2360</v>
      </c>
      <c r="P56" s="2251" t="s">
        <v>2361</v>
      </c>
      <c r="Q56" s="2252" t="s">
        <v>2362</v>
      </c>
      <c r="R56" s="2251" t="s">
        <v>2363</v>
      </c>
    </row>
    <row r="57" spans="1:18" s="1942" customFormat="1" ht="28.5" customHeight="1" thickBot="1">
      <c r="A57" s="787" t="s">
        <v>1739</v>
      </c>
      <c r="B57" s="788" t="s">
        <v>645</v>
      </c>
      <c r="C57" s="789" t="e">
        <f ca="1">ROUND(C58+C63+C64+C65,0)</f>
        <v>#N/A</v>
      </c>
      <c r="D57" s="26" t="s">
        <v>646</v>
      </c>
      <c r="E57" s="3282"/>
      <c r="F57" s="56"/>
      <c r="I57" s="2819" t="s">
        <v>2343</v>
      </c>
      <c r="J57" s="2820" t="e">
        <f ca="1">IF(OR(M47="住宅",J51&lt;L48,J56="是"),"——",J51-L48)</f>
        <v>#N/A</v>
      </c>
      <c r="K57" s="2799" t="s">
        <v>2348</v>
      </c>
      <c r="L57" s="1822" t="e">
        <f ca="1">IF(L48&lt;J51,"——",IF(L55="比较法",L49,IF(L55="基准地价",L50,L51)))</f>
        <v>#N/A</v>
      </c>
      <c r="M57" s="3262"/>
      <c r="O57" s="2253" t="s">
        <v>2364</v>
      </c>
      <c r="P57" s="2254" t="s">
        <v>2390</v>
      </c>
      <c r="Q57" s="2255" t="e">
        <f ca="1">C40+J29</f>
        <v>#N/A</v>
      </c>
      <c r="R57" s="2254" t="s">
        <v>2365</v>
      </c>
    </row>
    <row r="58" spans="1:18" s="1942" customFormat="1" ht="28.5" customHeight="1" thickBot="1">
      <c r="A58" s="1577" t="s">
        <v>1815</v>
      </c>
      <c r="B58" s="774" t="s">
        <v>650</v>
      </c>
      <c r="C58" s="3019" t="e">
        <f ca="1">ROUND(IF(AND(项目基本情况!B11="自然人",项目基本情况!B10="北京市"),C48*F58/(1+'数据-取费表'!C42),C59+C60+C61),0)</f>
        <v>#N/A</v>
      </c>
      <c r="D58" s="3278" t="s">
        <v>651</v>
      </c>
      <c r="E58" s="3277" t="s">
        <v>684</v>
      </c>
      <c r="F58" s="3018" t="e">
        <f ca="1">IF(项目基本情况!B11="企业","——",IF('数据-取费表'!B10="住宅",IF(F48*F49*F50/12/(1+'数据-取费表'!F30)&gt;100000,4%,2.5%),IF(F48*F49*F50/12/(1+'数据-取费表'!F30)&gt;100000,12%,7%)))</f>
        <v>#N/A</v>
      </c>
      <c r="I58" s="2819" t="s">
        <v>2344</v>
      </c>
      <c r="J58" s="2789" t="e">
        <f ca="1">IF(J55&lt;0.4,0.4,J55)</f>
        <v>#N/A</v>
      </c>
      <c r="K58" s="2799" t="s">
        <v>2349</v>
      </c>
      <c r="L58" s="1822" t="e">
        <f ca="1">ROUND(POWER(1+L52,L47-L48)*(POWER(1+L52,L48)-1)/(POWER(1+L52,L47)-1),4)</f>
        <v>#N/A</v>
      </c>
      <c r="M58" s="3262"/>
      <c r="O58" s="2253" t="s">
        <v>2366</v>
      </c>
      <c r="P58" s="2254" t="s">
        <v>2397</v>
      </c>
      <c r="Q58" s="2255" t="e">
        <f ca="1">L60</f>
        <v>#N/A</v>
      </c>
      <c r="R58" s="2258" t="s">
        <v>2399</v>
      </c>
    </row>
    <row r="59" spans="1:18" s="1942" customFormat="1" ht="28.5" customHeight="1" thickBot="1">
      <c r="A59" s="1576" t="s">
        <v>1822</v>
      </c>
      <c r="B59" s="774" t="s">
        <v>654</v>
      </c>
      <c r="C59" s="53" t="e">
        <f ca="1">ROUND(C47*F59/1.05,1)</f>
        <v>#N/A</v>
      </c>
      <c r="D59" s="3277" t="s">
        <v>655</v>
      </c>
      <c r="E59" s="774" t="s">
        <v>643</v>
      </c>
      <c r="F59" s="799">
        <f t="shared" ref="F59:F65" si="0">F32</f>
        <v>5.6000000000000001E-2</v>
      </c>
      <c r="I59" s="2819" t="s">
        <v>2345</v>
      </c>
      <c r="J59" s="2820" t="e">
        <f ca="1">IF(OR(M47="住宅",J51&lt;L48,J56="是"),"——",ROUND(C29*J58,0))</f>
        <v>#N/A</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t="e">
        <f ca="1">IF(D60="按租金收入计税",ROUND(C47*F60,1),IF(D60="按房产原值计税",ROUND(C56*F60*0.7,1),INDIRECT("'数据-取费表'!Aj"&amp;$G$1)))</f>
        <v>#N/A</v>
      </c>
      <c r="D60" s="3277" t="str">
        <f>D33</f>
        <v>按租金收入计税</v>
      </c>
      <c r="E60" s="774" t="s">
        <v>643</v>
      </c>
      <c r="F60" s="799">
        <f t="shared" si="0"/>
        <v>0.12</v>
      </c>
      <c r="I60" s="2821" t="s">
        <v>2346</v>
      </c>
      <c r="J60" s="2822" t="e">
        <f ca="1">IF(OR(M47="住宅",J51&lt;L48,J56="是"),"0",ROUND(J59/(1+J52)^J53,0))</f>
        <v>#N/A</v>
      </c>
      <c r="K60" s="2823" t="s">
        <v>2351</v>
      </c>
      <c r="L60" s="2822" t="e">
        <f ca="1">IF(OR(M47="住宅",L48&lt;J51),0,ROUND(L57*(L58/L59-1),0))</f>
        <v>#N/A</v>
      </c>
      <c r="M60" s="3262"/>
      <c r="O60" s="2256" t="s">
        <v>2369</v>
      </c>
      <c r="P60" s="2254" t="s">
        <v>2378</v>
      </c>
      <c r="Q60" s="2257">
        <f>L52</f>
        <v>0</v>
      </c>
      <c r="R60" s="2258"/>
    </row>
    <row r="61" spans="1:18" s="1942" customFormat="1" ht="18" customHeight="1" thickBot="1">
      <c r="A61" s="1579" t="s">
        <v>1824</v>
      </c>
      <c r="B61" s="339" t="s">
        <v>662</v>
      </c>
      <c r="C61" s="54" t="e">
        <f ca="1">ROUND(F61*F62/10000,1)</f>
        <v>#N/A</v>
      </c>
      <c r="D61" s="803" t="s">
        <v>663</v>
      </c>
      <c r="E61" s="774" t="s">
        <v>664</v>
      </c>
      <c r="F61" s="632">
        <f t="shared" si="0"/>
        <v>3</v>
      </c>
      <c r="K61" s="1968"/>
      <c r="O61" s="2256" t="s">
        <v>2371</v>
      </c>
      <c r="P61" s="2254" t="s">
        <v>2379</v>
      </c>
      <c r="Q61" s="2255" t="e">
        <f ca="1">L58</f>
        <v>#N/A</v>
      </c>
      <c r="R61" s="2258" t="s">
        <v>2380</v>
      </c>
    </row>
    <row r="62" spans="1:18" s="1942" customFormat="1" ht="15.75" thickBot="1">
      <c r="A62" s="804"/>
      <c r="B62" s="783"/>
      <c r="C62" s="69"/>
      <c r="D62" s="805"/>
      <c r="E62" s="774" t="s">
        <v>668</v>
      </c>
      <c r="F62" s="775" t="e">
        <f t="shared" ca="1" si="0"/>
        <v>#N/A</v>
      </c>
      <c r="I62" s="2824" t="s">
        <v>2352</v>
      </c>
      <c r="J62" s="2825" t="s">
        <v>2353</v>
      </c>
      <c r="K62" s="2825" t="s">
        <v>2354</v>
      </c>
      <c r="L62" s="2825" t="s">
        <v>2335</v>
      </c>
      <c r="M62" s="2826" t="s">
        <v>2906</v>
      </c>
      <c r="O62" s="2256" t="s">
        <v>2373</v>
      </c>
      <c r="P62" s="2254" t="str">
        <f>K59</f>
        <v>建设期及建筑物耐用年限下的土地年期修正系数Kn</v>
      </c>
      <c r="Q62" s="2255" t="e">
        <f ca="1">L59</f>
        <v>#N/A</v>
      </c>
      <c r="R62" s="2258" t="s">
        <v>2382</v>
      </c>
    </row>
    <row r="63" spans="1:18" s="1942" customFormat="1" ht="15.75" thickBot="1">
      <c r="A63" s="1577" t="s">
        <v>1880</v>
      </c>
      <c r="B63" s="774" t="s">
        <v>670</v>
      </c>
      <c r="C63" s="53" t="e">
        <f ca="1">ROUND(C56*F63,1)</f>
        <v>#N/A</v>
      </c>
      <c r="D63" s="3277" t="s">
        <v>685</v>
      </c>
      <c r="E63" s="774" t="s">
        <v>643</v>
      </c>
      <c r="F63" s="806" t="e">
        <f t="shared" ca="1" si="0"/>
        <v>#N/A</v>
      </c>
      <c r="I63" s="2824" t="s">
        <v>2355</v>
      </c>
      <c r="J63" s="2825">
        <v>70</v>
      </c>
      <c r="K63" s="2825">
        <v>50</v>
      </c>
      <c r="L63" s="2825">
        <v>80</v>
      </c>
      <c r="M63" s="2827">
        <v>0.02</v>
      </c>
      <c r="O63" s="2253" t="s">
        <v>2376</v>
      </c>
      <c r="P63" s="2254" t="s">
        <v>2393</v>
      </c>
      <c r="Q63" s="2255" t="e">
        <f ca="1">Q57+Q58</f>
        <v>#N/A</v>
      </c>
      <c r="R63" s="2258" t="s">
        <v>2377</v>
      </c>
    </row>
    <row r="64" spans="1:18" s="1942" customFormat="1" ht="16.5" thickBot="1">
      <c r="A64" s="1577" t="s">
        <v>1881</v>
      </c>
      <c r="B64" s="774" t="s">
        <v>673</v>
      </c>
      <c r="C64" s="53" t="e">
        <f ca="1">ROUND(C55*F64,1)</f>
        <v>#N/A</v>
      </c>
      <c r="D64" s="3277" t="s">
        <v>674</v>
      </c>
      <c r="E64" s="774" t="s">
        <v>643</v>
      </c>
      <c r="F64" s="807" t="e">
        <f t="shared" ca="1" si="0"/>
        <v>#N/A</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t="e">
        <f ca="1">ROUND(C47*F65,1)</f>
        <v>#N/A</v>
      </c>
      <c r="D65" s="3277" t="s">
        <v>677</v>
      </c>
      <c r="E65" s="774" t="s">
        <v>643</v>
      </c>
      <c r="F65" s="784" t="e">
        <f t="shared" ca="1" si="0"/>
        <v>#N/A</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#N/A</v>
      </c>
      <c r="D66" s="3278" t="s">
        <v>694</v>
      </c>
      <c r="E66" s="3281"/>
      <c r="F66" s="809"/>
      <c r="K66" s="1968"/>
      <c r="O66" s="2253" t="s">
        <v>2364</v>
      </c>
      <c r="P66" s="2254" t="s">
        <v>2390</v>
      </c>
      <c r="Q66" s="2255" t="e">
        <f ca="1">C40+J29</f>
        <v>#N/A</v>
      </c>
      <c r="R66" s="2254" t="s">
        <v>2365</v>
      </c>
    </row>
    <row r="67" spans="1:18" s="1942" customFormat="1" ht="20.25" thickBot="1">
      <c r="A67" s="771" t="s">
        <v>1771</v>
      </c>
      <c r="B67" s="2112" t="s">
        <v>2289</v>
      </c>
      <c r="C67" s="773" t="e">
        <f ca="1">ROUND(C66*(1-((1+F69)/(1+F67))^F68)/(F67-F69),0)</f>
        <v>#N/A</v>
      </c>
      <c r="D67" s="803" t="s">
        <v>698</v>
      </c>
      <c r="E67" s="774" t="s">
        <v>699</v>
      </c>
      <c r="F67" s="784" t="e">
        <f ca="1">F40</f>
        <v>#N/A</v>
      </c>
      <c r="K67" s="1968"/>
      <c r="O67" s="2253" t="s">
        <v>2366</v>
      </c>
      <c r="P67" s="2254" t="s">
        <v>2397</v>
      </c>
      <c r="Q67" s="2255" t="e">
        <f ca="1">L60</f>
        <v>#N/A</v>
      </c>
      <c r="R67" s="2258" t="s">
        <v>2399</v>
      </c>
    </row>
    <row r="68" spans="1:18" ht="21.75" thickBot="1">
      <c r="A68" s="776"/>
      <c r="B68" s="777"/>
      <c r="C68" s="778"/>
      <c r="D68" s="810" t="s">
        <v>1799</v>
      </c>
      <c r="E68" s="774" t="s">
        <v>702</v>
      </c>
      <c r="F68" s="811" t="e">
        <f ca="1">F41</f>
        <v>#N/A</v>
      </c>
      <c r="O68" s="2256" t="s">
        <v>2368</v>
      </c>
      <c r="P68" s="2254" t="s">
        <v>2398</v>
      </c>
      <c r="Q68" s="2260" t="e">
        <f ca="1">L51</f>
        <v>#N/A</v>
      </c>
      <c r="R68" s="2261" t="s">
        <v>2401</v>
      </c>
    </row>
    <row r="69" spans="1:18" ht="20.25" thickBot="1">
      <c r="A69" s="780"/>
      <c r="B69" s="781"/>
      <c r="C69" s="782"/>
      <c r="D69" s="805"/>
      <c r="E69" s="774" t="s">
        <v>704</v>
      </c>
      <c r="F69" s="2226"/>
      <c r="O69" s="2256" t="s">
        <v>2369</v>
      </c>
      <c r="P69" s="2262" t="s">
        <v>2383</v>
      </c>
      <c r="Q69" s="2255" t="e">
        <f ca="1">ROUND(Q70-Q71*Q72,0)</f>
        <v>#N/A</v>
      </c>
      <c r="R69" s="2258"/>
    </row>
    <row r="70" spans="1:18" ht="15.75" thickBot="1">
      <c r="A70" s="812" t="s">
        <v>1778</v>
      </c>
      <c r="B70" s="813" t="s">
        <v>1801</v>
      </c>
      <c r="C70" s="814" t="e">
        <f ca="1">ROUND(C67*10000/F70,0)</f>
        <v>#N/A</v>
      </c>
      <c r="D70" s="815" t="s">
        <v>1802</v>
      </c>
      <c r="E70" s="816" t="s">
        <v>1803</v>
      </c>
      <c r="F70" s="817" t="e">
        <f ca="1">F43</f>
        <v>#N/A</v>
      </c>
      <c r="O70" s="2256" t="s">
        <v>2384</v>
      </c>
      <c r="P70" s="2262" t="s">
        <v>2385</v>
      </c>
      <c r="Q70" s="2255" t="e">
        <f ca="1">C39</f>
        <v>#N/A</v>
      </c>
      <c r="R70" s="2254" t="s">
        <v>2365</v>
      </c>
    </row>
    <row r="71" spans="1:18" ht="15.75" thickBot="1">
      <c r="O71" s="2256" t="s">
        <v>2386</v>
      </c>
      <c r="P71" s="2262" t="s">
        <v>2387</v>
      </c>
      <c r="Q71" s="2255" t="e">
        <f ca="1">C13</f>
        <v>#N/A</v>
      </c>
      <c r="R71" s="2254" t="s">
        <v>2365</v>
      </c>
    </row>
    <row r="72" spans="1:18" ht="15.75" thickBot="1">
      <c r="O72" s="2256" t="s">
        <v>2388</v>
      </c>
      <c r="P72" s="2262" t="s">
        <v>2389</v>
      </c>
      <c r="Q72" s="2257" t="e">
        <f ca="1">J36</f>
        <v>#N/A</v>
      </c>
      <c r="R72" s="2258"/>
    </row>
    <row r="73" spans="1:18" ht="15.75" thickBot="1">
      <c r="O73" s="2256" t="s">
        <v>2371</v>
      </c>
      <c r="P73" s="2254" t="s">
        <v>2378</v>
      </c>
      <c r="Q73" s="2257">
        <f>L52</f>
        <v>0</v>
      </c>
      <c r="R73" s="2258"/>
    </row>
    <row r="74" spans="1:18" ht="20.25" thickBot="1">
      <c r="O74" s="2256" t="s">
        <v>2373</v>
      </c>
      <c r="P74" s="2254" t="s">
        <v>2379</v>
      </c>
      <c r="Q74" s="2255" t="e">
        <f ca="1">L58</f>
        <v>#N/A</v>
      </c>
      <c r="R74" s="2258" t="s">
        <v>2380</v>
      </c>
    </row>
    <row r="75" spans="1:18" ht="15.75" thickBot="1">
      <c r="O75" s="2256" t="s">
        <v>2402</v>
      </c>
      <c r="P75" s="2254" t="str">
        <f>K59</f>
        <v>建设期及建筑物耐用年限下的土地年期修正系数Kn</v>
      </c>
      <c r="Q75" s="2255" t="e">
        <f ca="1">L59</f>
        <v>#N/A</v>
      </c>
      <c r="R75" s="2258" t="s">
        <v>2382</v>
      </c>
    </row>
    <row r="76" spans="1:18" ht="15.75" thickBot="1">
      <c r="O76" s="2253" t="s">
        <v>2376</v>
      </c>
      <c r="P76" s="2254" t="s">
        <v>2393</v>
      </c>
      <c r="Q76" s="2255" t="e">
        <f ca="1">Q66+Q67</f>
        <v>#N/A</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D7" sqref="D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3008</v>
      </c>
      <c r="E1" s="2009"/>
      <c r="F1" s="2524" t="s">
        <v>3071</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9696</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87" t="s">
        <v>516</v>
      </c>
      <c r="D4" s="3488"/>
      <c r="E4" s="3521" t="s">
        <v>517</v>
      </c>
      <c r="F4" s="3522"/>
      <c r="G4" s="3487" t="s">
        <v>518</v>
      </c>
      <c r="H4" s="3488"/>
      <c r="I4" s="3487" t="s">
        <v>519</v>
      </c>
      <c r="J4" s="3488"/>
      <c r="K4" s="842" t="s">
        <v>520</v>
      </c>
      <c r="L4" s="2015"/>
      <c r="M4" s="2016"/>
      <c r="N4" s="2016"/>
      <c r="O4" s="2016"/>
      <c r="P4" s="3489" t="s">
        <v>521</v>
      </c>
      <c r="Q4" s="3490"/>
      <c r="R4" s="3495" t="s">
        <v>517</v>
      </c>
      <c r="S4" s="3496"/>
      <c r="T4" s="3495" t="s">
        <v>518</v>
      </c>
      <c r="U4" s="3496"/>
      <c r="V4" s="3482" t="s">
        <v>519</v>
      </c>
      <c r="W4" s="3482"/>
      <c r="X4" s="1501"/>
      <c r="Y4" s="3495" t="s">
        <v>521</v>
      </c>
      <c r="Z4" s="3496"/>
      <c r="AA4" s="3484" t="s">
        <v>517</v>
      </c>
      <c r="AB4" s="3484" t="s">
        <v>518</v>
      </c>
      <c r="AC4" s="3484" t="s">
        <v>519</v>
      </c>
    </row>
    <row r="5" spans="1:29" ht="15">
      <c r="A5" s="509"/>
      <c r="B5" s="510"/>
      <c r="C5" s="3503" t="s">
        <v>2893</v>
      </c>
      <c r="D5" s="3504"/>
      <c r="E5" s="3602" t="s">
        <v>3015</v>
      </c>
      <c r="F5" s="3524"/>
      <c r="G5" s="3601" t="s">
        <v>3016</v>
      </c>
      <c r="H5" s="3504"/>
      <c r="I5" s="3601" t="s">
        <v>3017</v>
      </c>
      <c r="J5" s="3504"/>
      <c r="K5" s="843"/>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843"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44277</v>
      </c>
      <c r="D7" s="514">
        <v>100</v>
      </c>
      <c r="E7" s="515">
        <v>44075</v>
      </c>
      <c r="F7" s="516">
        <f>SUMIF(58:58,YEAR(E7)&amp;"-"&amp;MONTH(E7),59:59)</f>
        <v>99.8</v>
      </c>
      <c r="G7" s="515">
        <v>44075</v>
      </c>
      <c r="H7" s="514">
        <f>SUMIF(58:58,YEAR(G7)&amp;"-"&amp;MONTH(G7),59:59)</f>
        <v>99.8</v>
      </c>
      <c r="I7" s="517">
        <v>44136</v>
      </c>
      <c r="J7" s="514">
        <f>SUMIF(58:58,YEAR(I7)&amp;"-"&amp;MONTH(I7),59:59)</f>
        <v>100</v>
      </c>
      <c r="K7" s="844"/>
      <c r="L7" s="2017"/>
      <c r="M7" s="2018"/>
      <c r="N7" s="2018"/>
      <c r="O7" s="2018"/>
      <c r="P7" s="3512" t="s">
        <v>524</v>
      </c>
      <c r="Q7" s="3514"/>
      <c r="R7" s="1502" t="s">
        <v>13</v>
      </c>
      <c r="S7" s="1503">
        <f t="shared" ref="S7:S15" si="0">F7</f>
        <v>99.8</v>
      </c>
      <c r="T7" s="1502" t="s">
        <v>13</v>
      </c>
      <c r="U7" s="1503">
        <f t="shared" ref="U7:U15" si="1">H7</f>
        <v>99.8</v>
      </c>
      <c r="V7" s="1502" t="s">
        <v>13</v>
      </c>
      <c r="W7" s="1503">
        <f t="shared" ref="W7:W15" si="2">J7</f>
        <v>100</v>
      </c>
      <c r="X7" s="1504"/>
      <c r="Y7" s="3512" t="s">
        <v>524</v>
      </c>
      <c r="Z7" s="3513"/>
      <c r="AA7" s="1505">
        <f>D7/F7</f>
        <v>1.0020040080160322</v>
      </c>
      <c r="AB7" s="1505">
        <f>D7/H7</f>
        <v>1.0020040080160322</v>
      </c>
      <c r="AC7" s="1505">
        <f>D7/J7</f>
        <v>1</v>
      </c>
    </row>
    <row r="8" spans="1:29" s="1202" customFormat="1" ht="15.75" thickBot="1">
      <c r="A8" s="2630"/>
      <c r="B8" s="2637" t="s">
        <v>525</v>
      </c>
      <c r="C8" s="519" t="s">
        <v>570</v>
      </c>
      <c r="D8" s="514">
        <v>100</v>
      </c>
      <c r="E8" s="519" t="s">
        <v>570</v>
      </c>
      <c r="F8" s="516">
        <f>SUMIF(61:61,E8,62:62)-SUMIF(61:61,C8,62:62)+100</f>
        <v>100</v>
      </c>
      <c r="G8" s="519" t="s">
        <v>3019</v>
      </c>
      <c r="H8" s="514">
        <f>SUMIF(61:61,G8,62:62)-SUMIF(61:61,C8,62:62)+100</f>
        <v>100</v>
      </c>
      <c r="I8" s="519" t="s">
        <v>570</v>
      </c>
      <c r="J8" s="514">
        <f>SUMIF(61:61,I8,62:62)-SUMIF(61:61,C8,62:62)+100</f>
        <v>100</v>
      </c>
      <c r="K8" s="844"/>
      <c r="L8" s="2017"/>
      <c r="M8" s="2018"/>
      <c r="N8" s="2018"/>
      <c r="O8" s="2018"/>
      <c r="P8" s="3512" t="s">
        <v>527</v>
      </c>
      <c r="Q8" s="3513"/>
      <c r="R8" s="1502" t="s">
        <v>13</v>
      </c>
      <c r="S8" s="1503">
        <f t="shared" si="0"/>
        <v>100</v>
      </c>
      <c r="T8" s="1502" t="s">
        <v>13</v>
      </c>
      <c r="U8" s="1503">
        <f t="shared" si="1"/>
        <v>100</v>
      </c>
      <c r="V8" s="1502" t="s">
        <v>13</v>
      </c>
      <c r="W8" s="1503">
        <f t="shared" si="2"/>
        <v>100</v>
      </c>
      <c r="X8" s="1504"/>
      <c r="Y8" s="3512" t="s">
        <v>527</v>
      </c>
      <c r="Z8" s="3513"/>
      <c r="AA8" s="1505">
        <f t="shared" ref="AA8:AA46" si="3">D8/F8</f>
        <v>1</v>
      </c>
      <c r="AB8" s="1505">
        <f t="shared" ref="AB8:AB46" si="4">D8/H8</f>
        <v>1</v>
      </c>
      <c r="AC8" s="1505">
        <f t="shared" ref="AC8:AC46" si="5">D8/J8</f>
        <v>1</v>
      </c>
    </row>
    <row r="9" spans="1:29" s="1202" customFormat="1" ht="15">
      <c r="A9" s="2631"/>
      <c r="B9" s="2638" t="s">
        <v>2737</v>
      </c>
      <c r="C9" s="3286" t="s">
        <v>3018</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t="s">
        <v>3021</v>
      </c>
      <c r="D10" s="253">
        <v>100</v>
      </c>
      <c r="E10" s="851" t="s">
        <v>3020</v>
      </c>
      <c r="F10" s="852">
        <f>SUMIF(65:65,E10,66:66)-SUMIF(65:65,C10,66:66)+100</f>
        <v>102</v>
      </c>
      <c r="G10" s="851" t="s">
        <v>3020</v>
      </c>
      <c r="H10" s="253">
        <f>SUMIF(65:65,G10,66:66)-SUMIF(65:65,C10,66:66)+100</f>
        <v>102</v>
      </c>
      <c r="I10" s="851" t="s">
        <v>3020</v>
      </c>
      <c r="J10" s="253">
        <f>SUMIF(65:65,I10,66:66)-SUMIF(65:65,C10,66:66)+100</f>
        <v>102</v>
      </c>
      <c r="K10" s="853">
        <v>1</v>
      </c>
      <c r="L10" s="2020"/>
      <c r="M10" s="2059"/>
      <c r="N10" s="2059"/>
      <c r="O10" s="2021"/>
      <c r="P10" s="3481"/>
      <c r="Q10" s="1133" t="str">
        <f t="shared" si="6"/>
        <v>土地使用年限（年）</v>
      </c>
      <c r="R10" s="1502" t="s">
        <v>8</v>
      </c>
      <c r="S10" s="1503">
        <f t="shared" si="0"/>
        <v>102</v>
      </c>
      <c r="T10" s="1502" t="s">
        <v>8</v>
      </c>
      <c r="U10" s="1503">
        <f t="shared" si="1"/>
        <v>102</v>
      </c>
      <c r="V10" s="1502" t="s">
        <v>8</v>
      </c>
      <c r="W10" s="1503">
        <f t="shared" si="2"/>
        <v>102</v>
      </c>
      <c r="X10" s="1504"/>
      <c r="Y10" s="3427"/>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3.45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81"/>
      <c r="Q11" s="1133" t="str">
        <f t="shared" si="6"/>
        <v>容积率</v>
      </c>
      <c r="R11" s="1502" t="s">
        <v>11</v>
      </c>
      <c r="S11" s="1503">
        <f t="shared" si="0"/>
        <v>100</v>
      </c>
      <c r="T11" s="1502" t="s">
        <v>11</v>
      </c>
      <c r="U11" s="1503">
        <f t="shared" si="1"/>
        <v>100.5</v>
      </c>
      <c r="V11" s="1502" t="s">
        <v>11</v>
      </c>
      <c r="W11" s="1503">
        <f t="shared" si="2"/>
        <v>100.5</v>
      </c>
      <c r="X11" s="1504"/>
      <c r="Y11" s="3427"/>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1"/>
      <c r="Q12" s="1133">
        <f t="shared" si="6"/>
        <v>111</v>
      </c>
      <c r="R12" s="1502" t="s">
        <v>11</v>
      </c>
      <c r="S12" s="1503">
        <f t="shared" si="0"/>
        <v>100</v>
      </c>
      <c r="T12" s="1502" t="s">
        <v>11</v>
      </c>
      <c r="U12" s="1503">
        <f t="shared" si="1"/>
        <v>100</v>
      </c>
      <c r="V12" s="1502" t="s">
        <v>11</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1"/>
      <c r="Q13" s="1133">
        <f t="shared" si="6"/>
        <v>111</v>
      </c>
      <c r="R13" s="1502" t="s">
        <v>11</v>
      </c>
      <c r="S13" s="1503">
        <f t="shared" si="0"/>
        <v>100</v>
      </c>
      <c r="T13" s="1502" t="s">
        <v>11</v>
      </c>
      <c r="U13" s="1503">
        <f t="shared" si="1"/>
        <v>100</v>
      </c>
      <c r="V13" s="1502" t="s">
        <v>11</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1"/>
      <c r="Q14" s="1133">
        <f t="shared" si="6"/>
        <v>111</v>
      </c>
      <c r="R14" s="1502" t="s">
        <v>11</v>
      </c>
      <c r="S14" s="1503">
        <f t="shared" si="0"/>
        <v>100</v>
      </c>
      <c r="T14" s="1502" t="s">
        <v>11</v>
      </c>
      <c r="U14" s="1503">
        <f t="shared" si="1"/>
        <v>100</v>
      </c>
      <c r="V14" s="1502" t="s">
        <v>11</v>
      </c>
      <c r="W14" s="1503">
        <f t="shared" si="2"/>
        <v>100</v>
      </c>
      <c r="X14" s="1504"/>
      <c r="Y14" s="3427"/>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515" t="s">
        <v>534</v>
      </c>
      <c r="Q15" s="1506" t="str">
        <f t="shared" si="6"/>
        <v>居住社区成熟度</v>
      </c>
      <c r="R15" s="1507" t="s">
        <v>11</v>
      </c>
      <c r="S15" s="1508">
        <f t="shared" si="0"/>
        <v>102</v>
      </c>
      <c r="T15" s="1507" t="s">
        <v>11</v>
      </c>
      <c r="U15" s="1508">
        <f t="shared" si="1"/>
        <v>102</v>
      </c>
      <c r="V15" s="1507" t="s">
        <v>11</v>
      </c>
      <c r="W15" s="1508">
        <f t="shared" si="2"/>
        <v>100</v>
      </c>
      <c r="X15" s="1501"/>
      <c r="Y15" s="3515" t="s">
        <v>534</v>
      </c>
      <c r="Z15" s="1509" t="str">
        <f t="shared" si="7"/>
        <v>居住社区成熟度</v>
      </c>
      <c r="AA15" s="1510">
        <f t="shared" si="3"/>
        <v>0.98039215686274506</v>
      </c>
      <c r="AB15" s="1510">
        <f t="shared" si="4"/>
        <v>0.98039215686274506</v>
      </c>
      <c r="AC15" s="1510">
        <f t="shared" si="5"/>
        <v>1</v>
      </c>
    </row>
    <row r="16" spans="1:29" ht="15">
      <c r="A16" s="526"/>
      <c r="B16" s="858"/>
      <c r="C16" s="570" t="s">
        <v>3022</v>
      </c>
      <c r="D16" s="549"/>
      <c r="E16" s="570" t="s">
        <v>3023</v>
      </c>
      <c r="F16" s="551"/>
      <c r="G16" s="570" t="s">
        <v>3023</v>
      </c>
      <c r="H16" s="553"/>
      <c r="I16" s="550" t="s">
        <v>3022</v>
      </c>
      <c r="J16" s="549"/>
      <c r="K16" s="859"/>
      <c r="L16" s="2024"/>
      <c r="M16" s="2016"/>
      <c r="N16" s="2016"/>
      <c r="O16" s="2023"/>
      <c r="P16" s="3516"/>
      <c r="Q16" s="1506"/>
      <c r="R16" s="1507"/>
      <c r="S16" s="1508"/>
      <c r="T16" s="1507"/>
      <c r="U16" s="1508"/>
      <c r="V16" s="1507"/>
      <c r="W16" s="1508"/>
      <c r="X16" s="1501"/>
      <c r="Y16" s="3516"/>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516"/>
      <c r="Q17" s="1506" t="str">
        <f>B17</f>
        <v>交通便捷度</v>
      </c>
      <c r="R17" s="1507" t="s">
        <v>11</v>
      </c>
      <c r="S17" s="1508">
        <f>F17</f>
        <v>101</v>
      </c>
      <c r="T17" s="1507" t="s">
        <v>11</v>
      </c>
      <c r="U17" s="1508">
        <f>H17</f>
        <v>101</v>
      </c>
      <c r="V17" s="1507" t="s">
        <v>11</v>
      </c>
      <c r="W17" s="1508">
        <f>J17</f>
        <v>100</v>
      </c>
      <c r="X17" s="1501"/>
      <c r="Y17" s="3516"/>
      <c r="Z17" s="1509" t="str">
        <f>Q17</f>
        <v>交通便捷度</v>
      </c>
      <c r="AA17" s="1510">
        <f t="shared" si="3"/>
        <v>0.99009900990099009</v>
      </c>
      <c r="AB17" s="1510">
        <f t="shared" si="4"/>
        <v>0.99009900990099009</v>
      </c>
      <c r="AC17" s="1510">
        <f t="shared" si="5"/>
        <v>1</v>
      </c>
    </row>
    <row r="18" spans="1:29" ht="15">
      <c r="A18" s="526"/>
      <c r="B18" s="589"/>
      <c r="C18" s="862" t="s">
        <v>3022</v>
      </c>
      <c r="D18" s="553"/>
      <c r="E18" s="562" t="s">
        <v>3023</v>
      </c>
      <c r="F18" s="557"/>
      <c r="G18" s="562" t="s">
        <v>3023</v>
      </c>
      <c r="H18" s="549"/>
      <c r="I18" s="862" t="s">
        <v>3022</v>
      </c>
      <c r="J18" s="549"/>
      <c r="K18" s="859"/>
      <c r="L18" s="2024"/>
      <c r="M18" s="2016"/>
      <c r="N18" s="2016"/>
      <c r="O18" s="2023"/>
      <c r="P18" s="3516"/>
      <c r="Q18" s="1506"/>
      <c r="R18" s="1507"/>
      <c r="S18" s="1508"/>
      <c r="T18" s="1507"/>
      <c r="U18" s="1508"/>
      <c r="V18" s="1507"/>
      <c r="W18" s="1508"/>
      <c r="X18" s="1501"/>
      <c r="Y18" s="3516"/>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516"/>
      <c r="Q19" s="1506" t="str">
        <f>B19</f>
        <v>公共配套设施</v>
      </c>
      <c r="R19" s="1507" t="s">
        <v>11</v>
      </c>
      <c r="S19" s="1508">
        <f>F19</f>
        <v>102</v>
      </c>
      <c r="T19" s="1507" t="s">
        <v>11</v>
      </c>
      <c r="U19" s="1508">
        <f>H19</f>
        <v>102</v>
      </c>
      <c r="V19" s="1507" t="s">
        <v>11</v>
      </c>
      <c r="W19" s="1508">
        <f>J19</f>
        <v>100</v>
      </c>
      <c r="X19" s="1501"/>
      <c r="Y19" s="3516"/>
      <c r="Z19" s="1509" t="str">
        <f>Q19</f>
        <v>公共配套设施</v>
      </c>
      <c r="AA19" s="1510">
        <f t="shared" si="3"/>
        <v>0.98039215686274506</v>
      </c>
      <c r="AB19" s="1510">
        <f t="shared" si="4"/>
        <v>0.98039215686274506</v>
      </c>
      <c r="AC19" s="1510">
        <f t="shared" si="5"/>
        <v>1</v>
      </c>
    </row>
    <row r="20" spans="1:29" ht="15">
      <c r="A20" s="526"/>
      <c r="B20" s="589"/>
      <c r="C20" s="570" t="s">
        <v>3024</v>
      </c>
      <c r="D20" s="549"/>
      <c r="E20" s="550" t="s">
        <v>3022</v>
      </c>
      <c r="F20" s="551"/>
      <c r="G20" s="550" t="s">
        <v>3022</v>
      </c>
      <c r="H20" s="549"/>
      <c r="I20" s="570" t="s">
        <v>3024</v>
      </c>
      <c r="J20" s="549"/>
      <c r="K20" s="859"/>
      <c r="L20" s="2024"/>
      <c r="M20" s="2016"/>
      <c r="N20" s="2016"/>
      <c r="O20" s="2023"/>
      <c r="P20" s="3516"/>
      <c r="Q20" s="1506"/>
      <c r="R20" s="1507"/>
      <c r="S20" s="1508"/>
      <c r="T20" s="1507"/>
      <c r="U20" s="1508"/>
      <c r="V20" s="1507"/>
      <c r="W20" s="1508"/>
      <c r="X20" s="1501"/>
      <c r="Y20" s="3516"/>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16"/>
      <c r="Q21" s="2429" t="str">
        <f>B21</f>
        <v>基础设施水平</v>
      </c>
      <c r="R21" s="1507" t="s">
        <v>11</v>
      </c>
      <c r="S21" s="1508">
        <f>F21</f>
        <v>100</v>
      </c>
      <c r="T21" s="1507" t="s">
        <v>11</v>
      </c>
      <c r="U21" s="1508">
        <f>H21</f>
        <v>100</v>
      </c>
      <c r="V21" s="1507" t="s">
        <v>11</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910"/>
      <c r="C22" s="862" t="s">
        <v>3025</v>
      </c>
      <c r="D22" s="549"/>
      <c r="E22" s="862" t="s">
        <v>3025</v>
      </c>
      <c r="F22" s="551"/>
      <c r="G22" s="862" t="s">
        <v>3025</v>
      </c>
      <c r="H22" s="549"/>
      <c r="I22" s="862" t="s">
        <v>3025</v>
      </c>
      <c r="J22" s="549"/>
      <c r="K22" s="2443"/>
      <c r="L22" s="2024"/>
      <c r="M22" s="2016"/>
      <c r="N22" s="2016"/>
      <c r="O22" s="2023"/>
      <c r="P22" s="3516"/>
      <c r="Q22" s="2429"/>
      <c r="R22" s="1507"/>
      <c r="S22" s="1508"/>
      <c r="T22" s="1507"/>
      <c r="U22" s="1508"/>
      <c r="V22" s="1507"/>
      <c r="W22" s="1508"/>
      <c r="X22" s="2431"/>
      <c r="Y22" s="3516"/>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516"/>
      <c r="Q23" s="1506" t="str">
        <f>B23</f>
        <v>自然及人文环境</v>
      </c>
      <c r="R23" s="1507" t="s">
        <v>11</v>
      </c>
      <c r="S23" s="1508">
        <f>F23</f>
        <v>102</v>
      </c>
      <c r="T23" s="1507" t="s">
        <v>11</v>
      </c>
      <c r="U23" s="1508">
        <f>H23</f>
        <v>102</v>
      </c>
      <c r="V23" s="1507" t="s">
        <v>11</v>
      </c>
      <c r="W23" s="1508">
        <f>J23</f>
        <v>100</v>
      </c>
      <c r="X23" s="1501"/>
      <c r="Y23" s="3516"/>
      <c r="Z23" s="1509" t="str">
        <f>Q23</f>
        <v>自然及人文环境</v>
      </c>
      <c r="AA23" s="1510">
        <f t="shared" si="3"/>
        <v>0.98039215686274506</v>
      </c>
      <c r="AB23" s="1510">
        <f t="shared" si="4"/>
        <v>0.98039215686274506</v>
      </c>
      <c r="AC23" s="1510">
        <f t="shared" si="5"/>
        <v>1</v>
      </c>
    </row>
    <row r="24" spans="1:29" ht="15">
      <c r="A24" s="526"/>
      <c r="B24" s="589"/>
      <c r="C24" s="570" t="s">
        <v>3024</v>
      </c>
      <c r="D24" s="549"/>
      <c r="E24" s="550" t="s">
        <v>3022</v>
      </c>
      <c r="F24" s="551"/>
      <c r="G24" s="550" t="s">
        <v>3022</v>
      </c>
      <c r="H24" s="549"/>
      <c r="I24" s="570" t="s">
        <v>3024</v>
      </c>
      <c r="J24" s="549"/>
      <c r="K24" s="859"/>
      <c r="L24" s="2024"/>
      <c r="M24" s="2016"/>
      <c r="N24" s="2016"/>
      <c r="O24" s="2023"/>
      <c r="P24" s="3516"/>
      <c r="Q24" s="1506"/>
      <c r="R24" s="1507"/>
      <c r="S24" s="1508"/>
      <c r="T24" s="1507"/>
      <c r="U24" s="1508"/>
      <c r="V24" s="1507"/>
      <c r="W24" s="1508"/>
      <c r="X24" s="1501"/>
      <c r="Y24" s="3516"/>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16"/>
      <c r="Q25" s="1506" t="str">
        <f t="shared" ref="Q25:Q46" si="11">B25</f>
        <v>楼层-1</v>
      </c>
      <c r="R25" s="1507" t="s">
        <v>11</v>
      </c>
      <c r="S25" s="1508">
        <f>F25</f>
        <v>100</v>
      </c>
      <c r="T25" s="1507" t="s">
        <v>11</v>
      </c>
      <c r="U25" s="1508">
        <f>H25</f>
        <v>100</v>
      </c>
      <c r="V25" s="1507" t="s">
        <v>11</v>
      </c>
      <c r="W25" s="1508">
        <f>J25</f>
        <v>100</v>
      </c>
      <c r="X25" s="1501"/>
      <c r="Y25" s="3516"/>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16"/>
      <c r="Q26" s="1506" t="str">
        <f t="shared" si="11"/>
        <v>朝向</v>
      </c>
      <c r="R26" s="1507" t="s">
        <v>11</v>
      </c>
      <c r="S26" s="1508">
        <f>F26</f>
        <v>100</v>
      </c>
      <c r="T26" s="1507" t="s">
        <v>11</v>
      </c>
      <c r="U26" s="1508">
        <f>H26</f>
        <v>100</v>
      </c>
      <c r="V26" s="1507" t="s">
        <v>11</v>
      </c>
      <c r="W26" s="1508">
        <f>J26</f>
        <v>100</v>
      </c>
      <c r="X26" s="1501"/>
      <c r="Y26" s="3516"/>
      <c r="Z26" s="1509" t="str">
        <f>Q26</f>
        <v>朝向</v>
      </c>
      <c r="AA26" s="1510">
        <f t="shared" si="3"/>
        <v>1</v>
      </c>
      <c r="AB26" s="1510">
        <f t="shared" si="4"/>
        <v>1</v>
      </c>
      <c r="AC26" s="1510">
        <f t="shared" si="5"/>
        <v>1</v>
      </c>
    </row>
    <row r="27" spans="1:29" s="1202" customFormat="1" ht="15.75" thickTop="1">
      <c r="A27" s="530"/>
      <c r="B27" s="531" t="s">
        <v>718</v>
      </c>
      <c r="C27" s="3287" t="s">
        <v>3029</v>
      </c>
      <c r="D27" s="864">
        <v>100</v>
      </c>
      <c r="E27" s="3287" t="s">
        <v>3029</v>
      </c>
      <c r="F27" s="865">
        <f>SUMIF(90:90,E27,91:91)-SUMIF(90:90,C27,91:91)+100</f>
        <v>100</v>
      </c>
      <c r="G27" s="3296" t="s">
        <v>3064</v>
      </c>
      <c r="H27" s="864">
        <f>SUMIF(90:90,G27,91:91)-SUMIF(90:90,C27,91:91)+100</f>
        <v>101</v>
      </c>
      <c r="I27" s="3295" t="s">
        <v>3063</v>
      </c>
      <c r="J27" s="864">
        <f>SUMIF(90:90,I27,91:91)-SUMIF(90:90,C27,91:91)+100</f>
        <v>99</v>
      </c>
      <c r="K27" s="854"/>
      <c r="L27" s="2017"/>
      <c r="M27" s="2018"/>
      <c r="N27" s="2018"/>
      <c r="O27" s="2019"/>
      <c r="P27" s="3516"/>
      <c r="Q27" s="1133" t="str">
        <f t="shared" si="11"/>
        <v>道路级别</v>
      </c>
      <c r="R27" s="1502" t="s">
        <v>11</v>
      </c>
      <c r="S27" s="1503">
        <f>F27</f>
        <v>100</v>
      </c>
      <c r="T27" s="1502" t="s">
        <v>11</v>
      </c>
      <c r="U27" s="1503">
        <f>H27</f>
        <v>101</v>
      </c>
      <c r="V27" s="1502" t="s">
        <v>11</v>
      </c>
      <c r="W27" s="1503">
        <f>J27</f>
        <v>99</v>
      </c>
      <c r="X27" s="1504"/>
      <c r="Y27" s="3516"/>
      <c r="Z27" s="1132" t="str">
        <f>Q27</f>
        <v>道路级别</v>
      </c>
      <c r="AA27" s="1510">
        <f>D27/F27</f>
        <v>1</v>
      </c>
      <c r="AB27" s="1510">
        <f>D27/H27</f>
        <v>0.99009900990099009</v>
      </c>
      <c r="AC27" s="1510">
        <f>D27/J27</f>
        <v>1.0101010101010102</v>
      </c>
    </row>
    <row r="28" spans="1:29" ht="15">
      <c r="A28" s="526"/>
      <c r="B28" s="866">
        <v>111</v>
      </c>
      <c r="C28" s="3297" t="s">
        <v>3065</v>
      </c>
      <c r="D28" s="534">
        <v>100</v>
      </c>
      <c r="E28" s="3297" t="s">
        <v>3065</v>
      </c>
      <c r="F28" s="569">
        <f>SUMIF(92:92,E28,93:93)-SUMIF(92:92,C28,93:93)+100</f>
        <v>100</v>
      </c>
      <c r="G28" s="3297" t="s">
        <v>3067</v>
      </c>
      <c r="H28" s="534">
        <f>SUMIF(92:92,G28,93:93)-SUMIF(92:92,C28,93:93)+100</f>
        <v>100</v>
      </c>
      <c r="I28" s="3297" t="s">
        <v>3066</v>
      </c>
      <c r="J28" s="534">
        <f>SUMIF(92:92,I28,93:93)-SUMIF(92:92,C28,93:93)+100</f>
        <v>100</v>
      </c>
      <c r="K28" s="854"/>
      <c r="L28" s="2024"/>
      <c r="M28" s="2016"/>
      <c r="N28" s="2016"/>
      <c r="O28" s="2023"/>
      <c r="P28" s="351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1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16"/>
      <c r="Q29" s="1506">
        <f t="shared" si="11"/>
        <v>111</v>
      </c>
      <c r="R29" s="1507" t="s">
        <v>11</v>
      </c>
      <c r="S29" s="1508">
        <f t="shared" si="12"/>
        <v>100</v>
      </c>
      <c r="T29" s="1507" t="s">
        <v>11</v>
      </c>
      <c r="U29" s="1508">
        <f t="shared" si="13"/>
        <v>100</v>
      </c>
      <c r="V29" s="1507" t="s">
        <v>11</v>
      </c>
      <c r="W29" s="1508">
        <f t="shared" si="14"/>
        <v>100</v>
      </c>
      <c r="X29" s="1501"/>
      <c r="Y29" s="351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16"/>
      <c r="Q30" s="1506">
        <f t="shared" si="11"/>
        <v>111</v>
      </c>
      <c r="R30" s="1507" t="s">
        <v>11</v>
      </c>
      <c r="S30" s="1508">
        <f t="shared" si="12"/>
        <v>100</v>
      </c>
      <c r="T30" s="1507" t="s">
        <v>11</v>
      </c>
      <c r="U30" s="1508">
        <f t="shared" si="13"/>
        <v>100</v>
      </c>
      <c r="V30" s="1507" t="s">
        <v>11</v>
      </c>
      <c r="W30" s="1508">
        <f t="shared" si="14"/>
        <v>100</v>
      </c>
      <c r="X30" s="1501"/>
      <c r="Y30" s="351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16"/>
      <c r="Q31" s="1506">
        <f t="shared" si="11"/>
        <v>111</v>
      </c>
      <c r="R31" s="1507" t="s">
        <v>11</v>
      </c>
      <c r="S31" s="1508">
        <f t="shared" si="12"/>
        <v>100</v>
      </c>
      <c r="T31" s="1507" t="s">
        <v>11</v>
      </c>
      <c r="U31" s="1508">
        <f t="shared" si="13"/>
        <v>100</v>
      </c>
      <c r="V31" s="1507" t="s">
        <v>11</v>
      </c>
      <c r="W31" s="1508">
        <f t="shared" si="14"/>
        <v>100</v>
      </c>
      <c r="X31" s="1501"/>
      <c r="Y31" s="3516"/>
      <c r="Z31" s="1509">
        <f t="shared" si="15"/>
        <v>111</v>
      </c>
      <c r="AA31" s="1510">
        <f t="shared" si="3"/>
        <v>1</v>
      </c>
      <c r="AB31" s="1510">
        <f t="shared" si="4"/>
        <v>1</v>
      </c>
      <c r="AC31" s="1510">
        <f t="shared" si="5"/>
        <v>1</v>
      </c>
    </row>
    <row r="32" spans="1:29" ht="15">
      <c r="A32" s="2624" t="s">
        <v>2736</v>
      </c>
      <c r="B32" s="170" t="s">
        <v>719</v>
      </c>
      <c r="C32" s="867" t="s">
        <v>3061</v>
      </c>
      <c r="D32" s="591">
        <v>100</v>
      </c>
      <c r="E32" s="867" t="s">
        <v>3061</v>
      </c>
      <c r="F32" s="569">
        <f>SUMIF(100:100,E32,101:101)-SUMIF(100:100,C32,101:101)+100</f>
        <v>100</v>
      </c>
      <c r="G32" s="867" t="s">
        <v>3061</v>
      </c>
      <c r="H32" s="591">
        <f>SUMIF(100:100,G32,101:101)-SUMIF(100:100,C32,101:101)+100</f>
        <v>100</v>
      </c>
      <c r="I32" s="867" t="s">
        <v>3061</v>
      </c>
      <c r="J32" s="534">
        <f>SUMIF(100:100,I32,101:101)-SUMIF(100:100,C32,101:101)+100</f>
        <v>100</v>
      </c>
      <c r="K32" s="853">
        <v>3</v>
      </c>
      <c r="L32" s="2024"/>
      <c r="M32" s="2016"/>
      <c r="N32" s="2016"/>
      <c r="O32" s="2023"/>
      <c r="P32" s="3517" t="s">
        <v>544</v>
      </c>
      <c r="Q32" s="1506" t="str">
        <f t="shared" si="11"/>
        <v>建筑类型</v>
      </c>
      <c r="R32" s="1507" t="s">
        <v>11</v>
      </c>
      <c r="S32" s="1508">
        <f t="shared" si="12"/>
        <v>100</v>
      </c>
      <c r="T32" s="1507" t="s">
        <v>11</v>
      </c>
      <c r="U32" s="1508">
        <f t="shared" si="13"/>
        <v>100</v>
      </c>
      <c r="V32" s="1507" t="s">
        <v>11</v>
      </c>
      <c r="W32" s="1508">
        <f t="shared" si="14"/>
        <v>100</v>
      </c>
      <c r="X32" s="1501"/>
      <c r="Y32" s="3518" t="s">
        <v>544</v>
      </c>
      <c r="Z32" s="1509" t="str">
        <f t="shared" si="15"/>
        <v>建筑类型</v>
      </c>
      <c r="AA32" s="1510">
        <f t="shared" si="3"/>
        <v>1</v>
      </c>
      <c r="AB32" s="1510">
        <f t="shared" si="4"/>
        <v>1</v>
      </c>
      <c r="AC32" s="1510">
        <f t="shared" si="5"/>
        <v>1</v>
      </c>
    </row>
    <row r="33" spans="1:29" s="1292" customFormat="1" ht="15">
      <c r="A33" s="597"/>
      <c r="B33" s="521" t="s">
        <v>720</v>
      </c>
      <c r="C33" s="868">
        <f>'数据-基础表'!G13</f>
        <v>294029.7</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518"/>
      <c r="Q33" s="1535" t="str">
        <f t="shared" si="11"/>
        <v>项目建筑规模</v>
      </c>
      <c r="R33" s="1511" t="s">
        <v>11</v>
      </c>
      <c r="S33" s="1512">
        <f t="shared" si="12"/>
        <v>100</v>
      </c>
      <c r="T33" s="1511" t="s">
        <v>11</v>
      </c>
      <c r="U33" s="1512">
        <f t="shared" si="13"/>
        <v>100</v>
      </c>
      <c r="V33" s="1511" t="s">
        <v>11</v>
      </c>
      <c r="W33" s="1512">
        <f t="shared" si="14"/>
        <v>98</v>
      </c>
      <c r="X33" s="1513"/>
      <c r="Y33" s="3518"/>
      <c r="Z33" s="1514" t="str">
        <f t="shared" si="15"/>
        <v>项目建筑规模</v>
      </c>
      <c r="AA33" s="1510">
        <f t="shared" si="3"/>
        <v>1</v>
      </c>
      <c r="AB33" s="1510">
        <f t="shared" si="4"/>
        <v>1</v>
      </c>
      <c r="AC33" s="1510">
        <f t="shared" si="5"/>
        <v>1.0204081632653061</v>
      </c>
    </row>
    <row r="34" spans="1:29" ht="15">
      <c r="A34" s="588"/>
      <c r="B34" s="521" t="s">
        <v>721</v>
      </c>
      <c r="C34" s="869" t="s">
        <v>3062</v>
      </c>
      <c r="D34" s="534">
        <v>100</v>
      </c>
      <c r="E34" s="869" t="s">
        <v>3062</v>
      </c>
      <c r="F34" s="569">
        <f>SUMIF(105:105,E34,106:106)-SUMIF(105:105,C34,106:106)+100</f>
        <v>100</v>
      </c>
      <c r="G34" s="869" t="s">
        <v>3062</v>
      </c>
      <c r="H34" s="534">
        <f>SUMIF(105:105,G34,106:106)-SUMIF(105:105,C34,106:106)+100</f>
        <v>100</v>
      </c>
      <c r="I34" s="869" t="s">
        <v>3062</v>
      </c>
      <c r="J34" s="534">
        <f>SUMIF(105:105,I34,106:106)-SUMIF(105:105,C34,106:106)+100</f>
        <v>100</v>
      </c>
      <c r="K34" s="853">
        <v>2</v>
      </c>
      <c r="L34" s="2024"/>
      <c r="M34" s="2016"/>
      <c r="N34" s="2016"/>
      <c r="O34" s="2023"/>
      <c r="P34" s="3518"/>
      <c r="Q34" s="1506" t="str">
        <f t="shared" si="11"/>
        <v>建筑结构</v>
      </c>
      <c r="R34" s="1507" t="s">
        <v>11</v>
      </c>
      <c r="S34" s="1508">
        <f t="shared" si="12"/>
        <v>100</v>
      </c>
      <c r="T34" s="1507" t="s">
        <v>11</v>
      </c>
      <c r="U34" s="1508">
        <f t="shared" si="13"/>
        <v>100</v>
      </c>
      <c r="V34" s="1507" t="s">
        <v>11</v>
      </c>
      <c r="W34" s="1508">
        <f t="shared" si="14"/>
        <v>100</v>
      </c>
      <c r="X34" s="1501"/>
      <c r="Y34" s="351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18"/>
      <c r="Q35" s="1506" t="str">
        <f t="shared" si="11"/>
        <v>建筑品质</v>
      </c>
      <c r="R35" s="1507" t="s">
        <v>11</v>
      </c>
      <c r="S35" s="1508">
        <f t="shared" si="12"/>
        <v>100</v>
      </c>
      <c r="T35" s="1507" t="s">
        <v>11</v>
      </c>
      <c r="U35" s="1508">
        <f t="shared" si="13"/>
        <v>100</v>
      </c>
      <c r="V35" s="1507" t="s">
        <v>11</v>
      </c>
      <c r="W35" s="1508">
        <f t="shared" si="14"/>
        <v>100</v>
      </c>
      <c r="X35" s="1501"/>
      <c r="Y35" s="3518"/>
      <c r="Z35" s="1509" t="str">
        <f t="shared" si="15"/>
        <v>建筑品质</v>
      </c>
      <c r="AA35" s="1510">
        <f t="shared" si="3"/>
        <v>1</v>
      </c>
      <c r="AB35" s="1510">
        <f t="shared" si="4"/>
        <v>1</v>
      </c>
      <c r="AC35" s="1510">
        <f t="shared" si="5"/>
        <v>1</v>
      </c>
    </row>
    <row r="36" spans="1:29" ht="15">
      <c r="A36" s="588"/>
      <c r="B36" s="521" t="s">
        <v>723</v>
      </c>
      <c r="C36" s="593" t="s">
        <v>3068</v>
      </c>
      <c r="D36" s="534">
        <v>100</v>
      </c>
      <c r="E36" s="593" t="s">
        <v>3068</v>
      </c>
      <c r="F36" s="569">
        <f>SUMIF(109:109,E36,110:110)-SUMIF(109:109,C36,110:110)+100</f>
        <v>100</v>
      </c>
      <c r="G36" s="593" t="s">
        <v>3068</v>
      </c>
      <c r="H36" s="534">
        <f>SUMIF(109:109,G36,110:110)-SUMIF(109:109,C36,110:110)+100</f>
        <v>100</v>
      </c>
      <c r="I36" s="593" t="s">
        <v>3068</v>
      </c>
      <c r="J36" s="534">
        <f>SUMIF(109:109,I36,110:110)-SUMIF(109:109,C36,110:110)+100</f>
        <v>100</v>
      </c>
      <c r="K36" s="853">
        <v>2</v>
      </c>
      <c r="L36" s="2024"/>
      <c r="M36" s="2016"/>
      <c r="N36" s="2016"/>
      <c r="O36" s="2023"/>
      <c r="P36" s="3518"/>
      <c r="Q36" s="1506" t="str">
        <f t="shared" si="11"/>
        <v>公共部分装修</v>
      </c>
      <c r="R36" s="1507" t="s">
        <v>11</v>
      </c>
      <c r="S36" s="1508">
        <f t="shared" si="12"/>
        <v>100</v>
      </c>
      <c r="T36" s="1507" t="s">
        <v>11</v>
      </c>
      <c r="U36" s="1508">
        <f t="shared" si="13"/>
        <v>100</v>
      </c>
      <c r="V36" s="1507" t="s">
        <v>11</v>
      </c>
      <c r="W36" s="1508">
        <f t="shared" si="14"/>
        <v>100</v>
      </c>
      <c r="X36" s="1501"/>
      <c r="Y36" s="351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518"/>
      <c r="Q37" s="1133" t="str">
        <f t="shared" si="11"/>
        <v>成新度</v>
      </c>
      <c r="R37" s="1502" t="s">
        <v>11</v>
      </c>
      <c r="S37" s="1503">
        <f t="shared" si="12"/>
        <v>100</v>
      </c>
      <c r="T37" s="1502" t="s">
        <v>11</v>
      </c>
      <c r="U37" s="1503">
        <f t="shared" si="13"/>
        <v>100</v>
      </c>
      <c r="V37" s="1502" t="s">
        <v>11</v>
      </c>
      <c r="W37" s="1503">
        <f t="shared" si="14"/>
        <v>100</v>
      </c>
      <c r="X37" s="1504"/>
      <c r="Y37" s="3518"/>
      <c r="Z37" s="1132" t="str">
        <f t="shared" si="15"/>
        <v>成新度</v>
      </c>
      <c r="AA37" s="1505">
        <f t="shared" si="3"/>
        <v>1</v>
      </c>
      <c r="AB37" s="1505">
        <f t="shared" si="4"/>
        <v>1</v>
      </c>
      <c r="AC37" s="1505">
        <f t="shared" si="5"/>
        <v>1</v>
      </c>
    </row>
    <row r="38" spans="1:29" ht="15">
      <c r="A38" s="588"/>
      <c r="B38" s="521" t="s">
        <v>725</v>
      </c>
      <c r="C38" s="593" t="s">
        <v>3070</v>
      </c>
      <c r="D38" s="534">
        <v>100</v>
      </c>
      <c r="E38" s="593" t="s">
        <v>3070</v>
      </c>
      <c r="F38" s="569">
        <f>SUMIF(114:114,E38,115:115)-SUMIF(114:114,C38,115:115)+100</f>
        <v>100</v>
      </c>
      <c r="G38" s="593" t="s">
        <v>3070</v>
      </c>
      <c r="H38" s="534">
        <f>SUMIF(114:114,G38,115:115)-SUMIF(114:114,C38,115:115)+100</f>
        <v>100</v>
      </c>
      <c r="I38" s="593" t="s">
        <v>3070</v>
      </c>
      <c r="J38" s="534">
        <f>SUMIF(114:114,I38,115:115)-SUMIF(114:114,C38,115:115)+100</f>
        <v>100</v>
      </c>
      <c r="K38" s="853">
        <v>2</v>
      </c>
      <c r="L38" s="2024"/>
      <c r="M38" s="2016"/>
      <c r="N38" s="2016"/>
      <c r="O38" s="2023"/>
      <c r="P38" s="3518" t="s">
        <v>544</v>
      </c>
      <c r="Q38" s="1506" t="str">
        <f t="shared" si="11"/>
        <v>物业管理</v>
      </c>
      <c r="R38" s="1507" t="s">
        <v>11</v>
      </c>
      <c r="S38" s="1508">
        <f t="shared" si="12"/>
        <v>100</v>
      </c>
      <c r="T38" s="1507" t="s">
        <v>11</v>
      </c>
      <c r="U38" s="1508">
        <f t="shared" si="13"/>
        <v>100</v>
      </c>
      <c r="V38" s="1507" t="s">
        <v>11</v>
      </c>
      <c r="W38" s="1508">
        <f t="shared" si="14"/>
        <v>100</v>
      </c>
      <c r="X38" s="1501"/>
      <c r="Y38" s="3518" t="s">
        <v>544</v>
      </c>
      <c r="Z38" s="1509" t="str">
        <f t="shared" si="15"/>
        <v>物业管理</v>
      </c>
      <c r="AA38" s="1510">
        <f t="shared" si="3"/>
        <v>1</v>
      </c>
      <c r="AB38" s="1510">
        <f t="shared" si="4"/>
        <v>1</v>
      </c>
      <c r="AC38" s="1510">
        <f t="shared" si="5"/>
        <v>1</v>
      </c>
    </row>
    <row r="39" spans="1:29" ht="15">
      <c r="A39" s="588"/>
      <c r="B39" s="1809" t="s">
        <v>2546</v>
      </c>
      <c r="C39" s="593" t="s">
        <v>3025</v>
      </c>
      <c r="D39" s="534">
        <v>100</v>
      </c>
      <c r="E39" s="593" t="s">
        <v>3025</v>
      </c>
      <c r="F39" s="569">
        <f>SUMIF(116:116,E39,117:117)-SUMIF(116:116,C39,117:117)+100</f>
        <v>100</v>
      </c>
      <c r="G39" s="593" t="s">
        <v>3025</v>
      </c>
      <c r="H39" s="534">
        <f>SUMIF(116:116,G39,117:117)-SUMIF(116:116,C39,117:117)+100</f>
        <v>100</v>
      </c>
      <c r="I39" s="593" t="s">
        <v>3025</v>
      </c>
      <c r="J39" s="534">
        <f>SUMIF(116:116,I39,117:117)-SUMIF(116:116,C39,117:117)+100</f>
        <v>100</v>
      </c>
      <c r="K39" s="853">
        <v>1</v>
      </c>
      <c r="L39" s="2024"/>
      <c r="M39" s="2016"/>
      <c r="N39" s="2016"/>
      <c r="O39" s="2023"/>
      <c r="P39" s="3518"/>
      <c r="Q39" s="1506" t="str">
        <f t="shared" si="11"/>
        <v>市政基础设施</v>
      </c>
      <c r="R39" s="1507" t="s">
        <v>11</v>
      </c>
      <c r="S39" s="1508">
        <f t="shared" si="12"/>
        <v>100</v>
      </c>
      <c r="T39" s="1507" t="s">
        <v>11</v>
      </c>
      <c r="U39" s="1508">
        <f t="shared" si="13"/>
        <v>100</v>
      </c>
      <c r="V39" s="1507" t="s">
        <v>11</v>
      </c>
      <c r="W39" s="1508">
        <f t="shared" si="14"/>
        <v>100</v>
      </c>
      <c r="X39" s="1501"/>
      <c r="Y39" s="351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18"/>
      <c r="Q40" s="1506" t="str">
        <f t="shared" si="11"/>
        <v>房型</v>
      </c>
      <c r="R40" s="1507" t="s">
        <v>11</v>
      </c>
      <c r="S40" s="1508">
        <f t="shared" si="12"/>
        <v>100</v>
      </c>
      <c r="T40" s="1507" t="s">
        <v>11</v>
      </c>
      <c r="U40" s="1508">
        <f t="shared" si="13"/>
        <v>100</v>
      </c>
      <c r="V40" s="1507" t="s">
        <v>11</v>
      </c>
      <c r="W40" s="1508">
        <f t="shared" si="14"/>
        <v>100</v>
      </c>
      <c r="X40" s="1501"/>
      <c r="Y40" s="3518"/>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18"/>
      <c r="Q41" s="1535" t="str">
        <f t="shared" si="11"/>
        <v>单套/主力户型建筑面积</v>
      </c>
      <c r="R41" s="1511" t="s">
        <v>11</v>
      </c>
      <c r="S41" s="1512">
        <f t="shared" si="12"/>
        <v>100</v>
      </c>
      <c r="T41" s="1511" t="s">
        <v>11</v>
      </c>
      <c r="U41" s="1512">
        <f t="shared" si="13"/>
        <v>100</v>
      </c>
      <c r="V41" s="1511" t="s">
        <v>11</v>
      </c>
      <c r="W41" s="1512">
        <f t="shared" si="14"/>
        <v>100</v>
      </c>
      <c r="X41" s="1513"/>
      <c r="Y41" s="3518"/>
      <c r="Z41" s="1514" t="str">
        <f t="shared" si="15"/>
        <v>单套/主力户型建筑面积</v>
      </c>
      <c r="AA41" s="1510">
        <f t="shared" si="3"/>
        <v>1</v>
      </c>
      <c r="AB41" s="1510">
        <f t="shared" si="4"/>
        <v>1</v>
      </c>
      <c r="AC41" s="1510">
        <f t="shared" si="5"/>
        <v>1</v>
      </c>
    </row>
    <row r="42" spans="1:29" ht="15">
      <c r="A42" s="588"/>
      <c r="B42" s="521" t="s">
        <v>728</v>
      </c>
      <c r="C42" s="593" t="s">
        <v>3069</v>
      </c>
      <c r="D42" s="534">
        <v>100</v>
      </c>
      <c r="E42" s="593" t="s">
        <v>3069</v>
      </c>
      <c r="F42" s="569">
        <f>SUMIF(122:122,E42,123:123)-SUMIF(122:122,C42,123:123)+100</f>
        <v>100</v>
      </c>
      <c r="G42" s="593" t="s">
        <v>3069</v>
      </c>
      <c r="H42" s="534">
        <f>SUMIF(122:122,G42,123:123)-SUMIF(122:122,C42,123:123)+100</f>
        <v>100</v>
      </c>
      <c r="I42" s="863" t="s">
        <v>3068</v>
      </c>
      <c r="J42" s="534">
        <f>SUMIF(122:122,I42,123:123)-SUMIF(122:122,C42,123:123)+100</f>
        <v>106</v>
      </c>
      <c r="K42" s="853">
        <v>2</v>
      </c>
      <c r="L42" s="2024"/>
      <c r="M42" s="2016"/>
      <c r="N42" s="2016"/>
      <c r="O42" s="2023"/>
      <c r="P42" s="3518"/>
      <c r="Q42" s="1506" t="str">
        <f t="shared" si="11"/>
        <v>内部装修</v>
      </c>
      <c r="R42" s="1507" t="s">
        <v>11</v>
      </c>
      <c r="S42" s="1508">
        <f t="shared" si="12"/>
        <v>100</v>
      </c>
      <c r="T42" s="1507" t="s">
        <v>11</v>
      </c>
      <c r="U42" s="1508">
        <f t="shared" si="13"/>
        <v>100</v>
      </c>
      <c r="V42" s="1507" t="s">
        <v>11</v>
      </c>
      <c r="W42" s="1508">
        <f t="shared" si="14"/>
        <v>106</v>
      </c>
      <c r="X42" s="1501"/>
      <c r="Y42" s="3518"/>
      <c r="Z42" s="1509" t="str">
        <f t="shared" si="15"/>
        <v>内部装修</v>
      </c>
      <c r="AA42" s="1510">
        <f t="shared" si="3"/>
        <v>1</v>
      </c>
      <c r="AB42" s="1510">
        <f t="shared" si="4"/>
        <v>1</v>
      </c>
      <c r="AC42" s="1510">
        <f t="shared" si="5"/>
        <v>0.94339622641509435</v>
      </c>
    </row>
    <row r="43" spans="1:29" ht="27">
      <c r="A43" s="588"/>
      <c r="B43" s="521" t="s">
        <v>729</v>
      </c>
      <c r="C43" s="593" t="s">
        <v>3023</v>
      </c>
      <c r="D43" s="534">
        <v>100</v>
      </c>
      <c r="E43" s="593" t="s">
        <v>3023</v>
      </c>
      <c r="F43" s="569">
        <f>SUMIF(124:124,E43,125:125)-SUMIF(124:124,C43,125:125)+100</f>
        <v>100</v>
      </c>
      <c r="G43" s="593" t="s">
        <v>3023</v>
      </c>
      <c r="H43" s="534">
        <f>SUMIF(124:124,G43,125:125)-SUMIF(124:124,C43,125:125)+100</f>
        <v>100</v>
      </c>
      <c r="I43" s="593" t="s">
        <v>3023</v>
      </c>
      <c r="J43" s="534">
        <f>SUMIF(124:124,I43,125:125)-SUMIF(124:124,C43,125:125)+100</f>
        <v>100</v>
      </c>
      <c r="K43" s="853">
        <v>2</v>
      </c>
      <c r="L43" s="2024"/>
      <c r="M43" s="2016"/>
      <c r="N43" s="2016"/>
      <c r="O43" s="2023"/>
      <c r="P43" s="3518"/>
      <c r="Q43" s="1506" t="str">
        <f t="shared" si="11"/>
        <v>内部装修维护情况</v>
      </c>
      <c r="R43" s="1507" t="s">
        <v>11</v>
      </c>
      <c r="S43" s="1508">
        <f t="shared" si="12"/>
        <v>100</v>
      </c>
      <c r="T43" s="1507" t="s">
        <v>11</v>
      </c>
      <c r="U43" s="1508">
        <f t="shared" si="13"/>
        <v>100</v>
      </c>
      <c r="V43" s="1507" t="s">
        <v>11</v>
      </c>
      <c r="W43" s="1508">
        <f t="shared" si="14"/>
        <v>100</v>
      </c>
      <c r="X43" s="1501"/>
      <c r="Y43" s="351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518"/>
      <c r="Q44" s="1133">
        <f t="shared" si="11"/>
        <v>111</v>
      </c>
      <c r="R44" s="1502" t="s">
        <v>11</v>
      </c>
      <c r="S44" s="1503">
        <f t="shared" si="12"/>
        <v>100</v>
      </c>
      <c r="T44" s="1502" t="s">
        <v>11</v>
      </c>
      <c r="U44" s="1503">
        <f t="shared" si="13"/>
        <v>100</v>
      </c>
      <c r="V44" s="1502" t="s">
        <v>11</v>
      </c>
      <c r="W44" s="1503">
        <f t="shared" si="14"/>
        <v>100</v>
      </c>
      <c r="X44" s="1504"/>
      <c r="Y44" s="351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18"/>
      <c r="Q45" s="1506">
        <f t="shared" si="11"/>
        <v>111</v>
      </c>
      <c r="R45" s="1507" t="s">
        <v>11</v>
      </c>
      <c r="S45" s="1508">
        <f t="shared" si="12"/>
        <v>100</v>
      </c>
      <c r="T45" s="1507" t="s">
        <v>11</v>
      </c>
      <c r="U45" s="1508">
        <f t="shared" si="13"/>
        <v>100</v>
      </c>
      <c r="V45" s="1507" t="s">
        <v>11</v>
      </c>
      <c r="W45" s="1508">
        <f t="shared" si="14"/>
        <v>100</v>
      </c>
      <c r="X45" s="1501"/>
      <c r="Y45" s="3518"/>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0"/>
      <c r="Q46" s="1506">
        <f t="shared" si="11"/>
        <v>111</v>
      </c>
      <c r="R46" s="1507" t="s">
        <v>10</v>
      </c>
      <c r="S46" s="1508">
        <f t="shared" si="12"/>
        <v>100</v>
      </c>
      <c r="T46" s="1507" t="s">
        <v>10</v>
      </c>
      <c r="U46" s="1508">
        <f t="shared" si="13"/>
        <v>100</v>
      </c>
      <c r="V46" s="1507" t="s">
        <v>10</v>
      </c>
      <c r="W46" s="1508">
        <f t="shared" si="14"/>
        <v>100</v>
      </c>
      <c r="X46" s="1501"/>
      <c r="Y46" s="3600"/>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81" t="str">
        <f>A47</f>
        <v>成交单价（元/平方米）</v>
      </c>
      <c r="Q47" s="3481"/>
      <c r="R47" s="3599">
        <f>E47</f>
        <v>9920</v>
      </c>
      <c r="S47" s="3599"/>
      <c r="T47" s="3599">
        <f>G47</f>
        <v>10169</v>
      </c>
      <c r="U47" s="3599"/>
      <c r="V47" s="3599">
        <f>I47</f>
        <v>11400</v>
      </c>
      <c r="W47" s="3599"/>
      <c r="X47" s="1496"/>
      <c r="Y47" s="1515"/>
      <c r="Z47" s="1496"/>
      <c r="AA47" s="1496"/>
      <c r="AB47" s="1496"/>
      <c r="AC47" s="1496"/>
    </row>
    <row r="48" spans="1:29" ht="15.75" thickBot="1">
      <c r="A48" s="609" t="s">
        <v>2741</v>
      </c>
      <c r="B48" s="876"/>
      <c r="C48" s="2476">
        <f>R49</f>
        <v>9696</v>
      </c>
      <c r="D48" s="3014" t="s">
        <v>2967</v>
      </c>
      <c r="E48" s="2477">
        <f>R48</f>
        <v>9092</v>
      </c>
      <c r="F48" s="3015"/>
      <c r="G48" s="2476">
        <f>T48</f>
        <v>9182</v>
      </c>
      <c r="H48" s="3015"/>
      <c r="I48" s="2477">
        <f>V48</f>
        <v>10814</v>
      </c>
      <c r="J48" s="3015"/>
      <c r="K48" s="3023">
        <f>F48+H48+J48</f>
        <v>0</v>
      </c>
      <c r="L48" s="2026"/>
      <c r="M48" s="2027"/>
      <c r="N48" s="2027"/>
      <c r="O48" s="2027"/>
      <c r="P48" s="3481" t="str">
        <f>A48</f>
        <v>比较价格（元/平方米）</v>
      </c>
      <c r="Q48" s="3481"/>
      <c r="R48" s="3599">
        <f>IF(F1="售价",ROUND(PRODUCT(R47,AA7:AA46),0),ROUND(PRODUCT(R47,AA7:AA46),1))</f>
        <v>9092</v>
      </c>
      <c r="S48" s="3599"/>
      <c r="T48" s="3599">
        <f>IF(F1="售价",ROUND(PRODUCT(T47,AB7:AB46),0),ROUND(PRODUCT(T47,AB7:AB46),1))</f>
        <v>9182</v>
      </c>
      <c r="U48" s="3599"/>
      <c r="V48" s="3599">
        <f>IF(F1="售价",ROUND(PRODUCT(V47,AC7:AC46),0),ROUND(PRODUCT(V47,AC7:AC46),1))</f>
        <v>10814</v>
      </c>
      <c r="W48" s="3599"/>
      <c r="X48" s="1496"/>
      <c r="Y48" s="1496"/>
      <c r="Z48" s="1496"/>
      <c r="AA48" s="1496"/>
      <c r="AB48" s="1496"/>
      <c r="AC48" s="1496"/>
    </row>
    <row r="49" spans="1:29" ht="15.75" thickBot="1">
      <c r="A49" s="613" t="s">
        <v>2899</v>
      </c>
      <c r="B49" s="614"/>
      <c r="C49" s="2478">
        <f>R49</f>
        <v>9696</v>
      </c>
      <c r="D49" s="2478"/>
      <c r="E49" s="2478"/>
      <c r="F49" s="2478"/>
      <c r="G49" s="2478"/>
      <c r="H49" s="2478"/>
      <c r="I49" s="2478"/>
      <c r="J49" s="2478"/>
      <c r="K49" s="1537"/>
      <c r="L49" s="2026"/>
      <c r="M49" s="2027"/>
      <c r="N49" s="2027"/>
      <c r="O49" s="2027"/>
      <c r="P49" s="3478" t="str">
        <f>A49</f>
        <v>估价对象XX用房的比较价格（楼面单价，元/平方米）</v>
      </c>
      <c r="Q49" s="3479"/>
      <c r="R49" s="3598">
        <f>IF(F1="售价",ROUND(IF(D48="简单平均",AVERAGE(R48:V48),R48*F48+T48*H48+V48*J48),0),ROUND(IF(D48="简单平均",AVERAGE(R48:V48),R48*F48+T48*H48+V48*J48),1))</f>
        <v>9696</v>
      </c>
      <c r="S49" s="3598"/>
      <c r="T49" s="3598"/>
      <c r="U49" s="3598"/>
      <c r="V49" s="3598"/>
      <c r="W49" s="359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9.1069071711394667E-2</v>
      </c>
      <c r="F52" s="619" t="str">
        <f>IF(OR(E52&gt;=0.3,E52&lt;=-0.3),"超过30%","")</f>
        <v/>
      </c>
      <c r="G52" s="618">
        <f>IF(G47&lt;G48,G48/G47-1,G47/G48-1)</f>
        <v>0.10749292093225882</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9.8988121425429565E-3</v>
      </c>
      <c r="F53" s="619" t="str">
        <f>IF(OR(E53&gt;=0.2,E53&lt;=-0.2),"超过20%","")</f>
        <v/>
      </c>
      <c r="G53" s="618">
        <f>IF(G48&lt;I48,I48/G48-1,G48/I48-1)</f>
        <v>0.17773905467218465</v>
      </c>
      <c r="H53" s="619" t="str">
        <f>IF(OR(G53&gt;=0.2,G53&lt;=-0.2),"超过20%","")</f>
        <v/>
      </c>
      <c r="I53" s="618">
        <f>IF(I48&lt;E48,E48/I48-1,I48/E48-1)</f>
        <v>0.18939727232732073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87" t="s">
        <v>3026</v>
      </c>
      <c r="D90" s="3287" t="s">
        <v>3027</v>
      </c>
      <c r="E90" s="3287" t="s">
        <v>3028</v>
      </c>
      <c r="F90" s="3287" t="s">
        <v>3029</v>
      </c>
      <c r="G90" s="3287" t="s">
        <v>3030</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88">
        <v>100</v>
      </c>
      <c r="D91" s="3288">
        <f>C91-1</f>
        <v>99</v>
      </c>
      <c r="E91" s="3288">
        <f t="shared" ref="E91:G91" si="22">D91-1</f>
        <v>98</v>
      </c>
      <c r="F91" s="3288">
        <f t="shared" si="22"/>
        <v>97</v>
      </c>
      <c r="G91" s="3288">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3031</v>
      </c>
      <c r="D100" s="3289" t="s">
        <v>3032</v>
      </c>
      <c r="E100" s="3289" t="s">
        <v>3033</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0">
        <v>0</v>
      </c>
      <c r="D103" s="3290">
        <v>150000</v>
      </c>
      <c r="E103" s="3290">
        <v>500000</v>
      </c>
      <c r="F103" s="3290">
        <v>1000000</v>
      </c>
      <c r="G103" s="3290">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88">
        <v>98</v>
      </c>
      <c r="D104" s="3291">
        <v>100</v>
      </c>
      <c r="E104" s="3291">
        <v>98</v>
      </c>
      <c r="F104" s="3291">
        <v>96</v>
      </c>
      <c r="G104" s="3291"/>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7" t="s">
        <v>3034</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87" t="s">
        <v>3035</v>
      </c>
      <c r="D109" s="3287" t="s">
        <v>3036</v>
      </c>
      <c r="E109" s="3287" t="s">
        <v>3037</v>
      </c>
      <c r="F109" s="3292" t="s">
        <v>3038</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7" t="s">
        <v>3039</v>
      </c>
      <c r="D114" s="3287" t="s">
        <v>3040</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7" t="s">
        <v>3041</v>
      </c>
      <c r="D116" s="3287" t="s">
        <v>3042</v>
      </c>
      <c r="E116" s="3287" t="s">
        <v>3043</v>
      </c>
      <c r="F116" s="3287" t="s">
        <v>3044</v>
      </c>
      <c r="G116" s="3287" t="s">
        <v>3045</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7" t="s">
        <v>3035</v>
      </c>
      <c r="D122" s="3287" t="s">
        <v>3036</v>
      </c>
      <c r="E122" s="3287" t="s">
        <v>3037</v>
      </c>
      <c r="F122" s="3292" t="s">
        <v>3038</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7" t="s">
        <v>516</v>
      </c>
      <c r="D4" s="3488"/>
      <c r="E4" s="3521" t="s">
        <v>517</v>
      </c>
      <c r="F4" s="3522"/>
      <c r="G4" s="3487" t="s">
        <v>518</v>
      </c>
      <c r="H4" s="3488"/>
      <c r="I4" s="3487" t="s">
        <v>519</v>
      </c>
      <c r="J4" s="3488"/>
      <c r="K4" s="508" t="s">
        <v>520</v>
      </c>
      <c r="L4" s="2015"/>
      <c r="M4" s="2016"/>
      <c r="N4" s="2016"/>
      <c r="O4" s="2016"/>
      <c r="P4" s="3489" t="s">
        <v>521</v>
      </c>
      <c r="Q4" s="3490"/>
      <c r="R4" s="3495" t="s">
        <v>517</v>
      </c>
      <c r="S4" s="3496"/>
      <c r="T4" s="3495" t="s">
        <v>518</v>
      </c>
      <c r="U4" s="3496"/>
      <c r="V4" s="3482" t="s">
        <v>519</v>
      </c>
      <c r="W4" s="3482"/>
      <c r="X4" s="1501"/>
      <c r="Y4" s="3495" t="s">
        <v>521</v>
      </c>
      <c r="Z4" s="3496"/>
      <c r="AA4" s="3484" t="s">
        <v>517</v>
      </c>
      <c r="AB4" s="3482" t="s">
        <v>518</v>
      </c>
      <c r="AC4" s="3484" t="s">
        <v>519</v>
      </c>
    </row>
    <row r="5" spans="1:29" ht="15">
      <c r="A5" s="509"/>
      <c r="B5" s="510"/>
      <c r="C5" s="3503" t="s">
        <v>2893</v>
      </c>
      <c r="D5" s="3504"/>
      <c r="E5" s="3523" t="s">
        <v>2894</v>
      </c>
      <c r="F5" s="352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2"/>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2"/>
      <c r="AC6" s="3486"/>
    </row>
    <row r="7" spans="1:29" s="1202" customFormat="1" ht="15.75" thickBot="1">
      <c r="A7" s="2629"/>
      <c r="B7" s="2636" t="s">
        <v>523</v>
      </c>
      <c r="C7" s="513">
        <f>'数据-取费表'!B2</f>
        <v>44277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2" t="s">
        <v>524</v>
      </c>
      <c r="Q7" s="3514"/>
      <c r="R7" s="1502" t="s">
        <v>8</v>
      </c>
      <c r="S7" s="1503">
        <f t="shared" ref="S7:S15" si="0">F7</f>
        <v>0</v>
      </c>
      <c r="T7" s="1502" t="s">
        <v>8</v>
      </c>
      <c r="U7" s="1503">
        <f t="shared" ref="U7:U15" si="1">H7</f>
        <v>0</v>
      </c>
      <c r="V7" s="1502" t="s">
        <v>8</v>
      </c>
      <c r="W7" s="1503">
        <f t="shared" ref="W7:W15"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1"/>
      <c r="Q11" s="1133" t="str">
        <f t="shared" si="6"/>
        <v>容积率</v>
      </c>
      <c r="R11" s="1502" t="s">
        <v>8</v>
      </c>
      <c r="S11" s="1503" t="e">
        <f t="shared" si="0"/>
        <v>#N/A</v>
      </c>
      <c r="T11" s="1502" t="s">
        <v>8</v>
      </c>
      <c r="U11" s="1503" t="e">
        <f t="shared" si="1"/>
        <v>#N/A</v>
      </c>
      <c r="V11" s="1502" t="s">
        <v>8</v>
      </c>
      <c r="W11" s="1503" t="e">
        <f t="shared" si="2"/>
        <v>#N/A</v>
      </c>
      <c r="X11" s="1504"/>
      <c r="Y11" s="342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估价对象周边商业氛围成熟度一般，人流量一般，住宅底商为主，商业繁华度一般</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15" t="s">
        <v>534</v>
      </c>
      <c r="Q15" s="1506" t="str">
        <f t="shared" si="6"/>
        <v>商业繁华度</v>
      </c>
      <c r="R15" s="1507" t="s">
        <v>8</v>
      </c>
      <c r="S15" s="1508">
        <f t="shared" si="0"/>
        <v>100</v>
      </c>
      <c r="T15" s="1507" t="s">
        <v>8</v>
      </c>
      <c r="U15" s="1508">
        <f t="shared" si="1"/>
        <v>100</v>
      </c>
      <c r="V15" s="1507" t="s">
        <v>8</v>
      </c>
      <c r="W15" s="1508">
        <f t="shared" si="2"/>
        <v>100</v>
      </c>
      <c r="X15" s="1501"/>
      <c r="Y15" s="351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6"/>
      <c r="Q16" s="1506"/>
      <c r="R16" s="1507"/>
      <c r="S16" s="1508"/>
      <c r="T16" s="1507"/>
      <c r="U16" s="1508"/>
      <c r="V16" s="1507"/>
      <c r="W16" s="1508"/>
      <c r="X16" s="1501"/>
      <c r="Y16" s="3516"/>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6"/>
      <c r="Q18" s="1506"/>
      <c r="R18" s="1507"/>
      <c r="S18" s="1508"/>
      <c r="T18" s="1507"/>
      <c r="U18" s="1508"/>
      <c r="V18" s="1507"/>
      <c r="W18" s="1508"/>
      <c r="X18" s="1501"/>
      <c r="Y18" s="3516"/>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16"/>
      <c r="Q20" s="1506"/>
      <c r="R20" s="1507"/>
      <c r="S20" s="1508"/>
      <c r="T20" s="1507"/>
      <c r="U20" s="1508"/>
      <c r="V20" s="1507"/>
      <c r="W20" s="1508"/>
      <c r="X20" s="1501"/>
      <c r="Y20" s="3516"/>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16"/>
      <c r="Q21" s="2429" t="str">
        <f>B21</f>
        <v>基础设施水平</v>
      </c>
      <c r="R21" s="1507" t="s">
        <v>8</v>
      </c>
      <c r="S21" s="1508">
        <f>F21</f>
        <v>100</v>
      </c>
      <c r="T21" s="1507" t="s">
        <v>8</v>
      </c>
      <c r="U21" s="1508">
        <f>H21</f>
        <v>100</v>
      </c>
      <c r="V21" s="1507" t="s">
        <v>8</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16"/>
      <c r="Q22" s="2429"/>
      <c r="R22" s="1507"/>
      <c r="S22" s="1508"/>
      <c r="T22" s="1507"/>
      <c r="U22" s="1508"/>
      <c r="V22" s="1507"/>
      <c r="W22" s="1508"/>
      <c r="X22" s="2431"/>
      <c r="Y22" s="3516"/>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16"/>
      <c r="Q23" s="1506" t="str">
        <f>B23</f>
        <v>自然及人文环境</v>
      </c>
      <c r="R23" s="1507" t="s">
        <v>8</v>
      </c>
      <c r="S23" s="1508">
        <f>F23</f>
        <v>100</v>
      </c>
      <c r="T23" s="1507" t="s">
        <v>8</v>
      </c>
      <c r="U23" s="1508">
        <f>H23</f>
        <v>100</v>
      </c>
      <c r="V23" s="1507" t="s">
        <v>8</v>
      </c>
      <c r="W23" s="1508">
        <f>J23</f>
        <v>100</v>
      </c>
      <c r="X23" s="1501"/>
      <c r="Y23" s="351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16"/>
      <c r="Q24" s="1506"/>
      <c r="R24" s="1507"/>
      <c r="S24" s="1508"/>
      <c r="T24" s="1507"/>
      <c r="U24" s="1508"/>
      <c r="V24" s="1507"/>
      <c r="W24" s="1508"/>
      <c r="X24" s="1501"/>
      <c r="Y24" s="351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16"/>
      <c r="Q25" s="1506" t="str">
        <f t="shared" ref="Q25:Q46" si="11">B25</f>
        <v>临街状况</v>
      </c>
      <c r="R25" s="1507" t="s">
        <v>8</v>
      </c>
      <c r="S25" s="1508">
        <f>F25</f>
        <v>100</v>
      </c>
      <c r="T25" s="1507" t="s">
        <v>8</v>
      </c>
      <c r="U25" s="1508">
        <f>H25</f>
        <v>100</v>
      </c>
      <c r="V25" s="1507" t="s">
        <v>8</v>
      </c>
      <c r="W25" s="1508">
        <f>J25</f>
        <v>100</v>
      </c>
      <c r="X25" s="1501"/>
      <c r="Y25" s="351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16"/>
      <c r="Q26" s="1506" t="str">
        <f t="shared" si="11"/>
        <v>平面位置/可视性</v>
      </c>
      <c r="R26" s="1507" t="s">
        <v>8</v>
      </c>
      <c r="S26" s="1508">
        <f>F26</f>
        <v>100</v>
      </c>
      <c r="T26" s="1507" t="s">
        <v>8</v>
      </c>
      <c r="U26" s="1508">
        <f>H26</f>
        <v>100</v>
      </c>
      <c r="V26" s="1507" t="s">
        <v>8</v>
      </c>
      <c r="W26" s="1508">
        <f>J26</f>
        <v>100</v>
      </c>
      <c r="X26" s="1501"/>
      <c r="Y26" s="351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16"/>
      <c r="Q27" s="1133" t="str">
        <f t="shared" si="11"/>
        <v>人流量</v>
      </c>
      <c r="R27" s="1502" t="s">
        <v>8</v>
      </c>
      <c r="S27" s="1503">
        <f>F27</f>
        <v>100</v>
      </c>
      <c r="T27" s="1502" t="s">
        <v>8</v>
      </c>
      <c r="U27" s="1503">
        <f>H27</f>
        <v>100</v>
      </c>
      <c r="V27" s="1502" t="s">
        <v>8</v>
      </c>
      <c r="W27" s="1503">
        <f>J27</f>
        <v>100</v>
      </c>
      <c r="X27" s="1504"/>
      <c r="Y27" s="351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1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1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16"/>
      <c r="Q29" s="1506">
        <f t="shared" si="11"/>
        <v>111</v>
      </c>
      <c r="R29" s="1507" t="s">
        <v>8</v>
      </c>
      <c r="S29" s="1508">
        <f t="shared" si="12"/>
        <v>100</v>
      </c>
      <c r="T29" s="1507" t="s">
        <v>8</v>
      </c>
      <c r="U29" s="1508">
        <f t="shared" si="13"/>
        <v>100</v>
      </c>
      <c r="V29" s="1507" t="s">
        <v>8</v>
      </c>
      <c r="W29" s="1508">
        <f t="shared" si="14"/>
        <v>100</v>
      </c>
      <c r="X29" s="1501"/>
      <c r="Y29" s="351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16"/>
      <c r="Q30" s="1506">
        <f t="shared" si="11"/>
        <v>111</v>
      </c>
      <c r="R30" s="1507" t="s">
        <v>8</v>
      </c>
      <c r="S30" s="1508">
        <f t="shared" si="12"/>
        <v>100</v>
      </c>
      <c r="T30" s="1507" t="s">
        <v>8</v>
      </c>
      <c r="U30" s="1508">
        <f t="shared" si="13"/>
        <v>100</v>
      </c>
      <c r="V30" s="1507" t="s">
        <v>8</v>
      </c>
      <c r="W30" s="1508">
        <f t="shared" si="14"/>
        <v>100</v>
      </c>
      <c r="X30" s="1501"/>
      <c r="Y30" s="351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16"/>
      <c r="Q31" s="1506">
        <f t="shared" si="11"/>
        <v>111</v>
      </c>
      <c r="R31" s="1507" t="s">
        <v>8</v>
      </c>
      <c r="S31" s="1508">
        <f t="shared" si="12"/>
        <v>100</v>
      </c>
      <c r="T31" s="1507" t="s">
        <v>8</v>
      </c>
      <c r="U31" s="1508">
        <f t="shared" si="13"/>
        <v>100</v>
      </c>
      <c r="V31" s="1507" t="s">
        <v>8</v>
      </c>
      <c r="W31" s="1508">
        <f t="shared" si="14"/>
        <v>100</v>
      </c>
      <c r="X31" s="1501"/>
      <c r="Y31" s="3516"/>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17" t="s">
        <v>544</v>
      </c>
      <c r="Q32" s="1506" t="str">
        <f t="shared" si="11"/>
        <v>商业类型</v>
      </c>
      <c r="R32" s="1507" t="s">
        <v>8</v>
      </c>
      <c r="S32" s="1508">
        <f t="shared" si="12"/>
        <v>100</v>
      </c>
      <c r="T32" s="1507" t="s">
        <v>8</v>
      </c>
      <c r="U32" s="1508">
        <f t="shared" si="13"/>
        <v>100</v>
      </c>
      <c r="V32" s="1507" t="s">
        <v>8</v>
      </c>
      <c r="W32" s="1508">
        <f t="shared" si="14"/>
        <v>100</v>
      </c>
      <c r="X32" s="1501"/>
      <c r="Y32" s="351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18"/>
      <c r="Q33" s="1535" t="str">
        <f t="shared" si="11"/>
        <v>项目建筑规模</v>
      </c>
      <c r="R33" s="1511" t="s">
        <v>8</v>
      </c>
      <c r="S33" s="1512" t="e">
        <f t="shared" si="12"/>
        <v>#N/A</v>
      </c>
      <c r="T33" s="1511" t="s">
        <v>8</v>
      </c>
      <c r="U33" s="1512" t="e">
        <f t="shared" si="13"/>
        <v>#N/A</v>
      </c>
      <c r="V33" s="1511" t="s">
        <v>8</v>
      </c>
      <c r="W33" s="1512" t="e">
        <f t="shared" si="14"/>
        <v>#N/A</v>
      </c>
      <c r="X33" s="1513"/>
      <c r="Y33" s="351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18"/>
      <c r="Q34" s="1506" t="str">
        <f t="shared" si="11"/>
        <v>建筑结构</v>
      </c>
      <c r="R34" s="1507" t="s">
        <v>8</v>
      </c>
      <c r="S34" s="1508">
        <f t="shared" si="12"/>
        <v>100</v>
      </c>
      <c r="T34" s="1507" t="s">
        <v>8</v>
      </c>
      <c r="U34" s="1508">
        <f t="shared" si="13"/>
        <v>100</v>
      </c>
      <c r="V34" s="1507" t="s">
        <v>8</v>
      </c>
      <c r="W34" s="1508">
        <f t="shared" si="14"/>
        <v>100</v>
      </c>
      <c r="X34" s="1501"/>
      <c r="Y34" s="351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18"/>
      <c r="Q35" s="1506" t="str">
        <f t="shared" si="11"/>
        <v>公共部分装修</v>
      </c>
      <c r="R35" s="1507" t="s">
        <v>8</v>
      </c>
      <c r="S35" s="1508">
        <f t="shared" si="12"/>
        <v>100</v>
      </c>
      <c r="T35" s="1507" t="s">
        <v>8</v>
      </c>
      <c r="U35" s="1508">
        <f t="shared" si="13"/>
        <v>100</v>
      </c>
      <c r="V35" s="1507" t="s">
        <v>8</v>
      </c>
      <c r="W35" s="1508">
        <f t="shared" si="14"/>
        <v>100</v>
      </c>
      <c r="X35" s="1501"/>
      <c r="Y35" s="351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18"/>
      <c r="Q36" s="1506" t="str">
        <f t="shared" si="11"/>
        <v>成新度</v>
      </c>
      <c r="R36" s="1507" t="s">
        <v>8</v>
      </c>
      <c r="S36" s="1508" t="e">
        <f t="shared" si="12"/>
        <v>#N/A</v>
      </c>
      <c r="T36" s="1507" t="s">
        <v>8</v>
      </c>
      <c r="U36" s="1508" t="e">
        <f t="shared" si="13"/>
        <v>#N/A</v>
      </c>
      <c r="V36" s="1507" t="s">
        <v>8</v>
      </c>
      <c r="W36" s="1508" t="e">
        <f t="shared" si="14"/>
        <v>#N/A</v>
      </c>
      <c r="X36" s="1501"/>
      <c r="Y36" s="3518"/>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18"/>
      <c r="Q37" s="1133" t="str">
        <f t="shared" si="11"/>
        <v>市政基础设施</v>
      </c>
      <c r="R37" s="1502" t="s">
        <v>8</v>
      </c>
      <c r="S37" s="1503">
        <f t="shared" si="12"/>
        <v>100</v>
      </c>
      <c r="T37" s="1502" t="s">
        <v>8</v>
      </c>
      <c r="U37" s="1503">
        <f t="shared" si="13"/>
        <v>100</v>
      </c>
      <c r="V37" s="1502" t="s">
        <v>8</v>
      </c>
      <c r="W37" s="1503">
        <f t="shared" si="14"/>
        <v>100</v>
      </c>
      <c r="X37" s="1504"/>
      <c r="Y37" s="351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18" t="s">
        <v>760</v>
      </c>
      <c r="Q38" s="1506" t="str">
        <f t="shared" si="11"/>
        <v>业态</v>
      </c>
      <c r="R38" s="1507" t="s">
        <v>8</v>
      </c>
      <c r="S38" s="1508">
        <f t="shared" si="12"/>
        <v>100</v>
      </c>
      <c r="T38" s="1507" t="s">
        <v>8</v>
      </c>
      <c r="U38" s="1508">
        <f t="shared" si="13"/>
        <v>100</v>
      </c>
      <c r="V38" s="1507" t="s">
        <v>8</v>
      </c>
      <c r="W38" s="1508">
        <f t="shared" si="14"/>
        <v>100</v>
      </c>
      <c r="X38" s="1501"/>
      <c r="Y38" s="351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8"/>
      <c r="Q39" s="1506" t="str">
        <f t="shared" si="11"/>
        <v>层高</v>
      </c>
      <c r="R39" s="1507" t="s">
        <v>8</v>
      </c>
      <c r="S39" s="1508">
        <f t="shared" si="12"/>
        <v>100</v>
      </c>
      <c r="T39" s="1507" t="s">
        <v>8</v>
      </c>
      <c r="U39" s="1508">
        <f t="shared" si="13"/>
        <v>100</v>
      </c>
      <c r="V39" s="1507" t="s">
        <v>8</v>
      </c>
      <c r="W39" s="1508">
        <f t="shared" si="14"/>
        <v>100</v>
      </c>
      <c r="X39" s="1501"/>
      <c r="Y39" s="351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18"/>
      <c r="Q40" s="1506" t="str">
        <f t="shared" si="11"/>
        <v>单套建筑面积</v>
      </c>
      <c r="R40" s="1507" t="s">
        <v>8</v>
      </c>
      <c r="S40" s="1508">
        <f t="shared" si="12"/>
        <v>100</v>
      </c>
      <c r="T40" s="1507" t="s">
        <v>8</v>
      </c>
      <c r="U40" s="1508">
        <f t="shared" si="13"/>
        <v>100</v>
      </c>
      <c r="V40" s="1507" t="s">
        <v>8</v>
      </c>
      <c r="W40" s="1508">
        <f t="shared" si="14"/>
        <v>100</v>
      </c>
      <c r="X40" s="1501"/>
      <c r="Y40" s="351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18"/>
      <c r="Q41" s="1535" t="str">
        <f t="shared" si="11"/>
        <v>进深比</v>
      </c>
      <c r="R41" s="1511" t="s">
        <v>8</v>
      </c>
      <c r="S41" s="1512">
        <f t="shared" si="12"/>
        <v>100</v>
      </c>
      <c r="T41" s="1511" t="s">
        <v>8</v>
      </c>
      <c r="U41" s="1512">
        <f t="shared" si="13"/>
        <v>100</v>
      </c>
      <c r="V41" s="1511" t="s">
        <v>8</v>
      </c>
      <c r="W41" s="1512">
        <f t="shared" si="14"/>
        <v>100</v>
      </c>
      <c r="X41" s="1513"/>
      <c r="Y41" s="351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18"/>
      <c r="Q42" s="1506" t="str">
        <f t="shared" si="11"/>
        <v>内部装修</v>
      </c>
      <c r="R42" s="1507" t="s">
        <v>8</v>
      </c>
      <c r="S42" s="1508">
        <f t="shared" si="12"/>
        <v>100</v>
      </c>
      <c r="T42" s="1507" t="s">
        <v>8</v>
      </c>
      <c r="U42" s="1508">
        <f t="shared" si="13"/>
        <v>100</v>
      </c>
      <c r="V42" s="1507" t="s">
        <v>8</v>
      </c>
      <c r="W42" s="1508">
        <f t="shared" si="14"/>
        <v>100</v>
      </c>
      <c r="X42" s="1501"/>
      <c r="Y42" s="351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18"/>
      <c r="Q43" s="1506" t="str">
        <f t="shared" si="11"/>
        <v>内部装修维护情况</v>
      </c>
      <c r="R43" s="1507" t="s">
        <v>8</v>
      </c>
      <c r="S43" s="1508">
        <f t="shared" si="12"/>
        <v>100</v>
      </c>
      <c r="T43" s="1507" t="s">
        <v>8</v>
      </c>
      <c r="U43" s="1508">
        <f t="shared" si="13"/>
        <v>100</v>
      </c>
      <c r="V43" s="1507" t="s">
        <v>8</v>
      </c>
      <c r="W43" s="1508">
        <f t="shared" si="14"/>
        <v>100</v>
      </c>
      <c r="X43" s="1501"/>
      <c r="Y43" s="351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18"/>
      <c r="Q44" s="1133">
        <f t="shared" si="11"/>
        <v>111</v>
      </c>
      <c r="R44" s="1502" t="s">
        <v>8</v>
      </c>
      <c r="S44" s="1503">
        <f t="shared" si="12"/>
        <v>100</v>
      </c>
      <c r="T44" s="1502" t="s">
        <v>8</v>
      </c>
      <c r="U44" s="1503">
        <f t="shared" si="13"/>
        <v>100</v>
      </c>
      <c r="V44" s="1502" t="s">
        <v>8</v>
      </c>
      <c r="W44" s="1503">
        <f t="shared" si="14"/>
        <v>100</v>
      </c>
      <c r="X44" s="1504"/>
      <c r="Y44" s="351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18"/>
      <c r="Q45" s="1506">
        <f t="shared" si="11"/>
        <v>111</v>
      </c>
      <c r="R45" s="1507" t="s">
        <v>8</v>
      </c>
      <c r="S45" s="1508">
        <f t="shared" si="12"/>
        <v>100</v>
      </c>
      <c r="T45" s="1507" t="s">
        <v>8</v>
      </c>
      <c r="U45" s="1508">
        <f t="shared" si="13"/>
        <v>100</v>
      </c>
      <c r="V45" s="1507" t="s">
        <v>8</v>
      </c>
      <c r="W45" s="1508">
        <f t="shared" si="14"/>
        <v>100</v>
      </c>
      <c r="X45" s="1501"/>
      <c r="Y45" s="3518"/>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0"/>
      <c r="Q46" s="1506">
        <f t="shared" si="11"/>
        <v>111</v>
      </c>
      <c r="R46" s="1507" t="s">
        <v>8</v>
      </c>
      <c r="S46" s="1508">
        <f t="shared" si="12"/>
        <v>100</v>
      </c>
      <c r="T46" s="1507" t="s">
        <v>8</v>
      </c>
      <c r="U46" s="1508">
        <f t="shared" si="13"/>
        <v>100</v>
      </c>
      <c r="V46" s="1507" t="s">
        <v>8</v>
      </c>
      <c r="W46" s="1508">
        <f t="shared" si="14"/>
        <v>100</v>
      </c>
      <c r="X46" s="1501"/>
      <c r="Y46" s="3600"/>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81" t="str">
        <f>A47</f>
        <v>成交单价（元/平方米）</v>
      </c>
      <c r="Q47" s="3481"/>
      <c r="R47" s="3599">
        <f>E47</f>
        <v>0</v>
      </c>
      <c r="S47" s="3599"/>
      <c r="T47" s="3599">
        <f>G47</f>
        <v>0</v>
      </c>
      <c r="U47" s="3599"/>
      <c r="V47" s="3599">
        <f>I47</f>
        <v>0</v>
      </c>
      <c r="W47" s="3599"/>
      <c r="X47" s="1496"/>
      <c r="Y47" s="1515"/>
      <c r="Z47" s="1496"/>
      <c r="AA47" s="1496"/>
      <c r="AB47" s="1496"/>
      <c r="AC47" s="1496"/>
    </row>
    <row r="48" spans="1:29" ht="15.75" thickBot="1">
      <c r="A48" s="609" t="s">
        <v>2741</v>
      </c>
      <c r="B48" s="876"/>
      <c r="C48" s="2476" t="e">
        <f>R49</f>
        <v>#DIV/0!</v>
      </c>
      <c r="D48" s="3014" t="s">
        <v>2967</v>
      </c>
      <c r="E48" s="2477" t="e">
        <f>R48</f>
        <v>#DIV/0!</v>
      </c>
      <c r="F48" s="3015"/>
      <c r="G48" s="2476" t="e">
        <f>T48</f>
        <v>#DIV/0!</v>
      </c>
      <c r="H48" s="3015"/>
      <c r="I48" s="2477" t="e">
        <f>V48</f>
        <v>#DIV/0!</v>
      </c>
      <c r="J48" s="3015"/>
      <c r="K48" s="3023">
        <f>F48+H48+J48</f>
        <v>0</v>
      </c>
      <c r="L48" s="2026"/>
      <c r="M48" s="2027"/>
      <c r="N48" s="2016"/>
      <c r="O48" s="2027"/>
      <c r="P48" s="3481" t="str">
        <f>A48</f>
        <v>比较价格（元/平方米）</v>
      </c>
      <c r="Q48" s="3481"/>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478" t="str">
        <f>A49</f>
        <v>估价对象XX用房的比较价格（楼面单价，元/平方米）</v>
      </c>
      <c r="Q49" s="3479"/>
      <c r="R49" s="3598" t="e">
        <f>IF(F1="售价",ROUND(IF(D48="简单平均",AVERAGE(R48:V48),R48*F48+T48*H48+V48*J48),0),ROUND(IF(D48="简单平均",AVERAGE(R48:V48),R48*F48+T48*H48+V48*J48),1))</f>
        <v>#DIV/0!</v>
      </c>
      <c r="S49" s="3598"/>
      <c r="T49" s="3598"/>
      <c r="U49" s="3598"/>
      <c r="V49" s="3598"/>
      <c r="W49" s="359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487" t="s">
        <v>516</v>
      </c>
      <c r="D4" s="3488"/>
      <c r="E4" s="3521" t="s">
        <v>517</v>
      </c>
      <c r="F4" s="3522"/>
      <c r="G4" s="3487" t="s">
        <v>518</v>
      </c>
      <c r="H4" s="3488"/>
      <c r="I4" s="3487" t="s">
        <v>519</v>
      </c>
      <c r="J4" s="3488"/>
      <c r="K4" s="508" t="s">
        <v>520</v>
      </c>
      <c r="L4" s="2015"/>
      <c r="M4" s="2016"/>
      <c r="N4" s="2016"/>
      <c r="O4" s="2016"/>
      <c r="P4" s="3604" t="s">
        <v>521</v>
      </c>
      <c r="Q4" s="3490"/>
      <c r="R4" s="3495" t="s">
        <v>517</v>
      </c>
      <c r="S4" s="3496"/>
      <c r="T4" s="3495" t="s">
        <v>518</v>
      </c>
      <c r="U4" s="3496"/>
      <c r="V4" s="3482" t="s">
        <v>519</v>
      </c>
      <c r="W4" s="3482"/>
      <c r="X4" s="1501"/>
      <c r="Y4" s="3495" t="s">
        <v>521</v>
      </c>
      <c r="Z4" s="3496"/>
      <c r="AA4" s="3484" t="s">
        <v>517</v>
      </c>
      <c r="AB4" s="3484" t="s">
        <v>518</v>
      </c>
      <c r="AC4" s="3484" t="s">
        <v>519</v>
      </c>
    </row>
    <row r="5" spans="1:29" ht="15">
      <c r="A5" s="509"/>
      <c r="B5" s="510"/>
      <c r="C5" s="3503" t="s">
        <v>2893</v>
      </c>
      <c r="D5" s="3504"/>
      <c r="E5" s="3523" t="s">
        <v>2894</v>
      </c>
      <c r="F5" s="3524"/>
      <c r="G5" s="3503" t="s">
        <v>2895</v>
      </c>
      <c r="H5" s="3504"/>
      <c r="I5" s="3503" t="s">
        <v>2896</v>
      </c>
      <c r="J5" s="3504"/>
      <c r="K5" s="508"/>
      <c r="L5" s="2015"/>
      <c r="M5" s="2016"/>
      <c r="N5" s="2016"/>
      <c r="O5" s="2016"/>
      <c r="P5" s="3605"/>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606"/>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44277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14" t="s">
        <v>524</v>
      </c>
      <c r="Q7" s="3514"/>
      <c r="R7" s="1502" t="s">
        <v>8</v>
      </c>
      <c r="S7" s="1503">
        <f t="shared" ref="S7:S15" si="0">F7</f>
        <v>0</v>
      </c>
      <c r="T7" s="1502" t="s">
        <v>8</v>
      </c>
      <c r="U7" s="1503">
        <f t="shared" ref="U7:U15" si="1">H7</f>
        <v>0</v>
      </c>
      <c r="V7" s="1502" t="s">
        <v>8</v>
      </c>
      <c r="W7" s="1503">
        <f t="shared" ref="W7:W15"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14" t="s">
        <v>527</v>
      </c>
      <c r="Q8" s="3513"/>
      <c r="R8" s="1502" t="s">
        <v>8</v>
      </c>
      <c r="S8" s="1503">
        <f t="shared" si="0"/>
        <v>0</v>
      </c>
      <c r="T8" s="1502" t="s">
        <v>8</v>
      </c>
      <c r="U8" s="1503">
        <f t="shared" si="1"/>
        <v>0</v>
      </c>
      <c r="V8" s="1502" t="s">
        <v>8</v>
      </c>
      <c r="W8" s="1503">
        <f t="shared" si="2"/>
        <v>0</v>
      </c>
      <c r="X8" s="1504"/>
      <c r="Y8" s="3512" t="s">
        <v>527</v>
      </c>
      <c r="Z8" s="3513"/>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1"/>
      <c r="Q11" s="1133" t="str">
        <f t="shared" si="6"/>
        <v>容积率</v>
      </c>
      <c r="R11" s="1502" t="s">
        <v>8</v>
      </c>
      <c r="S11" s="1503" t="e">
        <f t="shared" si="0"/>
        <v>#N/A</v>
      </c>
      <c r="T11" s="1502" t="s">
        <v>8</v>
      </c>
      <c r="U11" s="1503" t="e">
        <f t="shared" si="1"/>
        <v>#N/A</v>
      </c>
      <c r="V11" s="1502" t="s">
        <v>8</v>
      </c>
      <c r="W11" s="1503" t="e">
        <f t="shared" si="2"/>
        <v>#N/A</v>
      </c>
      <c r="X11" s="1504"/>
      <c r="Y11" s="342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15" t="s">
        <v>534</v>
      </c>
      <c r="Q15" s="1506" t="str">
        <f t="shared" si="6"/>
        <v>办公集聚程度</v>
      </c>
      <c r="R15" s="1507" t="s">
        <v>8</v>
      </c>
      <c r="S15" s="1508">
        <f t="shared" si="0"/>
        <v>100</v>
      </c>
      <c r="T15" s="1507" t="s">
        <v>8</v>
      </c>
      <c r="U15" s="1508">
        <f t="shared" si="1"/>
        <v>100</v>
      </c>
      <c r="V15" s="1507" t="s">
        <v>8</v>
      </c>
      <c r="W15" s="1508">
        <f t="shared" si="2"/>
        <v>100</v>
      </c>
      <c r="X15" s="1501"/>
      <c r="Y15" s="351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16"/>
      <c r="Q16" s="1506"/>
      <c r="R16" s="1507"/>
      <c r="S16" s="1508"/>
      <c r="T16" s="1507"/>
      <c r="U16" s="1508"/>
      <c r="V16" s="1507"/>
      <c r="W16" s="1508"/>
      <c r="X16" s="1501"/>
      <c r="Y16" s="3516"/>
      <c r="Z16" s="1509"/>
      <c r="AA16" s="1510">
        <v>1</v>
      </c>
      <c r="AB16" s="1510">
        <v>1</v>
      </c>
      <c r="AC16" s="1510">
        <v>1</v>
      </c>
    </row>
    <row r="17" spans="1:29" ht="114">
      <c r="A17" s="526"/>
      <c r="B17" s="554" t="s">
        <v>296</v>
      </c>
      <c r="C17" s="567" t="str">
        <f>估价对象房地状况!C6</f>
        <v>估价对象周边道路状况一般、公共交通通达情况较差，有5、122路经过、停车便捷程度，综合评价交通便捷度一般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16"/>
      <c r="Q18" s="1506"/>
      <c r="R18" s="1507"/>
      <c r="S18" s="1508"/>
      <c r="T18" s="1507"/>
      <c r="U18" s="1508"/>
      <c r="V18" s="1507"/>
      <c r="W18" s="1508"/>
      <c r="X18" s="1501"/>
      <c r="Y18" s="3516"/>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16"/>
      <c r="Q20" s="1506"/>
      <c r="R20" s="1507"/>
      <c r="S20" s="1508"/>
      <c r="T20" s="1507"/>
      <c r="U20" s="1508"/>
      <c r="V20" s="1507"/>
      <c r="W20" s="1508"/>
      <c r="X20" s="1501"/>
      <c r="Y20" s="3516"/>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16"/>
      <c r="Q21" s="2429" t="str">
        <f>B21</f>
        <v>基础设施水平</v>
      </c>
      <c r="R21" s="1507" t="s">
        <v>8</v>
      </c>
      <c r="S21" s="1508">
        <f>F21</f>
        <v>100</v>
      </c>
      <c r="T21" s="1507" t="s">
        <v>8</v>
      </c>
      <c r="U21" s="1508">
        <f>H21</f>
        <v>100</v>
      </c>
      <c r="V21" s="1507" t="s">
        <v>8</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16"/>
      <c r="Q22" s="2429"/>
      <c r="R22" s="1507"/>
      <c r="S22" s="1508"/>
      <c r="T22" s="1507"/>
      <c r="U22" s="1508"/>
      <c r="V22" s="1507"/>
      <c r="W22" s="1508"/>
      <c r="X22" s="2431"/>
      <c r="Y22" s="3516"/>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16"/>
      <c r="Q23" s="1506" t="str">
        <f>B23</f>
        <v>环境质量</v>
      </c>
      <c r="R23" s="1507" t="s">
        <v>8</v>
      </c>
      <c r="S23" s="1508">
        <f>F23</f>
        <v>100</v>
      </c>
      <c r="T23" s="1507" t="s">
        <v>8</v>
      </c>
      <c r="U23" s="1508">
        <f>H23</f>
        <v>100</v>
      </c>
      <c r="V23" s="1507" t="s">
        <v>8</v>
      </c>
      <c r="W23" s="1508">
        <f>J23</f>
        <v>100</v>
      </c>
      <c r="X23" s="1501"/>
      <c r="Y23" s="351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16"/>
      <c r="Q24" s="1506"/>
      <c r="R24" s="1507"/>
      <c r="S24" s="1508"/>
      <c r="T24" s="1507"/>
      <c r="U24" s="1508"/>
      <c r="V24" s="1507"/>
      <c r="W24" s="1508"/>
      <c r="X24" s="1501"/>
      <c r="Y24" s="3516"/>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16"/>
      <c r="Q25" s="1506" t="str">
        <f>B25</f>
        <v>毗邻道路的类型与等级</v>
      </c>
      <c r="R25" s="1507" t="s">
        <v>8</v>
      </c>
      <c r="S25" s="1508">
        <f>F25</f>
        <v>100</v>
      </c>
      <c r="T25" s="1507" t="s">
        <v>8</v>
      </c>
      <c r="U25" s="1508">
        <f>H25</f>
        <v>100</v>
      </c>
      <c r="V25" s="1507" t="s">
        <v>8</v>
      </c>
      <c r="W25" s="1508">
        <f>J25</f>
        <v>100</v>
      </c>
      <c r="X25" s="1501"/>
      <c r="Y25" s="351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16"/>
      <c r="Q26" s="1506"/>
      <c r="R26" s="1507"/>
      <c r="S26" s="1508"/>
      <c r="T26" s="1507"/>
      <c r="U26" s="1508"/>
      <c r="V26" s="1507"/>
      <c r="W26" s="1508"/>
      <c r="X26" s="1501"/>
      <c r="Y26" s="351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16"/>
      <c r="Q27" s="1506" t="str">
        <f t="shared" ref="Q27:Q47" si="11">B27</f>
        <v>楼层</v>
      </c>
      <c r="R27" s="1507" t="s">
        <v>8</v>
      </c>
      <c r="S27" s="1508">
        <f>F27</f>
        <v>100</v>
      </c>
      <c r="T27" s="1507" t="s">
        <v>8</v>
      </c>
      <c r="U27" s="1508">
        <f>H27</f>
        <v>100</v>
      </c>
      <c r="V27" s="1507" t="s">
        <v>8</v>
      </c>
      <c r="W27" s="1508">
        <f>J27</f>
        <v>100</v>
      </c>
      <c r="X27" s="1501"/>
      <c r="Y27" s="351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16"/>
      <c r="Q28" s="1133" t="str">
        <f t="shared" si="11"/>
        <v>朝向</v>
      </c>
      <c r="R28" s="1502" t="s">
        <v>8</v>
      </c>
      <c r="S28" s="1503">
        <f>F28</f>
        <v>100</v>
      </c>
      <c r="T28" s="1502" t="s">
        <v>8</v>
      </c>
      <c r="U28" s="1503">
        <f>H28</f>
        <v>100</v>
      </c>
      <c r="V28" s="1502" t="s">
        <v>8</v>
      </c>
      <c r="W28" s="1503">
        <f>J28</f>
        <v>100</v>
      </c>
      <c r="X28" s="1504"/>
      <c r="Y28" s="351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16"/>
      <c r="Q29" s="1506">
        <f t="shared" si="11"/>
        <v>111</v>
      </c>
      <c r="R29" s="1507" t="s">
        <v>8</v>
      </c>
      <c r="S29" s="1508">
        <f t="shared" ref="S29:S47" si="12">F29</f>
        <v>100</v>
      </c>
      <c r="T29" s="1507" t="s">
        <v>8</v>
      </c>
      <c r="U29" s="1508">
        <f t="shared" ref="U29:U47" si="13">H29</f>
        <v>100</v>
      </c>
      <c r="V29" s="1507" t="s">
        <v>8</v>
      </c>
      <c r="W29" s="1508">
        <f t="shared" ref="W29:W47" si="14">J29</f>
        <v>100</v>
      </c>
      <c r="X29" s="1501"/>
      <c r="Y29" s="351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16"/>
      <c r="Q30" s="1506">
        <f t="shared" si="11"/>
        <v>111</v>
      </c>
      <c r="R30" s="1507" t="s">
        <v>8</v>
      </c>
      <c r="S30" s="1508">
        <f t="shared" si="12"/>
        <v>100</v>
      </c>
      <c r="T30" s="1507" t="s">
        <v>8</v>
      </c>
      <c r="U30" s="1508">
        <f t="shared" si="13"/>
        <v>100</v>
      </c>
      <c r="V30" s="1507" t="s">
        <v>8</v>
      </c>
      <c r="W30" s="1508">
        <f t="shared" si="14"/>
        <v>100</v>
      </c>
      <c r="X30" s="1501"/>
      <c r="Y30" s="351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16"/>
      <c r="Q31" s="1506">
        <f t="shared" si="11"/>
        <v>111</v>
      </c>
      <c r="R31" s="1507" t="s">
        <v>8</v>
      </c>
      <c r="S31" s="1508">
        <f t="shared" si="12"/>
        <v>100</v>
      </c>
      <c r="T31" s="1507" t="s">
        <v>8</v>
      </c>
      <c r="U31" s="1508">
        <f t="shared" si="13"/>
        <v>100</v>
      </c>
      <c r="V31" s="1507" t="s">
        <v>8</v>
      </c>
      <c r="W31" s="1508">
        <f t="shared" si="14"/>
        <v>100</v>
      </c>
      <c r="X31" s="1501"/>
      <c r="Y31" s="3516"/>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16"/>
      <c r="Q32" s="1506">
        <f t="shared" si="11"/>
        <v>111</v>
      </c>
      <c r="R32" s="1507" t="s">
        <v>8</v>
      </c>
      <c r="S32" s="1508">
        <f t="shared" si="12"/>
        <v>100</v>
      </c>
      <c r="T32" s="1507" t="s">
        <v>8</v>
      </c>
      <c r="U32" s="1508">
        <f t="shared" si="13"/>
        <v>100</v>
      </c>
      <c r="V32" s="1507" t="s">
        <v>8</v>
      </c>
      <c r="W32" s="1508">
        <f t="shared" si="14"/>
        <v>100</v>
      </c>
      <c r="X32" s="1501"/>
      <c r="Y32" s="3516"/>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17" t="s">
        <v>544</v>
      </c>
      <c r="Q33" s="1506" t="str">
        <f t="shared" si="11"/>
        <v>建筑类型</v>
      </c>
      <c r="R33" s="1507" t="s">
        <v>8</v>
      </c>
      <c r="S33" s="1508">
        <f t="shared" si="12"/>
        <v>100</v>
      </c>
      <c r="T33" s="1507" t="s">
        <v>8</v>
      </c>
      <c r="U33" s="1508">
        <f t="shared" si="13"/>
        <v>100</v>
      </c>
      <c r="V33" s="1507" t="s">
        <v>8</v>
      </c>
      <c r="W33" s="1508">
        <f t="shared" si="14"/>
        <v>100</v>
      </c>
      <c r="X33" s="1501"/>
      <c r="Y33" s="351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18"/>
      <c r="Q34" s="1535" t="str">
        <f t="shared" si="11"/>
        <v>项目建筑规模</v>
      </c>
      <c r="R34" s="1511" t="s">
        <v>8</v>
      </c>
      <c r="S34" s="1512" t="e">
        <f t="shared" si="12"/>
        <v>#N/A</v>
      </c>
      <c r="T34" s="1511" t="s">
        <v>8</v>
      </c>
      <c r="U34" s="1512" t="e">
        <f t="shared" si="13"/>
        <v>#N/A</v>
      </c>
      <c r="V34" s="1511" t="s">
        <v>8</v>
      </c>
      <c r="W34" s="1512" t="e">
        <f t="shared" si="14"/>
        <v>#N/A</v>
      </c>
      <c r="X34" s="1513"/>
      <c r="Y34" s="351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18"/>
      <c r="Q35" s="1506" t="str">
        <f t="shared" si="11"/>
        <v>建筑结构</v>
      </c>
      <c r="R35" s="1507" t="s">
        <v>8</v>
      </c>
      <c r="S35" s="1508">
        <f t="shared" si="12"/>
        <v>100</v>
      </c>
      <c r="T35" s="1507" t="s">
        <v>8</v>
      </c>
      <c r="U35" s="1508">
        <f t="shared" si="13"/>
        <v>100</v>
      </c>
      <c r="V35" s="1507" t="s">
        <v>8</v>
      </c>
      <c r="W35" s="1508">
        <f t="shared" si="14"/>
        <v>100</v>
      </c>
      <c r="X35" s="1501"/>
      <c r="Y35" s="351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18"/>
      <c r="Q36" s="1506" t="str">
        <f t="shared" si="11"/>
        <v>公共部分装修</v>
      </c>
      <c r="R36" s="1507" t="s">
        <v>8</v>
      </c>
      <c r="S36" s="1508">
        <f t="shared" si="12"/>
        <v>100</v>
      </c>
      <c r="T36" s="1507" t="s">
        <v>8</v>
      </c>
      <c r="U36" s="1508">
        <f t="shared" si="13"/>
        <v>100</v>
      </c>
      <c r="V36" s="1507" t="s">
        <v>8</v>
      </c>
      <c r="W36" s="1508">
        <f t="shared" si="14"/>
        <v>100</v>
      </c>
      <c r="X36" s="1501"/>
      <c r="Y36" s="351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18"/>
      <c r="Q37" s="1506" t="str">
        <f t="shared" si="11"/>
        <v>成新度</v>
      </c>
      <c r="R37" s="1507" t="s">
        <v>8</v>
      </c>
      <c r="S37" s="1508" t="e">
        <f t="shared" si="12"/>
        <v>#N/A</v>
      </c>
      <c r="T37" s="1507" t="s">
        <v>8</v>
      </c>
      <c r="U37" s="1508" t="e">
        <f t="shared" si="13"/>
        <v>#N/A</v>
      </c>
      <c r="V37" s="1507" t="s">
        <v>8</v>
      </c>
      <c r="W37" s="1508" t="e">
        <f t="shared" si="14"/>
        <v>#N/A</v>
      </c>
      <c r="X37" s="1501"/>
      <c r="Y37" s="351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18"/>
      <c r="Q38" s="1133" t="str">
        <f t="shared" si="11"/>
        <v>写字楼等级</v>
      </c>
      <c r="R38" s="1502" t="s">
        <v>8</v>
      </c>
      <c r="S38" s="1503">
        <f t="shared" si="12"/>
        <v>100</v>
      </c>
      <c r="T38" s="1502" t="s">
        <v>8</v>
      </c>
      <c r="U38" s="1503">
        <f t="shared" si="13"/>
        <v>100</v>
      </c>
      <c r="V38" s="1502" t="s">
        <v>8</v>
      </c>
      <c r="W38" s="1503">
        <f t="shared" si="14"/>
        <v>100</v>
      </c>
      <c r="X38" s="1504"/>
      <c r="Y38" s="351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18" t="s">
        <v>544</v>
      </c>
      <c r="Q39" s="1506" t="str">
        <f t="shared" si="11"/>
        <v>物业管理</v>
      </c>
      <c r="R39" s="1507" t="s">
        <v>8</v>
      </c>
      <c r="S39" s="1508">
        <f t="shared" si="12"/>
        <v>100</v>
      </c>
      <c r="T39" s="1507" t="s">
        <v>8</v>
      </c>
      <c r="U39" s="1508">
        <f t="shared" si="13"/>
        <v>100</v>
      </c>
      <c r="V39" s="1507" t="s">
        <v>8</v>
      </c>
      <c r="W39" s="1508">
        <f t="shared" si="14"/>
        <v>100</v>
      </c>
      <c r="X39" s="1501"/>
      <c r="Y39" s="3518"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18"/>
      <c r="Q40" s="1506" t="str">
        <f t="shared" si="11"/>
        <v>市政基础设施</v>
      </c>
      <c r="R40" s="1507" t="s">
        <v>8</v>
      </c>
      <c r="S40" s="1508">
        <f t="shared" si="12"/>
        <v>100</v>
      </c>
      <c r="T40" s="1507" t="s">
        <v>8</v>
      </c>
      <c r="U40" s="1508">
        <f t="shared" si="13"/>
        <v>100</v>
      </c>
      <c r="V40" s="1507" t="s">
        <v>8</v>
      </c>
      <c r="W40" s="1508">
        <f t="shared" si="14"/>
        <v>100</v>
      </c>
      <c r="X40" s="1501"/>
      <c r="Y40" s="351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18"/>
      <c r="Q41" s="1506" t="str">
        <f t="shared" si="11"/>
        <v>层高</v>
      </c>
      <c r="R41" s="1507" t="s">
        <v>8</v>
      </c>
      <c r="S41" s="1508">
        <f t="shared" si="12"/>
        <v>100</v>
      </c>
      <c r="T41" s="1507" t="s">
        <v>8</v>
      </c>
      <c r="U41" s="1508">
        <f t="shared" si="13"/>
        <v>100</v>
      </c>
      <c r="V41" s="1507" t="s">
        <v>8</v>
      </c>
      <c r="W41" s="1508">
        <f t="shared" si="14"/>
        <v>100</v>
      </c>
      <c r="X41" s="1501"/>
      <c r="Y41" s="351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18"/>
      <c r="Q42" s="1535" t="str">
        <f t="shared" si="11"/>
        <v>单套建筑面积</v>
      </c>
      <c r="R42" s="1511" t="s">
        <v>8</v>
      </c>
      <c r="S42" s="1512">
        <f t="shared" si="12"/>
        <v>100</v>
      </c>
      <c r="T42" s="1511" t="s">
        <v>8</v>
      </c>
      <c r="U42" s="1512">
        <f t="shared" si="13"/>
        <v>100</v>
      </c>
      <c r="V42" s="1511" t="s">
        <v>8</v>
      </c>
      <c r="W42" s="1512">
        <f t="shared" si="14"/>
        <v>100</v>
      </c>
      <c r="X42" s="1513"/>
      <c r="Y42" s="351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18"/>
      <c r="Q43" s="1506" t="str">
        <f t="shared" si="11"/>
        <v>内部装修</v>
      </c>
      <c r="R43" s="1507" t="s">
        <v>8</v>
      </c>
      <c r="S43" s="1508">
        <f t="shared" si="12"/>
        <v>100</v>
      </c>
      <c r="T43" s="1507" t="s">
        <v>8</v>
      </c>
      <c r="U43" s="1508">
        <f t="shared" si="13"/>
        <v>100</v>
      </c>
      <c r="V43" s="1507" t="s">
        <v>8</v>
      </c>
      <c r="W43" s="1508">
        <f t="shared" si="14"/>
        <v>100</v>
      </c>
      <c r="X43" s="1501"/>
      <c r="Y43" s="351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18"/>
      <c r="Q44" s="1506" t="str">
        <f t="shared" si="11"/>
        <v>内部装修维护情况</v>
      </c>
      <c r="R44" s="1507" t="s">
        <v>8</v>
      </c>
      <c r="S44" s="1508">
        <f t="shared" si="12"/>
        <v>100</v>
      </c>
      <c r="T44" s="1507" t="s">
        <v>8</v>
      </c>
      <c r="U44" s="1508">
        <f t="shared" si="13"/>
        <v>100</v>
      </c>
      <c r="V44" s="1507" t="s">
        <v>8</v>
      </c>
      <c r="W44" s="1508">
        <f t="shared" si="14"/>
        <v>100</v>
      </c>
      <c r="X44" s="1501"/>
      <c r="Y44" s="351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18"/>
      <c r="Q45" s="1133">
        <f t="shared" si="11"/>
        <v>111</v>
      </c>
      <c r="R45" s="1502" t="s">
        <v>8</v>
      </c>
      <c r="S45" s="1503">
        <f t="shared" si="12"/>
        <v>100</v>
      </c>
      <c r="T45" s="1502" t="s">
        <v>8</v>
      </c>
      <c r="U45" s="1503">
        <f t="shared" si="13"/>
        <v>100</v>
      </c>
      <c r="V45" s="1502" t="s">
        <v>8</v>
      </c>
      <c r="W45" s="1503">
        <f t="shared" si="14"/>
        <v>100</v>
      </c>
      <c r="X45" s="1504"/>
      <c r="Y45" s="351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18"/>
      <c r="Q46" s="1506">
        <f t="shared" si="11"/>
        <v>111</v>
      </c>
      <c r="R46" s="1507" t="s">
        <v>8</v>
      </c>
      <c r="S46" s="1508">
        <f t="shared" si="12"/>
        <v>100</v>
      </c>
      <c r="T46" s="1507" t="s">
        <v>8</v>
      </c>
      <c r="U46" s="1508">
        <f t="shared" si="13"/>
        <v>100</v>
      </c>
      <c r="V46" s="1507" t="s">
        <v>8</v>
      </c>
      <c r="W46" s="1508">
        <f t="shared" si="14"/>
        <v>100</v>
      </c>
      <c r="X46" s="1501"/>
      <c r="Y46" s="3518"/>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0"/>
      <c r="Q47" s="1506">
        <f t="shared" si="11"/>
        <v>111</v>
      </c>
      <c r="R47" s="1507" t="s">
        <v>8</v>
      </c>
      <c r="S47" s="1508">
        <f t="shared" si="12"/>
        <v>100</v>
      </c>
      <c r="T47" s="1507" t="s">
        <v>8</v>
      </c>
      <c r="U47" s="1508">
        <f t="shared" si="13"/>
        <v>100</v>
      </c>
      <c r="V47" s="1507" t="s">
        <v>8</v>
      </c>
      <c r="W47" s="1508">
        <f t="shared" si="14"/>
        <v>100</v>
      </c>
      <c r="X47" s="1501"/>
      <c r="Y47" s="3600"/>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479" t="str">
        <f>A48</f>
        <v>成交单价（元/平方米）</v>
      </c>
      <c r="Q48" s="3481"/>
      <c r="R48" s="3599">
        <f>E48</f>
        <v>0</v>
      </c>
      <c r="S48" s="3599"/>
      <c r="T48" s="3599">
        <f>G48</f>
        <v>0</v>
      </c>
      <c r="U48" s="3599"/>
      <c r="V48" s="3599">
        <f>I48</f>
        <v>0</v>
      </c>
      <c r="W48" s="3599"/>
      <c r="X48" s="1496"/>
      <c r="Y48" s="1515"/>
      <c r="Z48" s="1496"/>
      <c r="AA48" s="1496"/>
      <c r="AB48" s="1496"/>
      <c r="AC48" s="1496"/>
    </row>
    <row r="49" spans="1:29" ht="15.75" thickBot="1">
      <c r="A49" s="609" t="s">
        <v>2741</v>
      </c>
      <c r="B49" s="876"/>
      <c r="C49" s="2476" t="e">
        <f>R50</f>
        <v>#DIV/0!</v>
      </c>
      <c r="D49" s="3014" t="s">
        <v>2967</v>
      </c>
      <c r="E49" s="2477" t="e">
        <f>R49</f>
        <v>#DIV/0!</v>
      </c>
      <c r="F49" s="3015"/>
      <c r="G49" s="2476" t="e">
        <f>T49</f>
        <v>#DIV/0!</v>
      </c>
      <c r="H49" s="3015"/>
      <c r="I49" s="2477" t="e">
        <f>V49</f>
        <v>#DIV/0!</v>
      </c>
      <c r="J49" s="3015"/>
      <c r="K49" s="3023">
        <f>F49+H49+J49</f>
        <v>0</v>
      </c>
      <c r="L49" s="2026"/>
      <c r="M49" s="2016"/>
      <c r="N49" s="2016"/>
      <c r="O49" s="2016"/>
      <c r="P49" s="3479" t="str">
        <f>A49</f>
        <v>比较价格（元/平方米）</v>
      </c>
      <c r="Q49" s="3481"/>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03" t="str">
        <f>A50</f>
        <v>估价对象XX用房的比较价格（楼面单价，元/平方米）</v>
      </c>
      <c r="Q50" s="3479"/>
      <c r="R50" s="3598" t="e">
        <f>IF(F1="售价",ROUND(IF(D49="简单平均",AVERAGE(R49:V49),R49*F49+T49*H49+V49*J49),0),ROUND(IF(D49="简单平均",AVERAGE(R49:V49),R49*F49+T49*H49+V49*J49),1))</f>
        <v>#DIV/0!</v>
      </c>
      <c r="S50" s="3598"/>
      <c r="T50" s="3598"/>
      <c r="U50" s="3598"/>
      <c r="V50" s="3598"/>
      <c r="W50" s="3598"/>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487" t="s">
        <v>516</v>
      </c>
      <c r="D4" s="3488"/>
      <c r="E4" s="3521" t="s">
        <v>517</v>
      </c>
      <c r="F4" s="3522"/>
      <c r="G4" s="3487" t="s">
        <v>518</v>
      </c>
      <c r="H4" s="3488"/>
      <c r="I4" s="3487" t="s">
        <v>519</v>
      </c>
      <c r="J4" s="3488"/>
      <c r="K4" s="508" t="s">
        <v>520</v>
      </c>
      <c r="L4" s="2015"/>
      <c r="M4" s="2016"/>
      <c r="N4" s="2016"/>
      <c r="O4" s="2016"/>
      <c r="P4" s="3489" t="s">
        <v>521</v>
      </c>
      <c r="Q4" s="3490"/>
      <c r="R4" s="3495" t="s">
        <v>517</v>
      </c>
      <c r="S4" s="3496"/>
      <c r="T4" s="3495" t="s">
        <v>518</v>
      </c>
      <c r="U4" s="3496"/>
      <c r="V4" s="3482" t="s">
        <v>519</v>
      </c>
      <c r="W4" s="3482"/>
      <c r="X4" s="1501"/>
      <c r="Y4" s="3495" t="s">
        <v>521</v>
      </c>
      <c r="Z4" s="3496"/>
      <c r="AA4" s="3484" t="s">
        <v>517</v>
      </c>
      <c r="AB4" s="3485" t="s">
        <v>518</v>
      </c>
      <c r="AC4" s="3484" t="s">
        <v>519</v>
      </c>
    </row>
    <row r="5" spans="1:29" ht="15">
      <c r="A5" s="509"/>
      <c r="B5" s="510"/>
      <c r="C5" s="3503" t="s">
        <v>2893</v>
      </c>
      <c r="D5" s="3504"/>
      <c r="E5" s="3523" t="s">
        <v>2894</v>
      </c>
      <c r="F5" s="352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44277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2" t="s">
        <v>524</v>
      </c>
      <c r="Q7" s="3514"/>
      <c r="R7" s="1502" t="s">
        <v>8</v>
      </c>
      <c r="S7" s="1503">
        <f t="shared" ref="S7:S15" si="0">F7</f>
        <v>0</v>
      </c>
      <c r="T7" s="1502" t="s">
        <v>8</v>
      </c>
      <c r="U7" s="1503">
        <f t="shared" ref="U7:U15" si="1">H7</f>
        <v>0</v>
      </c>
      <c r="V7" s="1502" t="s">
        <v>8</v>
      </c>
      <c r="W7" s="1503">
        <f t="shared" ref="W7:W15"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1"/>
      <c r="Q11" s="1133" t="str">
        <f t="shared" si="6"/>
        <v>容积率</v>
      </c>
      <c r="R11" s="1502" t="s">
        <v>8</v>
      </c>
      <c r="S11" s="1503" t="e">
        <f t="shared" si="0"/>
        <v>#N/A</v>
      </c>
      <c r="T11" s="1502" t="s">
        <v>8</v>
      </c>
      <c r="U11" s="1503" t="e">
        <f t="shared" si="1"/>
        <v>#N/A</v>
      </c>
      <c r="V11" s="1502" t="s">
        <v>8</v>
      </c>
      <c r="W11" s="1503" t="e">
        <f t="shared" si="2"/>
        <v>#N/A</v>
      </c>
      <c r="X11" s="1504"/>
      <c r="Y11" s="342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15" t="s">
        <v>534</v>
      </c>
      <c r="Q15" s="1506" t="str">
        <f t="shared" si="6"/>
        <v>产业集聚程度</v>
      </c>
      <c r="R15" s="1507" t="s">
        <v>8</v>
      </c>
      <c r="S15" s="1508">
        <f t="shared" si="0"/>
        <v>100</v>
      </c>
      <c r="T15" s="1507" t="s">
        <v>8</v>
      </c>
      <c r="U15" s="1508">
        <f t="shared" si="1"/>
        <v>100</v>
      </c>
      <c r="V15" s="1507" t="s">
        <v>8</v>
      </c>
      <c r="W15" s="1508">
        <f t="shared" si="2"/>
        <v>100</v>
      </c>
      <c r="X15" s="1501"/>
      <c r="Y15" s="351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6"/>
      <c r="Q16" s="1506"/>
      <c r="R16" s="1507"/>
      <c r="S16" s="1508"/>
      <c r="T16" s="1507"/>
      <c r="U16" s="1508"/>
      <c r="V16" s="1507"/>
      <c r="W16" s="1508"/>
      <c r="X16" s="1501"/>
      <c r="Y16" s="351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6"/>
      <c r="Q18" s="1506"/>
      <c r="R18" s="1507"/>
      <c r="S18" s="1508"/>
      <c r="T18" s="1507"/>
      <c r="U18" s="1508"/>
      <c r="V18" s="1507"/>
      <c r="W18" s="1508"/>
      <c r="X18" s="1501"/>
      <c r="Y18" s="3516"/>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16"/>
      <c r="Q20" s="1506"/>
      <c r="R20" s="1507"/>
      <c r="S20" s="1508"/>
      <c r="T20" s="1507"/>
      <c r="U20" s="1508"/>
      <c r="V20" s="1507"/>
      <c r="W20" s="1508"/>
      <c r="X20" s="1501"/>
      <c r="Y20" s="3516"/>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16"/>
      <c r="Q21" s="2429" t="str">
        <f>B21</f>
        <v>基础设施水平</v>
      </c>
      <c r="R21" s="1507" t="s">
        <v>8</v>
      </c>
      <c r="S21" s="1508">
        <f>F21</f>
        <v>100</v>
      </c>
      <c r="T21" s="1507" t="s">
        <v>8</v>
      </c>
      <c r="U21" s="1508">
        <f>H21</f>
        <v>100</v>
      </c>
      <c r="V21" s="1507" t="s">
        <v>8</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16"/>
      <c r="Q22" s="2429"/>
      <c r="R22" s="1507"/>
      <c r="S22" s="1508"/>
      <c r="T22" s="1507"/>
      <c r="U22" s="1508"/>
      <c r="V22" s="1507"/>
      <c r="W22" s="1508"/>
      <c r="X22" s="2431"/>
      <c r="Y22" s="351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16"/>
      <c r="Q23" s="1506" t="str">
        <f>B23</f>
        <v>环境质量</v>
      </c>
      <c r="R23" s="1507" t="s">
        <v>8</v>
      </c>
      <c r="S23" s="1508">
        <f>F23</f>
        <v>100</v>
      </c>
      <c r="T23" s="1507" t="s">
        <v>8</v>
      </c>
      <c r="U23" s="1508">
        <f>H23</f>
        <v>100</v>
      </c>
      <c r="V23" s="1507" t="s">
        <v>8</v>
      </c>
      <c r="W23" s="1508">
        <f>J23</f>
        <v>100</v>
      </c>
      <c r="X23" s="1501"/>
      <c r="Y23" s="351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16"/>
      <c r="Q24" s="1506"/>
      <c r="R24" s="1507"/>
      <c r="S24" s="1508"/>
      <c r="T24" s="1507"/>
      <c r="U24" s="1508"/>
      <c r="V24" s="1507"/>
      <c r="W24" s="1508"/>
      <c r="X24" s="1501"/>
      <c r="Y24" s="351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16"/>
      <c r="Q25" s="1506">
        <f>B25</f>
        <v>111</v>
      </c>
      <c r="R25" s="1507" t="s">
        <v>8</v>
      </c>
      <c r="S25" s="1508">
        <f>F25</f>
        <v>100</v>
      </c>
      <c r="T25" s="1507" t="s">
        <v>8</v>
      </c>
      <c r="U25" s="1508">
        <f>H25</f>
        <v>100</v>
      </c>
      <c r="V25" s="1507" t="s">
        <v>8</v>
      </c>
      <c r="W25" s="1508">
        <f>J25</f>
        <v>100</v>
      </c>
      <c r="X25" s="1501"/>
      <c r="Y25" s="351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16"/>
      <c r="Q26" s="1506">
        <f t="shared" ref="Q26:Q40" si="11">B26</f>
        <v>111</v>
      </c>
      <c r="R26" s="1507" t="s">
        <v>8</v>
      </c>
      <c r="S26" s="1508">
        <f>F26</f>
        <v>100</v>
      </c>
      <c r="T26" s="1507" t="s">
        <v>8</v>
      </c>
      <c r="U26" s="1508">
        <f>H26</f>
        <v>100</v>
      </c>
      <c r="V26" s="1507" t="s">
        <v>8</v>
      </c>
      <c r="W26" s="1508">
        <f>J26</f>
        <v>100</v>
      </c>
      <c r="X26" s="1501"/>
      <c r="Y26" s="351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16"/>
      <c r="Q27" s="1133">
        <f t="shared" si="11"/>
        <v>111</v>
      </c>
      <c r="R27" s="1502" t="s">
        <v>8</v>
      </c>
      <c r="S27" s="1503">
        <f>F27</f>
        <v>100</v>
      </c>
      <c r="T27" s="1502" t="s">
        <v>8</v>
      </c>
      <c r="U27" s="1503">
        <f>H27</f>
        <v>100</v>
      </c>
      <c r="V27" s="1502" t="s">
        <v>8</v>
      </c>
      <c r="W27" s="1503">
        <f>J27</f>
        <v>100</v>
      </c>
      <c r="X27" s="1504"/>
      <c r="Y27" s="3516"/>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16"/>
      <c r="Q28" s="1506">
        <f t="shared" si="11"/>
        <v>111</v>
      </c>
      <c r="R28" s="1507" t="s">
        <v>8</v>
      </c>
      <c r="S28" s="1508">
        <f t="shared" ref="S28:S40" si="12">F28</f>
        <v>100</v>
      </c>
      <c r="T28" s="1507" t="s">
        <v>8</v>
      </c>
      <c r="U28" s="1508">
        <f t="shared" ref="U28:U40" si="13">H28</f>
        <v>100</v>
      </c>
      <c r="V28" s="1507" t="s">
        <v>8</v>
      </c>
      <c r="W28" s="1508">
        <f t="shared" ref="W28:W40" si="14">J28</f>
        <v>100</v>
      </c>
      <c r="X28" s="1501"/>
      <c r="Y28" s="3516"/>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17" t="s">
        <v>544</v>
      </c>
      <c r="Q29" s="1506" t="str">
        <f t="shared" si="11"/>
        <v>建筑类型</v>
      </c>
      <c r="R29" s="1507" t="s">
        <v>8</v>
      </c>
      <c r="S29" s="1508">
        <f t="shared" si="12"/>
        <v>100</v>
      </c>
      <c r="T29" s="1507" t="s">
        <v>8</v>
      </c>
      <c r="U29" s="1508">
        <f t="shared" si="13"/>
        <v>100</v>
      </c>
      <c r="V29" s="1507" t="s">
        <v>8</v>
      </c>
      <c r="W29" s="1508">
        <f t="shared" si="14"/>
        <v>100</v>
      </c>
      <c r="X29" s="1501"/>
      <c r="Y29" s="351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18"/>
      <c r="Q30" s="1535" t="str">
        <f t="shared" si="11"/>
        <v>项目建筑规模</v>
      </c>
      <c r="R30" s="1511" t="s">
        <v>8</v>
      </c>
      <c r="S30" s="1512" t="e">
        <f t="shared" si="12"/>
        <v>#N/A</v>
      </c>
      <c r="T30" s="1511" t="s">
        <v>8</v>
      </c>
      <c r="U30" s="1512" t="e">
        <f t="shared" si="13"/>
        <v>#N/A</v>
      </c>
      <c r="V30" s="1511" t="s">
        <v>8</v>
      </c>
      <c r="W30" s="1512" t="e">
        <f t="shared" si="14"/>
        <v>#N/A</v>
      </c>
      <c r="X30" s="1513"/>
      <c r="Y30" s="351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18"/>
      <c r="Q31" s="1506" t="str">
        <f t="shared" si="11"/>
        <v>建筑结构</v>
      </c>
      <c r="R31" s="1507" t="s">
        <v>8</v>
      </c>
      <c r="S31" s="1508">
        <f t="shared" si="12"/>
        <v>100</v>
      </c>
      <c r="T31" s="1507" t="s">
        <v>8</v>
      </c>
      <c r="U31" s="1508">
        <f t="shared" si="13"/>
        <v>100</v>
      </c>
      <c r="V31" s="1507" t="s">
        <v>8</v>
      </c>
      <c r="W31" s="1508">
        <f t="shared" si="14"/>
        <v>100</v>
      </c>
      <c r="X31" s="1501"/>
      <c r="Y31" s="351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18"/>
      <c r="Q32" s="1506" t="str">
        <f t="shared" si="11"/>
        <v>公共部分装修</v>
      </c>
      <c r="R32" s="1507" t="s">
        <v>8</v>
      </c>
      <c r="S32" s="1508">
        <f t="shared" si="12"/>
        <v>100</v>
      </c>
      <c r="T32" s="1507" t="s">
        <v>8</v>
      </c>
      <c r="U32" s="1508">
        <f t="shared" si="13"/>
        <v>100</v>
      </c>
      <c r="V32" s="1507" t="s">
        <v>8</v>
      </c>
      <c r="W32" s="1508">
        <f t="shared" si="14"/>
        <v>100</v>
      </c>
      <c r="X32" s="1501"/>
      <c r="Y32" s="351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18"/>
      <c r="Q33" s="1506" t="str">
        <f t="shared" si="11"/>
        <v>成新度</v>
      </c>
      <c r="R33" s="1507" t="s">
        <v>8</v>
      </c>
      <c r="S33" s="1508" t="e">
        <f t="shared" si="12"/>
        <v>#N/A</v>
      </c>
      <c r="T33" s="1507" t="s">
        <v>8</v>
      </c>
      <c r="U33" s="1508" t="e">
        <f t="shared" si="13"/>
        <v>#N/A</v>
      </c>
      <c r="V33" s="1507" t="s">
        <v>8</v>
      </c>
      <c r="W33" s="1508" t="e">
        <f t="shared" si="14"/>
        <v>#N/A</v>
      </c>
      <c r="X33" s="1501"/>
      <c r="Y33" s="351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18"/>
      <c r="Q34" s="1133" t="str">
        <f t="shared" si="11"/>
        <v>物业管理</v>
      </c>
      <c r="R34" s="1502" t="s">
        <v>8</v>
      </c>
      <c r="S34" s="1503">
        <f t="shared" si="12"/>
        <v>100</v>
      </c>
      <c r="T34" s="1502" t="s">
        <v>8</v>
      </c>
      <c r="U34" s="1503">
        <f t="shared" si="13"/>
        <v>100</v>
      </c>
      <c r="V34" s="1502" t="s">
        <v>8</v>
      </c>
      <c r="W34" s="1503">
        <f t="shared" si="14"/>
        <v>100</v>
      </c>
      <c r="X34" s="1504"/>
      <c r="Y34" s="3518"/>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18" t="s">
        <v>544</v>
      </c>
      <c r="Q35" s="1506" t="str">
        <f t="shared" si="11"/>
        <v>市政基础设施</v>
      </c>
      <c r="R35" s="1507" t="s">
        <v>8</v>
      </c>
      <c r="S35" s="1508">
        <f t="shared" si="12"/>
        <v>100</v>
      </c>
      <c r="T35" s="1507" t="s">
        <v>8</v>
      </c>
      <c r="U35" s="1508">
        <f t="shared" si="13"/>
        <v>100</v>
      </c>
      <c r="V35" s="1507" t="s">
        <v>8</v>
      </c>
      <c r="W35" s="1508">
        <f t="shared" si="14"/>
        <v>100</v>
      </c>
      <c r="X35" s="1501"/>
      <c r="Y35" s="351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18"/>
      <c r="Q36" s="1506" t="str">
        <f t="shared" si="11"/>
        <v>内部装修</v>
      </c>
      <c r="R36" s="1507" t="s">
        <v>8</v>
      </c>
      <c r="S36" s="1508">
        <f t="shared" si="12"/>
        <v>100</v>
      </c>
      <c r="T36" s="1507" t="s">
        <v>8</v>
      </c>
      <c r="U36" s="1508">
        <f t="shared" si="13"/>
        <v>100</v>
      </c>
      <c r="V36" s="1507" t="s">
        <v>8</v>
      </c>
      <c r="W36" s="1508">
        <f t="shared" si="14"/>
        <v>100</v>
      </c>
      <c r="X36" s="1501"/>
      <c r="Y36" s="351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18"/>
      <c r="Q37" s="1506" t="str">
        <f t="shared" si="11"/>
        <v>内部装修状况</v>
      </c>
      <c r="R37" s="1507" t="s">
        <v>8</v>
      </c>
      <c r="S37" s="1508">
        <f t="shared" si="12"/>
        <v>100</v>
      </c>
      <c r="T37" s="1507" t="s">
        <v>8</v>
      </c>
      <c r="U37" s="1508">
        <f t="shared" si="13"/>
        <v>100</v>
      </c>
      <c r="V37" s="1507" t="s">
        <v>8</v>
      </c>
      <c r="W37" s="1508">
        <f t="shared" si="14"/>
        <v>100</v>
      </c>
      <c r="X37" s="1501"/>
      <c r="Y37" s="351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18"/>
      <c r="Q38" s="1535">
        <f t="shared" si="11"/>
        <v>111</v>
      </c>
      <c r="R38" s="1511" t="s">
        <v>8</v>
      </c>
      <c r="S38" s="1512">
        <f t="shared" si="12"/>
        <v>100</v>
      </c>
      <c r="T38" s="1511" t="s">
        <v>8</v>
      </c>
      <c r="U38" s="1512">
        <f t="shared" si="13"/>
        <v>100</v>
      </c>
      <c r="V38" s="1511" t="s">
        <v>8</v>
      </c>
      <c r="W38" s="1512">
        <f t="shared" si="14"/>
        <v>100</v>
      </c>
      <c r="X38" s="1513"/>
      <c r="Y38" s="351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18"/>
      <c r="Q39" s="1506">
        <f t="shared" si="11"/>
        <v>111</v>
      </c>
      <c r="R39" s="1507" t="s">
        <v>8</v>
      </c>
      <c r="S39" s="1508">
        <f t="shared" si="12"/>
        <v>100</v>
      </c>
      <c r="T39" s="1507" t="s">
        <v>8</v>
      </c>
      <c r="U39" s="1508">
        <f t="shared" si="13"/>
        <v>100</v>
      </c>
      <c r="V39" s="1507" t="s">
        <v>8</v>
      </c>
      <c r="W39" s="1508">
        <f t="shared" si="14"/>
        <v>100</v>
      </c>
      <c r="X39" s="1501"/>
      <c r="Y39" s="3518"/>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0"/>
      <c r="Q40" s="1506">
        <f t="shared" si="11"/>
        <v>111</v>
      </c>
      <c r="R40" s="1507" t="s">
        <v>8</v>
      </c>
      <c r="S40" s="1508">
        <f t="shared" si="12"/>
        <v>100</v>
      </c>
      <c r="T40" s="1507" t="s">
        <v>8</v>
      </c>
      <c r="U40" s="1508">
        <f t="shared" si="13"/>
        <v>100</v>
      </c>
      <c r="V40" s="1507" t="s">
        <v>8</v>
      </c>
      <c r="W40" s="1508">
        <f t="shared" si="14"/>
        <v>100</v>
      </c>
      <c r="X40" s="1501"/>
      <c r="Y40" s="3600"/>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81" t="str">
        <f>A41</f>
        <v>成交单价（元/平方米）</v>
      </c>
      <c r="Q41" s="3481"/>
      <c r="R41" s="3599">
        <f>E41</f>
        <v>0</v>
      </c>
      <c r="S41" s="3599"/>
      <c r="T41" s="3599">
        <f>G41</f>
        <v>0</v>
      </c>
      <c r="U41" s="3599"/>
      <c r="V41" s="3599">
        <f>I41</f>
        <v>0</v>
      </c>
      <c r="W41" s="3599"/>
      <c r="X41" s="1496"/>
      <c r="Y41" s="1515"/>
      <c r="Z41" s="1496"/>
      <c r="AA41" s="1496"/>
      <c r="AB41" s="1496"/>
      <c r="AC41" s="1496"/>
    </row>
    <row r="42" spans="1:29" ht="15.75" thickBot="1">
      <c r="A42" s="609" t="s">
        <v>2741</v>
      </c>
      <c r="B42" s="876"/>
      <c r="C42" s="2476" t="e">
        <f>R43</f>
        <v>#DIV/0!</v>
      </c>
      <c r="D42" s="3014" t="s">
        <v>2967</v>
      </c>
      <c r="E42" s="2477" t="e">
        <f>R42</f>
        <v>#DIV/0!</v>
      </c>
      <c r="F42" s="3015"/>
      <c r="G42" s="2476" t="e">
        <f>T42</f>
        <v>#DIV/0!</v>
      </c>
      <c r="H42" s="3015"/>
      <c r="I42" s="2477" t="e">
        <f>V42</f>
        <v>#DIV/0!</v>
      </c>
      <c r="J42" s="3015"/>
      <c r="K42" s="3023">
        <f>F42+H42+J42</f>
        <v>0</v>
      </c>
      <c r="L42" s="2026"/>
      <c r="M42" s="2027"/>
      <c r="N42" s="2016"/>
      <c r="O42" s="2027"/>
      <c r="P42" s="3481" t="str">
        <f>A42</f>
        <v>比较价格（元/平方米）</v>
      </c>
      <c r="Q42" s="3481"/>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478" t="str">
        <f>A43</f>
        <v>估价对象XX用房的比较价格（楼面单价，元/平方米）</v>
      </c>
      <c r="Q43" s="3479"/>
      <c r="R43" s="3598" t="e">
        <f>IF(F1="售价",ROUND(IF(D42="简单平均",AVERAGE(R42:V42),R42*F42+T42*H42+V42*J42),0),ROUND(IF(D42="简单平均",AVERAGE(R42:V42),R42*F42+T42*H42+V42*J42),1))</f>
        <v>#DIV/0!</v>
      </c>
      <c r="S43" s="3598"/>
      <c r="T43" s="3598"/>
      <c r="U43" s="3598"/>
      <c r="V43" s="3598"/>
      <c r="W43" s="3598"/>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87" t="s">
        <v>792</v>
      </c>
      <c r="D4" s="3488"/>
      <c r="E4" s="3487" t="s">
        <v>793</v>
      </c>
      <c r="F4" s="3488"/>
      <c r="G4" s="3487" t="s">
        <v>794</v>
      </c>
      <c r="H4" s="3488"/>
      <c r="I4" s="3487" t="s">
        <v>795</v>
      </c>
      <c r="J4" s="3488"/>
      <c r="K4" s="508" t="s">
        <v>796</v>
      </c>
      <c r="L4" s="2015"/>
      <c r="M4" s="2016"/>
      <c r="N4" s="2016"/>
      <c r="O4" s="2016"/>
      <c r="P4" s="3489" t="s">
        <v>797</v>
      </c>
      <c r="Q4" s="3490"/>
      <c r="R4" s="3495" t="s">
        <v>793</v>
      </c>
      <c r="S4" s="3496"/>
      <c r="T4" s="3495" t="s">
        <v>794</v>
      </c>
      <c r="U4" s="3496"/>
      <c r="V4" s="3482" t="s">
        <v>795</v>
      </c>
      <c r="W4" s="3482"/>
      <c r="X4" s="1501"/>
      <c r="Y4" s="3495" t="s">
        <v>797</v>
      </c>
      <c r="Z4" s="3496"/>
      <c r="AA4" s="3484" t="s">
        <v>793</v>
      </c>
      <c r="AB4" s="3485" t="s">
        <v>794</v>
      </c>
      <c r="AC4" s="3484" t="s">
        <v>795</v>
      </c>
    </row>
    <row r="5" spans="1:29" ht="15">
      <c r="A5" s="509"/>
      <c r="B5" s="510"/>
      <c r="C5" s="3503" t="s">
        <v>2893</v>
      </c>
      <c r="D5" s="3504"/>
      <c r="E5" s="3503" t="s">
        <v>2894</v>
      </c>
      <c r="F5" s="350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05" t="s">
        <v>2897</v>
      </c>
      <c r="F6" s="3506"/>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44277</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2" t="s">
        <v>524</v>
      </c>
      <c r="Q7" s="3514"/>
      <c r="R7" s="1502" t="s">
        <v>8</v>
      </c>
      <c r="S7" s="1503">
        <f t="shared" ref="S7:S14" si="0">F7</f>
        <v>0</v>
      </c>
      <c r="T7" s="1502" t="s">
        <v>8</v>
      </c>
      <c r="U7" s="1503">
        <f t="shared" ref="U7:U14" si="1">H7</f>
        <v>0</v>
      </c>
      <c r="V7" s="1502" t="s">
        <v>8</v>
      </c>
      <c r="W7" s="1503">
        <f t="shared" ref="W7:W14"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1" t="s">
        <v>529</v>
      </c>
      <c r="Q9" s="1133" t="str">
        <f t="shared" ref="Q9:Q14" si="6">B9</f>
        <v>用途</v>
      </c>
      <c r="R9" s="1502" t="s">
        <v>8</v>
      </c>
      <c r="S9" s="1503">
        <f t="shared" si="0"/>
        <v>100</v>
      </c>
      <c r="T9" s="1502" t="s">
        <v>8</v>
      </c>
      <c r="U9" s="1503">
        <f t="shared" si="1"/>
        <v>100</v>
      </c>
      <c r="V9" s="1502" t="s">
        <v>8</v>
      </c>
      <c r="W9" s="1503">
        <f t="shared" si="2"/>
        <v>100</v>
      </c>
      <c r="X9" s="1504"/>
      <c r="Y9" s="3427"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1"/>
      <c r="Q11" s="1133">
        <f t="shared" si="6"/>
        <v>111</v>
      </c>
      <c r="R11" s="1502" t="s">
        <v>8</v>
      </c>
      <c r="S11" s="1503">
        <f t="shared" si="0"/>
        <v>100</v>
      </c>
      <c r="T11" s="1502" t="s">
        <v>8</v>
      </c>
      <c r="U11" s="1503">
        <f t="shared" si="1"/>
        <v>100</v>
      </c>
      <c r="V11" s="1502" t="s">
        <v>8</v>
      </c>
      <c r="W11" s="1503">
        <f t="shared" si="2"/>
        <v>100</v>
      </c>
      <c r="X11" s="1504"/>
      <c r="Y11" s="3427"/>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14">
      <c r="A14" s="2627" t="s">
        <v>2735</v>
      </c>
      <c r="B14" s="541"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15" t="s">
        <v>534</v>
      </c>
      <c r="Q14" s="1506" t="str">
        <f t="shared" si="6"/>
        <v>交通便捷度</v>
      </c>
      <c r="R14" s="1507" t="s">
        <v>8</v>
      </c>
      <c r="S14" s="1508">
        <f t="shared" si="0"/>
        <v>100</v>
      </c>
      <c r="T14" s="1507" t="s">
        <v>8</v>
      </c>
      <c r="U14" s="1508">
        <f t="shared" si="1"/>
        <v>100</v>
      </c>
      <c r="V14" s="1507" t="s">
        <v>8</v>
      </c>
      <c r="W14" s="1508">
        <f t="shared" si="2"/>
        <v>100</v>
      </c>
      <c r="X14" s="1501"/>
      <c r="Y14" s="351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16"/>
      <c r="Q15" s="1506"/>
      <c r="R15" s="1507"/>
      <c r="S15" s="1508"/>
      <c r="T15" s="1507"/>
      <c r="U15" s="1508"/>
      <c r="V15" s="1507"/>
      <c r="W15" s="1508"/>
      <c r="X15" s="1501"/>
      <c r="Y15" s="3516"/>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16"/>
      <c r="Q16" s="1506" t="str">
        <f>B16</f>
        <v>公共配套设施</v>
      </c>
      <c r="R16" s="1507" t="s">
        <v>8</v>
      </c>
      <c r="S16" s="1508">
        <f>F16</f>
        <v>100</v>
      </c>
      <c r="T16" s="1507" t="s">
        <v>8</v>
      </c>
      <c r="U16" s="1508">
        <f>H16</f>
        <v>100</v>
      </c>
      <c r="V16" s="1507" t="s">
        <v>8</v>
      </c>
      <c r="W16" s="1508">
        <f>J16</f>
        <v>100</v>
      </c>
      <c r="X16" s="1501"/>
      <c r="Y16" s="351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16"/>
      <c r="Q17" s="1506"/>
      <c r="R17" s="1507"/>
      <c r="S17" s="1508"/>
      <c r="T17" s="1507"/>
      <c r="U17" s="1508"/>
      <c r="V17" s="1507"/>
      <c r="W17" s="1508"/>
      <c r="X17" s="1501"/>
      <c r="Y17" s="3516"/>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16"/>
      <c r="Q18" s="2429" t="str">
        <f>B18</f>
        <v>基础设施水平</v>
      </c>
      <c r="R18" s="1507" t="s">
        <v>8</v>
      </c>
      <c r="S18" s="1508">
        <f>F18</f>
        <v>100</v>
      </c>
      <c r="T18" s="1507" t="s">
        <v>8</v>
      </c>
      <c r="U18" s="1508">
        <f>H18</f>
        <v>100</v>
      </c>
      <c r="V18" s="1507" t="s">
        <v>8</v>
      </c>
      <c r="W18" s="1508">
        <f>J18</f>
        <v>100</v>
      </c>
      <c r="X18" s="2431"/>
      <c r="Y18" s="351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16"/>
      <c r="Q19" s="2429"/>
      <c r="R19" s="1507"/>
      <c r="S19" s="1508"/>
      <c r="T19" s="1507"/>
      <c r="U19" s="1508"/>
      <c r="V19" s="1507"/>
      <c r="W19" s="1508"/>
      <c r="X19" s="2431"/>
      <c r="Y19" s="3516"/>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16"/>
      <c r="Q20" s="1506" t="str">
        <f>B20</f>
        <v>自然及人文环境</v>
      </c>
      <c r="R20" s="1507" t="s">
        <v>8</v>
      </c>
      <c r="S20" s="1508">
        <f>F20</f>
        <v>100</v>
      </c>
      <c r="T20" s="1507" t="s">
        <v>8</v>
      </c>
      <c r="U20" s="1508">
        <f>H20</f>
        <v>100</v>
      </c>
      <c r="V20" s="1507" t="s">
        <v>8</v>
      </c>
      <c r="W20" s="1508">
        <f>J20</f>
        <v>100</v>
      </c>
      <c r="X20" s="1501"/>
      <c r="Y20" s="351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16"/>
      <c r="Q21" s="1506"/>
      <c r="R21" s="1507"/>
      <c r="S21" s="1508"/>
      <c r="T21" s="1507"/>
      <c r="U21" s="1508"/>
      <c r="V21" s="1507"/>
      <c r="W21" s="1508"/>
      <c r="X21" s="1501"/>
      <c r="Y21" s="351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16"/>
      <c r="Q22" s="1506" t="str">
        <f>B22</f>
        <v>楼层</v>
      </c>
      <c r="R22" s="1507" t="s">
        <v>8</v>
      </c>
      <c r="S22" s="1508">
        <f>F22</f>
        <v>100</v>
      </c>
      <c r="T22" s="1507" t="s">
        <v>8</v>
      </c>
      <c r="U22" s="1508">
        <f>H22</f>
        <v>100</v>
      </c>
      <c r="V22" s="1507" t="s">
        <v>8</v>
      </c>
      <c r="W22" s="1508">
        <f>J22</f>
        <v>100</v>
      </c>
      <c r="X22" s="1501"/>
      <c r="Y22" s="351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16"/>
      <c r="Q23" s="1506">
        <f>B23</f>
        <v>111</v>
      </c>
      <c r="R23" s="1507" t="s">
        <v>8</v>
      </c>
      <c r="S23" s="1508">
        <f>F23</f>
        <v>100</v>
      </c>
      <c r="T23" s="1507" t="s">
        <v>8</v>
      </c>
      <c r="U23" s="1508">
        <f>H23</f>
        <v>100</v>
      </c>
      <c r="V23" s="1507" t="s">
        <v>8</v>
      </c>
      <c r="W23" s="1508">
        <f>J23</f>
        <v>100</v>
      </c>
      <c r="X23" s="1501"/>
      <c r="Y23" s="351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16"/>
      <c r="Q24" s="1506">
        <f t="shared" ref="Q24:Q36" si="11">B24</f>
        <v>111</v>
      </c>
      <c r="R24" s="1507" t="s">
        <v>8</v>
      </c>
      <c r="S24" s="1508">
        <f>F24</f>
        <v>100</v>
      </c>
      <c r="T24" s="1507" t="s">
        <v>8</v>
      </c>
      <c r="U24" s="1508">
        <f>H24</f>
        <v>100</v>
      </c>
      <c r="V24" s="1507" t="s">
        <v>8</v>
      </c>
      <c r="W24" s="1508">
        <f>J24</f>
        <v>100</v>
      </c>
      <c r="X24" s="1501"/>
      <c r="Y24" s="3516"/>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16"/>
      <c r="Q25" s="1133">
        <f t="shared" si="11"/>
        <v>111</v>
      </c>
      <c r="R25" s="1502" t="s">
        <v>8</v>
      </c>
      <c r="S25" s="1503">
        <f>F25</f>
        <v>100</v>
      </c>
      <c r="T25" s="1502" t="s">
        <v>8</v>
      </c>
      <c r="U25" s="1503">
        <f>H25</f>
        <v>100</v>
      </c>
      <c r="V25" s="1502" t="s">
        <v>8</v>
      </c>
      <c r="W25" s="1503">
        <f>J25</f>
        <v>100</v>
      </c>
      <c r="X25" s="1504"/>
      <c r="Y25" s="3516"/>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1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1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18"/>
      <c r="Q27" s="1535" t="str">
        <f t="shared" si="11"/>
        <v>项目停车位配比</v>
      </c>
      <c r="R27" s="1511" t="s">
        <v>8</v>
      </c>
      <c r="S27" s="1512">
        <f t="shared" si="12"/>
        <v>100</v>
      </c>
      <c r="T27" s="1511" t="s">
        <v>8</v>
      </c>
      <c r="U27" s="1512">
        <f t="shared" si="13"/>
        <v>100</v>
      </c>
      <c r="V27" s="1511" t="s">
        <v>8</v>
      </c>
      <c r="W27" s="1512">
        <f t="shared" si="14"/>
        <v>100</v>
      </c>
      <c r="X27" s="1513"/>
      <c r="Y27" s="351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18"/>
      <c r="Q28" s="1506" t="str">
        <f t="shared" si="11"/>
        <v>公共部分装修</v>
      </c>
      <c r="R28" s="1507" t="s">
        <v>8</v>
      </c>
      <c r="S28" s="1508">
        <f t="shared" si="12"/>
        <v>100</v>
      </c>
      <c r="T28" s="1507" t="s">
        <v>8</v>
      </c>
      <c r="U28" s="1508">
        <f t="shared" si="13"/>
        <v>100</v>
      </c>
      <c r="V28" s="1507" t="s">
        <v>8</v>
      </c>
      <c r="W28" s="1508">
        <f t="shared" si="14"/>
        <v>100</v>
      </c>
      <c r="X28" s="1501"/>
      <c r="Y28" s="351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18"/>
      <c r="Q29" s="1506" t="str">
        <f t="shared" si="11"/>
        <v>成新率</v>
      </c>
      <c r="R29" s="1507" t="s">
        <v>8</v>
      </c>
      <c r="S29" s="1508" t="e">
        <f t="shared" si="12"/>
        <v>#N/A</v>
      </c>
      <c r="T29" s="1507" t="s">
        <v>8</v>
      </c>
      <c r="U29" s="1508" t="e">
        <f t="shared" si="13"/>
        <v>#N/A</v>
      </c>
      <c r="V29" s="1507" t="s">
        <v>8</v>
      </c>
      <c r="W29" s="1508" t="e">
        <f t="shared" si="14"/>
        <v>#N/A</v>
      </c>
      <c r="X29" s="1501"/>
      <c r="Y29" s="351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18"/>
      <c r="Q30" s="1506" t="str">
        <f t="shared" si="11"/>
        <v>物业等级</v>
      </c>
      <c r="R30" s="1507" t="s">
        <v>8</v>
      </c>
      <c r="S30" s="1508">
        <f t="shared" si="12"/>
        <v>100</v>
      </c>
      <c r="T30" s="1507" t="s">
        <v>8</v>
      </c>
      <c r="U30" s="1508">
        <f t="shared" si="13"/>
        <v>100</v>
      </c>
      <c r="V30" s="1507" t="s">
        <v>8</v>
      </c>
      <c r="W30" s="1508">
        <f t="shared" si="14"/>
        <v>100</v>
      </c>
      <c r="X30" s="1501"/>
      <c r="Y30" s="351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18"/>
      <c r="Q31" s="1133" t="str">
        <f t="shared" si="11"/>
        <v>停车位面积</v>
      </c>
      <c r="R31" s="1502" t="s">
        <v>8</v>
      </c>
      <c r="S31" s="1503" t="e">
        <f t="shared" si="12"/>
        <v>#N/A</v>
      </c>
      <c r="T31" s="1502" t="s">
        <v>8</v>
      </c>
      <c r="U31" s="1503" t="e">
        <f t="shared" si="13"/>
        <v>#N/A</v>
      </c>
      <c r="V31" s="1502" t="s">
        <v>8</v>
      </c>
      <c r="W31" s="1503" t="e">
        <f t="shared" si="14"/>
        <v>#N/A</v>
      </c>
      <c r="X31" s="1504"/>
      <c r="Y31" s="351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18" t="s">
        <v>544</v>
      </c>
      <c r="Q32" s="1506" t="str">
        <f t="shared" si="11"/>
        <v>车位类型</v>
      </c>
      <c r="R32" s="1507" t="s">
        <v>8</v>
      </c>
      <c r="S32" s="1508">
        <f t="shared" si="12"/>
        <v>100</v>
      </c>
      <c r="T32" s="1507" t="s">
        <v>8</v>
      </c>
      <c r="U32" s="1508">
        <f t="shared" si="13"/>
        <v>100</v>
      </c>
      <c r="V32" s="1507" t="s">
        <v>8</v>
      </c>
      <c r="W32" s="1508">
        <f t="shared" si="14"/>
        <v>100</v>
      </c>
      <c r="X32" s="1501"/>
      <c r="Y32" s="351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18"/>
      <c r="Q33" s="1506" t="str">
        <f t="shared" si="11"/>
        <v>是否直接入户</v>
      </c>
      <c r="R33" s="1507" t="s">
        <v>8</v>
      </c>
      <c r="S33" s="1508">
        <f t="shared" si="12"/>
        <v>100</v>
      </c>
      <c r="T33" s="1507" t="s">
        <v>8</v>
      </c>
      <c r="U33" s="1508">
        <f t="shared" si="13"/>
        <v>100</v>
      </c>
      <c r="V33" s="1507" t="s">
        <v>8</v>
      </c>
      <c r="W33" s="1508">
        <f t="shared" si="14"/>
        <v>100</v>
      </c>
      <c r="X33" s="1501"/>
      <c r="Y33" s="351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18"/>
      <c r="Q34" s="1506">
        <f t="shared" si="11"/>
        <v>111</v>
      </c>
      <c r="R34" s="1507" t="s">
        <v>8</v>
      </c>
      <c r="S34" s="1508">
        <f t="shared" si="12"/>
        <v>100</v>
      </c>
      <c r="T34" s="1507" t="s">
        <v>8</v>
      </c>
      <c r="U34" s="1508">
        <f t="shared" si="13"/>
        <v>100</v>
      </c>
      <c r="V34" s="1507" t="s">
        <v>8</v>
      </c>
      <c r="W34" s="1508">
        <f t="shared" si="14"/>
        <v>100</v>
      </c>
      <c r="X34" s="1501"/>
      <c r="Y34" s="351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18"/>
      <c r="Q35" s="1535">
        <f t="shared" si="11"/>
        <v>111</v>
      </c>
      <c r="R35" s="1511" t="s">
        <v>8</v>
      </c>
      <c r="S35" s="1512">
        <f t="shared" si="12"/>
        <v>100</v>
      </c>
      <c r="T35" s="1511" t="s">
        <v>8</v>
      </c>
      <c r="U35" s="1512">
        <f t="shared" si="13"/>
        <v>100</v>
      </c>
      <c r="V35" s="1511" t="s">
        <v>8</v>
      </c>
      <c r="W35" s="1512">
        <f t="shared" si="14"/>
        <v>100</v>
      </c>
      <c r="X35" s="1513"/>
      <c r="Y35" s="3518"/>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18"/>
      <c r="Q36" s="1506">
        <f t="shared" si="11"/>
        <v>111</v>
      </c>
      <c r="R36" s="1507" t="s">
        <v>8</v>
      </c>
      <c r="S36" s="1508">
        <f t="shared" si="12"/>
        <v>100</v>
      </c>
      <c r="T36" s="1507" t="s">
        <v>8</v>
      </c>
      <c r="U36" s="1508">
        <f t="shared" si="13"/>
        <v>100</v>
      </c>
      <c r="V36" s="1507" t="s">
        <v>8</v>
      </c>
      <c r="W36" s="1508">
        <f t="shared" si="14"/>
        <v>100</v>
      </c>
      <c r="X36" s="1501"/>
      <c r="Y36" s="3518"/>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81" t="str">
        <f>A37</f>
        <v>成交单价</v>
      </c>
      <c r="Q37" s="3481"/>
      <c r="R37" s="3599">
        <f>E37</f>
        <v>0</v>
      </c>
      <c r="S37" s="3599"/>
      <c r="T37" s="3599">
        <f>G37</f>
        <v>0</v>
      </c>
      <c r="U37" s="3599"/>
      <c r="V37" s="3599">
        <f>I37</f>
        <v>0</v>
      </c>
      <c r="W37" s="3599"/>
      <c r="X37" s="1496"/>
      <c r="Y37" s="1515"/>
      <c r="Z37" s="1496"/>
      <c r="AA37" s="1496"/>
      <c r="AB37" s="1496"/>
      <c r="AC37" s="1496"/>
    </row>
    <row r="38" spans="1:29" ht="15.75" thickBot="1">
      <c r="A38" s="609" t="s">
        <v>2741</v>
      </c>
      <c r="B38" s="876"/>
      <c r="C38" s="2476" t="e">
        <f>R39</f>
        <v>#DIV/0!</v>
      </c>
      <c r="D38" s="3014" t="s">
        <v>2967</v>
      </c>
      <c r="E38" s="2477" t="e">
        <f>R38</f>
        <v>#DIV/0!</v>
      </c>
      <c r="F38" s="3015"/>
      <c r="G38" s="2476" t="e">
        <f>T38</f>
        <v>#DIV/0!</v>
      </c>
      <c r="H38" s="3015"/>
      <c r="I38" s="2477" t="e">
        <f>V38</f>
        <v>#DIV/0!</v>
      </c>
      <c r="J38" s="3015"/>
      <c r="K38" s="3023">
        <f>F38+H38+J38</f>
        <v>0</v>
      </c>
      <c r="L38" s="2026"/>
      <c r="M38" s="2027"/>
      <c r="N38" s="2027"/>
      <c r="O38" s="2027"/>
      <c r="P38" s="3481" t="str">
        <f>A38</f>
        <v>比较价格（元/平方米）</v>
      </c>
      <c r="Q38" s="3481"/>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478" t="str">
        <f>A39</f>
        <v>估价对象XX用房的比较价格（楼面单价，元/平方米）</v>
      </c>
      <c r="Q39" s="3479"/>
      <c r="R39" s="3598" t="e">
        <f>IF(F1="售价",ROUND(IF(D38="简单平均",AVERAGE(R38:W38),R38*F38+T38*H38+V38*J38),0),ROUND(IF(D38="简单平均",AVERAGE(R38:V38),R38*F38+T38*H38+V38*J38),1))</f>
        <v>#DIV/0!</v>
      </c>
      <c r="S39" s="3598"/>
      <c r="T39" s="3598"/>
      <c r="U39" s="3598"/>
      <c r="V39" s="3598"/>
      <c r="W39" s="3598"/>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87" t="s">
        <v>792</v>
      </c>
      <c r="D4" s="3488"/>
      <c r="E4" s="3521" t="s">
        <v>793</v>
      </c>
      <c r="F4" s="3522"/>
      <c r="G4" s="3487" t="s">
        <v>794</v>
      </c>
      <c r="H4" s="3488"/>
      <c r="I4" s="3487" t="s">
        <v>795</v>
      </c>
      <c r="J4" s="3488"/>
      <c r="K4" s="508" t="s">
        <v>796</v>
      </c>
      <c r="L4" s="2015"/>
      <c r="M4" s="2016"/>
      <c r="N4" s="2016"/>
      <c r="O4" s="2016"/>
      <c r="P4" s="3489" t="s">
        <v>797</v>
      </c>
      <c r="Q4" s="3490"/>
      <c r="R4" s="3495" t="s">
        <v>793</v>
      </c>
      <c r="S4" s="3496"/>
      <c r="T4" s="3495" t="s">
        <v>794</v>
      </c>
      <c r="U4" s="3496"/>
      <c r="V4" s="3482" t="s">
        <v>795</v>
      </c>
      <c r="W4" s="3482"/>
      <c r="X4" s="1501"/>
      <c r="Y4" s="3495" t="s">
        <v>797</v>
      </c>
      <c r="Z4" s="3496"/>
      <c r="AA4" s="3484" t="s">
        <v>793</v>
      </c>
      <c r="AB4" s="3485" t="s">
        <v>794</v>
      </c>
      <c r="AC4" s="3484" t="s">
        <v>795</v>
      </c>
    </row>
    <row r="5" spans="1:29" ht="15">
      <c r="A5" s="509"/>
      <c r="B5" s="510"/>
      <c r="C5" s="3503" t="s">
        <v>2893</v>
      </c>
      <c r="D5" s="3504"/>
      <c r="E5" s="3523" t="s">
        <v>2894</v>
      </c>
      <c r="F5" s="352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44277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2" t="s">
        <v>524</v>
      </c>
      <c r="Q7" s="3514"/>
      <c r="R7" s="1502" t="s">
        <v>8</v>
      </c>
      <c r="S7" s="1503">
        <f t="shared" ref="S7:S14" si="0">F7</f>
        <v>0</v>
      </c>
      <c r="T7" s="1502" t="s">
        <v>8</v>
      </c>
      <c r="U7" s="1503">
        <f t="shared" ref="U7:U14" si="1">H7</f>
        <v>0</v>
      </c>
      <c r="V7" s="1502" t="s">
        <v>8</v>
      </c>
      <c r="W7" s="1503">
        <f t="shared" ref="W7:W14"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1" t="s">
        <v>529</v>
      </c>
      <c r="Q9" s="1133" t="str">
        <f t="shared" ref="Q9:Q14" si="6">B9</f>
        <v>用途</v>
      </c>
      <c r="R9" s="1502" t="s">
        <v>8</v>
      </c>
      <c r="S9" s="1503">
        <f t="shared" si="0"/>
        <v>100</v>
      </c>
      <c r="T9" s="1502" t="s">
        <v>8</v>
      </c>
      <c r="U9" s="1503">
        <f t="shared" si="1"/>
        <v>100</v>
      </c>
      <c r="V9" s="1502" t="s">
        <v>8</v>
      </c>
      <c r="W9" s="1503">
        <f t="shared" si="2"/>
        <v>100</v>
      </c>
      <c r="X9" s="1504"/>
      <c r="Y9" s="3427"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81"/>
      <c r="Q11" s="1133">
        <f t="shared" si="6"/>
        <v>111</v>
      </c>
      <c r="R11" s="1502" t="s">
        <v>8</v>
      </c>
      <c r="S11" s="1503">
        <f t="shared" si="0"/>
        <v>100</v>
      </c>
      <c r="T11" s="1502" t="s">
        <v>8</v>
      </c>
      <c r="U11" s="1503">
        <f t="shared" si="1"/>
        <v>100</v>
      </c>
      <c r="V11" s="1502" t="s">
        <v>8</v>
      </c>
      <c r="W11" s="1503">
        <f t="shared" si="2"/>
        <v>100</v>
      </c>
      <c r="X11" s="1504"/>
      <c r="Y11" s="3427"/>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14">
      <c r="A14" s="2627" t="s">
        <v>2735</v>
      </c>
      <c r="B14" s="164"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15" t="s">
        <v>534</v>
      </c>
      <c r="Q14" s="1506" t="str">
        <f t="shared" si="6"/>
        <v>交通便捷度</v>
      </c>
      <c r="R14" s="1507" t="s">
        <v>8</v>
      </c>
      <c r="S14" s="1508">
        <f t="shared" si="0"/>
        <v>100</v>
      </c>
      <c r="T14" s="1507" t="s">
        <v>8</v>
      </c>
      <c r="U14" s="1508">
        <f t="shared" si="1"/>
        <v>100</v>
      </c>
      <c r="V14" s="1507" t="s">
        <v>8</v>
      </c>
      <c r="W14" s="1508">
        <f t="shared" si="2"/>
        <v>100</v>
      </c>
      <c r="X14" s="1501"/>
      <c r="Y14" s="351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16"/>
      <c r="Q15" s="1506"/>
      <c r="R15" s="1507"/>
      <c r="S15" s="1508"/>
      <c r="T15" s="1507"/>
      <c r="U15" s="1508"/>
      <c r="V15" s="1507"/>
      <c r="W15" s="1508"/>
      <c r="X15" s="1501"/>
      <c r="Y15" s="3516"/>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16"/>
      <c r="Q16" s="1506" t="str">
        <f>B16</f>
        <v>公共配套设施</v>
      </c>
      <c r="R16" s="1507" t="s">
        <v>8</v>
      </c>
      <c r="S16" s="1508">
        <f>F16</f>
        <v>100</v>
      </c>
      <c r="T16" s="1507" t="s">
        <v>8</v>
      </c>
      <c r="U16" s="1508">
        <f>H16</f>
        <v>100</v>
      </c>
      <c r="V16" s="1507" t="s">
        <v>8</v>
      </c>
      <c r="W16" s="1508">
        <f>J16</f>
        <v>100</v>
      </c>
      <c r="X16" s="1501"/>
      <c r="Y16" s="351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16"/>
      <c r="Q17" s="1506"/>
      <c r="R17" s="1507"/>
      <c r="S17" s="1508"/>
      <c r="T17" s="1507"/>
      <c r="U17" s="1508"/>
      <c r="V17" s="1507"/>
      <c r="W17" s="1508"/>
      <c r="X17" s="1501"/>
      <c r="Y17" s="3516"/>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16"/>
      <c r="Q18" s="2429" t="str">
        <f>B18</f>
        <v>基础设施水平</v>
      </c>
      <c r="R18" s="1507" t="s">
        <v>8</v>
      </c>
      <c r="S18" s="1508">
        <f>F18</f>
        <v>100</v>
      </c>
      <c r="T18" s="1507" t="s">
        <v>8</v>
      </c>
      <c r="U18" s="1508">
        <f>H18</f>
        <v>100</v>
      </c>
      <c r="V18" s="1507" t="s">
        <v>8</v>
      </c>
      <c r="W18" s="1508">
        <f>J18</f>
        <v>100</v>
      </c>
      <c r="X18" s="2431"/>
      <c r="Y18" s="351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16"/>
      <c r="Q19" s="2429"/>
      <c r="R19" s="1507"/>
      <c r="S19" s="1508"/>
      <c r="T19" s="1507"/>
      <c r="U19" s="1508"/>
      <c r="V19" s="1507"/>
      <c r="W19" s="1508"/>
      <c r="X19" s="2431"/>
      <c r="Y19" s="3516"/>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16"/>
      <c r="Q20" s="1506" t="str">
        <f>B20</f>
        <v>自然及人文环境</v>
      </c>
      <c r="R20" s="1507" t="s">
        <v>8</v>
      </c>
      <c r="S20" s="1508">
        <f>F20</f>
        <v>100</v>
      </c>
      <c r="T20" s="1507" t="s">
        <v>8</v>
      </c>
      <c r="U20" s="1508">
        <f>H20</f>
        <v>100</v>
      </c>
      <c r="V20" s="1507" t="s">
        <v>8</v>
      </c>
      <c r="W20" s="1508">
        <f>J20</f>
        <v>100</v>
      </c>
      <c r="X20" s="1501"/>
      <c r="Y20" s="351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16"/>
      <c r="Q21" s="1506"/>
      <c r="R21" s="1507"/>
      <c r="S21" s="1508"/>
      <c r="T21" s="1507"/>
      <c r="U21" s="1508"/>
      <c r="V21" s="1507"/>
      <c r="W21" s="1508"/>
      <c r="X21" s="1501"/>
      <c r="Y21" s="351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16"/>
      <c r="Q22" s="1506" t="str">
        <f>B22</f>
        <v>楼层</v>
      </c>
      <c r="R22" s="1507" t="s">
        <v>8</v>
      </c>
      <c r="S22" s="1508">
        <f>F22</f>
        <v>100</v>
      </c>
      <c r="T22" s="1507" t="s">
        <v>8</v>
      </c>
      <c r="U22" s="1508">
        <f>H22</f>
        <v>100</v>
      </c>
      <c r="V22" s="1507" t="s">
        <v>8</v>
      </c>
      <c r="W22" s="1508">
        <f>J22</f>
        <v>100</v>
      </c>
      <c r="X22" s="1501"/>
      <c r="Y22" s="351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16"/>
      <c r="Q23" s="1506">
        <f>B23</f>
        <v>111</v>
      </c>
      <c r="R23" s="1507" t="s">
        <v>8</v>
      </c>
      <c r="S23" s="1508">
        <f>F23</f>
        <v>100</v>
      </c>
      <c r="T23" s="1507" t="s">
        <v>8</v>
      </c>
      <c r="U23" s="1508">
        <f>H23</f>
        <v>100</v>
      </c>
      <c r="V23" s="1507" t="s">
        <v>8</v>
      </c>
      <c r="W23" s="1508">
        <f>J23</f>
        <v>100</v>
      </c>
      <c r="X23" s="1501"/>
      <c r="Y23" s="351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16"/>
      <c r="Q24" s="1506">
        <f t="shared" ref="Q24:Q34" si="11">B24</f>
        <v>111</v>
      </c>
      <c r="R24" s="1507" t="s">
        <v>8</v>
      </c>
      <c r="S24" s="1508">
        <f>F24</f>
        <v>100</v>
      </c>
      <c r="T24" s="1507" t="s">
        <v>8</v>
      </c>
      <c r="U24" s="1508">
        <f>H24</f>
        <v>100</v>
      </c>
      <c r="V24" s="1507" t="s">
        <v>8</v>
      </c>
      <c r="W24" s="1508">
        <f>J24</f>
        <v>100</v>
      </c>
      <c r="X24" s="1501"/>
      <c r="Y24" s="3516"/>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16"/>
      <c r="Q25" s="1133">
        <f t="shared" si="11"/>
        <v>111</v>
      </c>
      <c r="R25" s="1502" t="s">
        <v>8</v>
      </c>
      <c r="S25" s="1503">
        <f>F25</f>
        <v>100</v>
      </c>
      <c r="T25" s="1502" t="s">
        <v>8</v>
      </c>
      <c r="U25" s="1503">
        <f>H25</f>
        <v>100</v>
      </c>
      <c r="V25" s="1502" t="s">
        <v>8</v>
      </c>
      <c r="W25" s="1503">
        <f>J25</f>
        <v>100</v>
      </c>
      <c r="X25" s="1504"/>
      <c r="Y25" s="3516"/>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1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1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18"/>
      <c r="Q27" s="1535" t="str">
        <f t="shared" si="11"/>
        <v>成新率</v>
      </c>
      <c r="R27" s="1511" t="s">
        <v>8</v>
      </c>
      <c r="S27" s="1512" t="e">
        <f t="shared" si="12"/>
        <v>#N/A</v>
      </c>
      <c r="T27" s="1511" t="s">
        <v>8</v>
      </c>
      <c r="U27" s="1512" t="e">
        <f t="shared" si="13"/>
        <v>#N/A</v>
      </c>
      <c r="V27" s="1511" t="s">
        <v>8</v>
      </c>
      <c r="W27" s="1512" t="e">
        <f t="shared" si="14"/>
        <v>#N/A</v>
      </c>
      <c r="X27" s="1513"/>
      <c r="Y27" s="351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18"/>
      <c r="Q28" s="1506" t="str">
        <f t="shared" si="11"/>
        <v>物业等级</v>
      </c>
      <c r="R28" s="1507" t="s">
        <v>8</v>
      </c>
      <c r="S28" s="1508">
        <f t="shared" si="12"/>
        <v>100</v>
      </c>
      <c r="T28" s="1507" t="s">
        <v>8</v>
      </c>
      <c r="U28" s="1508">
        <f t="shared" si="13"/>
        <v>100</v>
      </c>
      <c r="V28" s="1507" t="s">
        <v>8</v>
      </c>
      <c r="W28" s="1508">
        <f t="shared" si="14"/>
        <v>100</v>
      </c>
      <c r="X28" s="1501"/>
      <c r="Y28" s="351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18"/>
      <c r="Q29" s="1506" t="str">
        <f t="shared" si="11"/>
        <v>有无电梯</v>
      </c>
      <c r="R29" s="1507" t="s">
        <v>8</v>
      </c>
      <c r="S29" s="1508">
        <f t="shared" si="12"/>
        <v>100</v>
      </c>
      <c r="T29" s="1507" t="s">
        <v>8</v>
      </c>
      <c r="U29" s="1508">
        <f t="shared" si="13"/>
        <v>100</v>
      </c>
      <c r="V29" s="1507" t="s">
        <v>8</v>
      </c>
      <c r="W29" s="1508">
        <f t="shared" si="14"/>
        <v>100</v>
      </c>
      <c r="X29" s="1501"/>
      <c r="Y29" s="351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18"/>
      <c r="Q30" s="1506" t="str">
        <f t="shared" si="11"/>
        <v>建筑面积</v>
      </c>
      <c r="R30" s="1507" t="s">
        <v>8</v>
      </c>
      <c r="S30" s="1508" t="e">
        <f t="shared" si="12"/>
        <v>#N/A</v>
      </c>
      <c r="T30" s="1507" t="s">
        <v>8</v>
      </c>
      <c r="U30" s="1508" t="e">
        <f t="shared" si="13"/>
        <v>#N/A</v>
      </c>
      <c r="V30" s="1507" t="s">
        <v>8</v>
      </c>
      <c r="W30" s="1508" t="e">
        <f t="shared" si="14"/>
        <v>#N/A</v>
      </c>
      <c r="X30" s="1501"/>
      <c r="Y30" s="351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18"/>
      <c r="Q31" s="1133" t="str">
        <f t="shared" si="11"/>
        <v>是否封闭</v>
      </c>
      <c r="R31" s="1502" t="s">
        <v>8</v>
      </c>
      <c r="S31" s="1503">
        <f t="shared" si="12"/>
        <v>100</v>
      </c>
      <c r="T31" s="1502" t="s">
        <v>8</v>
      </c>
      <c r="U31" s="1503">
        <f t="shared" si="13"/>
        <v>100</v>
      </c>
      <c r="V31" s="1502" t="s">
        <v>8</v>
      </c>
      <c r="W31" s="1503">
        <f t="shared" si="14"/>
        <v>100</v>
      </c>
      <c r="X31" s="1504"/>
      <c r="Y31" s="351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18" t="s">
        <v>544</v>
      </c>
      <c r="Q32" s="1506">
        <f t="shared" si="11"/>
        <v>111</v>
      </c>
      <c r="R32" s="1507" t="s">
        <v>8</v>
      </c>
      <c r="S32" s="1508">
        <f t="shared" si="12"/>
        <v>100</v>
      </c>
      <c r="T32" s="1507" t="s">
        <v>8</v>
      </c>
      <c r="U32" s="1508">
        <f t="shared" si="13"/>
        <v>100</v>
      </c>
      <c r="V32" s="1507" t="s">
        <v>8</v>
      </c>
      <c r="W32" s="1508">
        <f t="shared" si="14"/>
        <v>100</v>
      </c>
      <c r="X32" s="1501"/>
      <c r="Y32" s="351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18"/>
      <c r="Q33" s="1506">
        <f t="shared" si="11"/>
        <v>111</v>
      </c>
      <c r="R33" s="1507" t="s">
        <v>8</v>
      </c>
      <c r="S33" s="1508">
        <f t="shared" si="12"/>
        <v>100</v>
      </c>
      <c r="T33" s="1507" t="s">
        <v>8</v>
      </c>
      <c r="U33" s="1508">
        <f t="shared" si="13"/>
        <v>100</v>
      </c>
      <c r="V33" s="1507" t="s">
        <v>8</v>
      </c>
      <c r="W33" s="1508">
        <f t="shared" si="14"/>
        <v>100</v>
      </c>
      <c r="X33" s="1501"/>
      <c r="Y33" s="3518"/>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18"/>
      <c r="Q34" s="1506">
        <f t="shared" si="11"/>
        <v>111</v>
      </c>
      <c r="R34" s="1507" t="s">
        <v>8</v>
      </c>
      <c r="S34" s="1508">
        <f t="shared" si="12"/>
        <v>100</v>
      </c>
      <c r="T34" s="1507" t="s">
        <v>8</v>
      </c>
      <c r="U34" s="1508">
        <f t="shared" si="13"/>
        <v>100</v>
      </c>
      <c r="V34" s="1507" t="s">
        <v>8</v>
      </c>
      <c r="W34" s="1508">
        <f t="shared" si="14"/>
        <v>100</v>
      </c>
      <c r="X34" s="1501"/>
      <c r="Y34" s="3518"/>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81" t="str">
        <f>A35</f>
        <v>成交单价（元/平方米）</v>
      </c>
      <c r="Q35" s="3481"/>
      <c r="R35" s="3599">
        <f>E35</f>
        <v>0</v>
      </c>
      <c r="S35" s="3599"/>
      <c r="T35" s="3599">
        <f>G35</f>
        <v>0</v>
      </c>
      <c r="U35" s="3599"/>
      <c r="V35" s="3599">
        <f>I35</f>
        <v>0</v>
      </c>
      <c r="W35" s="3599"/>
      <c r="X35" s="1496"/>
      <c r="Y35" s="1515"/>
      <c r="Z35" s="1496"/>
      <c r="AA35" s="1496"/>
      <c r="AB35" s="1496"/>
      <c r="AC35" s="1496"/>
    </row>
    <row r="36" spans="1:29" ht="15.75" thickBot="1">
      <c r="A36" s="609" t="s">
        <v>2741</v>
      </c>
      <c r="B36" s="876"/>
      <c r="C36" s="2476" t="e">
        <f>R37</f>
        <v>#DIV/0!</v>
      </c>
      <c r="D36" s="3014" t="s">
        <v>2968</v>
      </c>
      <c r="E36" s="2477" t="e">
        <f>R36</f>
        <v>#DIV/0!</v>
      </c>
      <c r="F36" s="3015"/>
      <c r="G36" s="2476" t="e">
        <f>T36</f>
        <v>#DIV/0!</v>
      </c>
      <c r="H36" s="3015"/>
      <c r="I36" s="2477" t="e">
        <f>V36</f>
        <v>#DIV/0!</v>
      </c>
      <c r="J36" s="3015"/>
      <c r="K36" s="3023">
        <f>F36+H36+J36</f>
        <v>0</v>
      </c>
      <c r="L36" s="2026"/>
      <c r="M36" s="2027"/>
      <c r="N36" s="2016"/>
      <c r="O36" s="2027"/>
      <c r="P36" s="3481" t="str">
        <f>A36</f>
        <v>比较价格（元/平方米）</v>
      </c>
      <c r="Q36" s="3481"/>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478" t="str">
        <f>A37</f>
        <v>估价对象XX用房的比较价格（楼面单价，元/平方米）</v>
      </c>
      <c r="Q37" s="3479"/>
      <c r="R37" s="3598" t="e">
        <f>IF(F1="售价",ROUND(IF(D36="简单平均",AVERAGE(R36:W36),R36*F36+T36*H36+V36*J36),0),ROUND(IF(D36="简单平均",AVERAGE(R36:V36),R36*F36+T36*H36+V36*J36),1))</f>
        <v>#DIV/0!</v>
      </c>
      <c r="S37" s="3598"/>
      <c r="T37" s="3598"/>
      <c r="U37" s="3598"/>
      <c r="V37" s="3598"/>
      <c r="W37" s="3598"/>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受贵公司委托，我公司对江苏省连云港海州区锦屏山东南侧4号地出让国有建设用地使用权进行了预评估。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294029.7平方米。</v>
      </c>
    </row>
    <row r="7" spans="1:4" ht="93.75">
      <c r="A7" s="2590" t="s">
        <v>2729</v>
      </c>
    </row>
    <row r="8" spans="1:4" ht="18.75">
      <c r="A8" s="1709" t="s">
        <v>1897</v>
      </c>
    </row>
    <row r="9" spans="1:4" ht="75">
      <c r="A9" s="1711"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2021年3月22日（评估专业人员勘察现场之日）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根据《国有土地使用证》[]，估价对象（分摊）出让国有建设用地使用权面积为85225.54平方米。根据《建设工程规划许可证》[]、《出让合同》[]，估价对象规划建筑面积为294029.7平方米。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22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0" t="s">
        <v>2292</v>
      </c>
      <c r="D1" s="3611"/>
      <c r="E1" s="3611"/>
      <c r="F1" s="3611"/>
      <c r="G1" s="3611"/>
      <c r="H1" s="3611"/>
      <c r="I1" s="3611"/>
      <c r="J1" s="3611"/>
      <c r="K1" s="3611"/>
      <c r="L1" s="3611"/>
      <c r="M1" s="3611"/>
      <c r="N1" s="3611"/>
      <c r="O1" s="3611"/>
      <c r="P1" s="3611"/>
      <c r="Q1" s="3611"/>
      <c r="R1" s="3611"/>
      <c r="S1" s="361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7" t="s">
        <v>20</v>
      </c>
      <c r="D22" s="3608"/>
      <c r="E22" s="3608"/>
      <c r="F22" s="3608"/>
      <c r="G22" s="3608"/>
      <c r="H22" s="3608"/>
      <c r="I22" s="3608"/>
      <c r="J22" s="3608"/>
      <c r="K22" s="3608"/>
      <c r="L22" s="3608"/>
      <c r="M22" s="3608"/>
      <c r="N22" s="3608"/>
      <c r="O22" s="3608"/>
      <c r="P22" s="3608"/>
      <c r="Q22" s="3609"/>
      <c r="R22" s="484" t="e">
        <f>ROUND(S22*10000/B22,0)</f>
        <v>#DIV/0!</v>
      </c>
      <c r="S22" s="53">
        <f>SUM(S24:S10000)</f>
        <v>0</v>
      </c>
    </row>
    <row r="23" spans="1:45" s="1542" customFormat="1" ht="24">
      <c r="A23" s="17" t="s">
        <v>824</v>
      </c>
      <c r="B23" s="2861"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44277</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1"/>
  <sheetViews>
    <sheetView topLeftCell="R1" workbookViewId="0">
      <pane xSplit="11310" topLeftCell="S1"/>
      <selection activeCell="A3" sqref="A3"/>
      <selection pane="topRight" activeCell="K1" sqref="K1"/>
    </sheetView>
  </sheetViews>
  <sheetFormatPr defaultRowHeight="13.5"/>
  <cols>
    <col min="1" max="1" width="32.125" customWidth="1"/>
    <col min="12" max="12" width="23.375" customWidth="1"/>
  </cols>
  <sheetData>
    <row r="1" spans="1:247">
      <c r="A1" s="2656" t="s">
        <v>3082</v>
      </c>
      <c r="B1" s="2656" t="s">
        <v>3083</v>
      </c>
      <c r="C1" s="2656" t="s">
        <v>3084</v>
      </c>
      <c r="D1" s="2656" t="s">
        <v>3085</v>
      </c>
      <c r="E1" s="2656" t="s">
        <v>3086</v>
      </c>
      <c r="F1" s="2656" t="s">
        <v>3087</v>
      </c>
      <c r="G1" s="2656" t="s">
        <v>3088</v>
      </c>
      <c r="H1" s="2656" t="s">
        <v>3089</v>
      </c>
      <c r="I1" s="2656" t="s">
        <v>3090</v>
      </c>
      <c r="J1" s="2656" t="s">
        <v>3091</v>
      </c>
      <c r="K1" s="2656" t="s">
        <v>3092</v>
      </c>
      <c r="L1" s="2656" t="s">
        <v>2021</v>
      </c>
      <c r="M1" s="2656" t="s">
        <v>3093</v>
      </c>
      <c r="N1" s="2656" t="s">
        <v>3079</v>
      </c>
      <c r="O1" s="2656" t="s">
        <v>3094</v>
      </c>
      <c r="P1" s="2656" t="s">
        <v>3095</v>
      </c>
      <c r="Q1" s="2656" t="s">
        <v>3096</v>
      </c>
      <c r="R1" s="2656" t="s">
        <v>3097</v>
      </c>
      <c r="S1" s="2656" t="s">
        <v>3098</v>
      </c>
      <c r="T1" s="2656" t="s">
        <v>3099</v>
      </c>
      <c r="U1" s="2656" t="s">
        <v>3100</v>
      </c>
      <c r="V1" s="2656" t="s">
        <v>3101</v>
      </c>
      <c r="W1" s="2656" t="s">
        <v>3102</v>
      </c>
      <c r="X1" s="2656" t="s">
        <v>3103</v>
      </c>
      <c r="Y1" s="2656" t="s">
        <v>3104</v>
      </c>
      <c r="Z1" s="2656" t="s">
        <v>3105</v>
      </c>
      <c r="AA1" s="2656" t="s">
        <v>3106</v>
      </c>
      <c r="AB1" s="2656" t="s">
        <v>3107</v>
      </c>
      <c r="AC1" s="2656" t="s">
        <v>3108</v>
      </c>
      <c r="AD1" s="2656" t="s">
        <v>3109</v>
      </c>
      <c r="AE1" s="2656" t="s">
        <v>3110</v>
      </c>
      <c r="AF1" s="2656" t="s">
        <v>3111</v>
      </c>
      <c r="AG1" s="2656" t="s">
        <v>3112</v>
      </c>
      <c r="AH1" s="2656" t="s">
        <v>3113</v>
      </c>
      <c r="AI1" s="2656" t="s">
        <v>3114</v>
      </c>
      <c r="AJ1" s="2656" t="s">
        <v>3115</v>
      </c>
      <c r="AK1" s="2656" t="s">
        <v>3116</v>
      </c>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row>
    <row r="2" spans="1:247">
      <c r="A2" s="2656" t="s">
        <v>3117</v>
      </c>
      <c r="B2" s="2656" t="s">
        <v>3118</v>
      </c>
      <c r="C2" s="2656" t="s">
        <v>3119</v>
      </c>
      <c r="D2" s="2656" t="s">
        <v>3120</v>
      </c>
      <c r="E2" s="3300" t="s">
        <v>3121</v>
      </c>
      <c r="F2" s="2656" t="s">
        <v>3117</v>
      </c>
      <c r="G2" s="2656" t="s">
        <v>3122</v>
      </c>
      <c r="H2" s="2656" t="s">
        <v>3123</v>
      </c>
      <c r="I2" s="2656" t="s">
        <v>3124</v>
      </c>
      <c r="J2" s="2656">
        <v>43392</v>
      </c>
      <c r="K2" s="2656">
        <v>65088</v>
      </c>
      <c r="L2" s="2656" t="s">
        <v>3125</v>
      </c>
      <c r="M2" s="2656" t="s">
        <v>2798</v>
      </c>
      <c r="N2" s="2656" t="s">
        <v>3126</v>
      </c>
      <c r="O2" s="2656" t="s">
        <v>3127</v>
      </c>
      <c r="P2" s="2656" t="s">
        <v>3128</v>
      </c>
      <c r="Q2" s="2656" t="s">
        <v>3129</v>
      </c>
      <c r="R2" s="2656" t="s">
        <v>3130</v>
      </c>
      <c r="S2" s="2656" t="s">
        <v>3130</v>
      </c>
      <c r="T2" s="2656" t="s">
        <v>3131</v>
      </c>
      <c r="U2" s="2656" t="s">
        <v>3132</v>
      </c>
      <c r="V2" s="2656" t="s">
        <v>3133</v>
      </c>
      <c r="W2" s="2656">
        <v>5540</v>
      </c>
      <c r="X2" s="2656">
        <v>5540</v>
      </c>
      <c r="Y2" s="2656">
        <v>5540</v>
      </c>
      <c r="Z2" s="2656">
        <v>85.12</v>
      </c>
      <c r="AA2" s="2656">
        <v>85.12</v>
      </c>
      <c r="AB2" s="2656">
        <v>851.15</v>
      </c>
      <c r="AC2" s="2656">
        <v>851.15</v>
      </c>
      <c r="AD2" s="2656" t="s">
        <v>2798</v>
      </c>
      <c r="AE2" s="2656" t="s">
        <v>2798</v>
      </c>
      <c r="AF2" s="2656">
        <v>0</v>
      </c>
      <c r="AG2" s="2656" t="s">
        <v>3134</v>
      </c>
      <c r="AH2" s="2656" t="s">
        <v>2798</v>
      </c>
      <c r="AI2" s="2656" t="s">
        <v>2798</v>
      </c>
      <c r="AJ2" s="2656" t="s">
        <v>2798</v>
      </c>
      <c r="AK2" s="2656" t="s">
        <v>3135</v>
      </c>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row>
    <row r="3" spans="1:247">
      <c r="A3" s="3304" t="s">
        <v>3160</v>
      </c>
      <c r="B3" s="2656" t="s">
        <v>3118</v>
      </c>
      <c r="C3" s="2656" t="s">
        <v>3119</v>
      </c>
      <c r="D3" s="2656" t="s">
        <v>3120</v>
      </c>
      <c r="E3" s="2656" t="s">
        <v>3137</v>
      </c>
      <c r="F3" s="2656" t="s">
        <v>3136</v>
      </c>
      <c r="G3" s="2656" t="s">
        <v>3122</v>
      </c>
      <c r="H3" s="2656" t="s">
        <v>3138</v>
      </c>
      <c r="I3" s="2656" t="s">
        <v>3139</v>
      </c>
      <c r="J3" s="2656">
        <v>22989</v>
      </c>
      <c r="K3" s="2656">
        <v>34483.5</v>
      </c>
      <c r="L3" s="2656" t="s">
        <v>3140</v>
      </c>
      <c r="M3" s="2656" t="s">
        <v>2798</v>
      </c>
      <c r="N3" s="2656" t="s">
        <v>3141</v>
      </c>
      <c r="O3" s="2656" t="s">
        <v>3144</v>
      </c>
      <c r="P3" s="2656" t="s">
        <v>3145</v>
      </c>
      <c r="Q3" s="2656" t="s">
        <v>3146</v>
      </c>
      <c r="R3" s="2656" t="s">
        <v>3147</v>
      </c>
      <c r="S3" s="2656" t="s">
        <v>3147</v>
      </c>
      <c r="T3" s="2656" t="s">
        <v>3148</v>
      </c>
      <c r="U3" s="2656" t="s">
        <v>3132</v>
      </c>
      <c r="V3" s="2656" t="s">
        <v>3149</v>
      </c>
      <c r="W3" s="2656">
        <v>2900</v>
      </c>
      <c r="X3" s="2656">
        <v>2900</v>
      </c>
      <c r="Y3" s="2656">
        <v>2900</v>
      </c>
      <c r="Z3" s="2656">
        <v>84.1</v>
      </c>
      <c r="AA3" s="2656">
        <v>84.1</v>
      </c>
      <c r="AB3" s="2656">
        <v>840.98</v>
      </c>
      <c r="AC3" s="2656">
        <v>840.98</v>
      </c>
      <c r="AD3" s="2656" t="s">
        <v>2798</v>
      </c>
      <c r="AE3" s="2656" t="s">
        <v>2798</v>
      </c>
      <c r="AF3" s="2656">
        <v>0</v>
      </c>
      <c r="AG3" s="2656" t="s">
        <v>3134</v>
      </c>
      <c r="AH3" s="2656" t="s">
        <v>2798</v>
      </c>
      <c r="AI3" s="2656" t="s">
        <v>2798</v>
      </c>
      <c r="AJ3" s="2656" t="s">
        <v>2798</v>
      </c>
      <c r="AK3" s="2656" t="s">
        <v>3151</v>
      </c>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row>
    <row r="4" spans="1:247">
      <c r="A4" s="2656" t="s">
        <v>3142</v>
      </c>
      <c r="B4" s="2656" t="s">
        <v>3118</v>
      </c>
      <c r="C4" s="2656" t="s">
        <v>3119</v>
      </c>
      <c r="D4" s="2656" t="s">
        <v>3120</v>
      </c>
      <c r="E4" s="2656" t="s">
        <v>3137</v>
      </c>
      <c r="F4" s="2656" t="s">
        <v>3142</v>
      </c>
      <c r="G4" s="2656" t="s">
        <v>3122</v>
      </c>
      <c r="H4" s="2656" t="s">
        <v>3143</v>
      </c>
      <c r="I4" s="2656" t="s">
        <v>3139</v>
      </c>
      <c r="J4" s="2656">
        <v>26568</v>
      </c>
      <c r="K4" s="2656">
        <v>39852</v>
      </c>
      <c r="L4" s="2656" t="s">
        <v>3140</v>
      </c>
      <c r="M4" s="2656" t="s">
        <v>2798</v>
      </c>
      <c r="N4" s="2656" t="s">
        <v>3141</v>
      </c>
      <c r="O4" s="2656" t="s">
        <v>3144</v>
      </c>
      <c r="P4" s="2656" t="s">
        <v>3145</v>
      </c>
      <c r="Q4" s="2656" t="s">
        <v>3146</v>
      </c>
      <c r="R4" s="2656" t="s">
        <v>3147</v>
      </c>
      <c r="S4" s="2656" t="s">
        <v>3147</v>
      </c>
      <c r="T4" s="2656" t="s">
        <v>3148</v>
      </c>
      <c r="U4" s="2656" t="s">
        <v>3132</v>
      </c>
      <c r="V4" s="2656" t="s">
        <v>3150</v>
      </c>
      <c r="W4" s="2656">
        <v>3360</v>
      </c>
      <c r="X4" s="2656">
        <v>3360</v>
      </c>
      <c r="Y4" s="2656">
        <v>3360</v>
      </c>
      <c r="Z4" s="2656">
        <v>84.31</v>
      </c>
      <c r="AA4" s="2656">
        <v>84.31</v>
      </c>
      <c r="AB4" s="2656">
        <v>843.11</v>
      </c>
      <c r="AC4" s="2656">
        <v>843.12</v>
      </c>
      <c r="AD4" s="2656" t="s">
        <v>2798</v>
      </c>
      <c r="AE4" s="2656" t="s">
        <v>2798</v>
      </c>
      <c r="AF4" s="2656">
        <v>0</v>
      </c>
      <c r="AG4" s="2656" t="s">
        <v>3134</v>
      </c>
      <c r="AH4" s="2656" t="s">
        <v>2798</v>
      </c>
      <c r="AI4" s="2656" t="s">
        <v>2798</v>
      </c>
      <c r="AJ4" s="2656" t="s">
        <v>2798</v>
      </c>
      <c r="AK4" s="2656" t="s">
        <v>3151</v>
      </c>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row>
    <row r="13" spans="1:247">
      <c r="V13">
        <v>1</v>
      </c>
      <c r="W13">
        <v>1</v>
      </c>
      <c r="X13">
        <v>3</v>
      </c>
      <c r="Y13" s="3301">
        <f ca="1">Y21/X21*X13</f>
        <v>12121.379310344828</v>
      </c>
    </row>
    <row r="14" spans="1:247">
      <c r="V14">
        <v>2</v>
      </c>
      <c r="W14">
        <v>0.6</v>
      </c>
      <c r="X14">
        <f>$X$13*W14</f>
        <v>1.7999999999999998</v>
      </c>
      <c r="Y14" s="3301">
        <f ca="1">W14*$Y$13</f>
        <v>7272.8275862068967</v>
      </c>
    </row>
    <row r="15" spans="1:247">
      <c r="V15">
        <v>3</v>
      </c>
      <c r="W15">
        <v>0.5</v>
      </c>
      <c r="X15">
        <f t="shared" ref="X15:X20" si="0">$X$13*W15</f>
        <v>1.5</v>
      </c>
      <c r="Y15" s="3301">
        <f t="shared" ref="Y15:Y20" ca="1" si="1">W15*$Y$13</f>
        <v>6060.6896551724139</v>
      </c>
    </row>
    <row r="16" spans="1:247">
      <c r="V16">
        <v>4</v>
      </c>
      <c r="W16">
        <v>0.45</v>
      </c>
      <c r="X16">
        <f t="shared" si="0"/>
        <v>1.35</v>
      </c>
      <c r="Y16" s="3301">
        <f t="shared" ca="1" si="1"/>
        <v>5454.620689655173</v>
      </c>
    </row>
    <row r="17" spans="22:25">
      <c r="V17">
        <v>5</v>
      </c>
      <c r="W17">
        <f t="shared" ref="W17:W20" si="2">W16</f>
        <v>0.45</v>
      </c>
      <c r="X17">
        <f t="shared" si="0"/>
        <v>1.35</v>
      </c>
      <c r="Y17" s="3301">
        <f t="shared" ca="1" si="1"/>
        <v>5454.620689655173</v>
      </c>
    </row>
    <row r="18" spans="22:25">
      <c r="V18">
        <v>6</v>
      </c>
      <c r="W18">
        <f t="shared" si="2"/>
        <v>0.45</v>
      </c>
      <c r="X18">
        <f t="shared" si="0"/>
        <v>1.35</v>
      </c>
      <c r="Y18" s="3301">
        <f t="shared" ca="1" si="1"/>
        <v>5454.620689655173</v>
      </c>
    </row>
    <row r="19" spans="22:25">
      <c r="V19">
        <v>7</v>
      </c>
      <c r="W19">
        <f t="shared" si="2"/>
        <v>0.45</v>
      </c>
      <c r="X19">
        <f t="shared" si="0"/>
        <v>1.35</v>
      </c>
      <c r="Y19" s="3301">
        <f t="shared" ca="1" si="1"/>
        <v>5454.620689655173</v>
      </c>
    </row>
    <row r="20" spans="22:25">
      <c r="V20">
        <v>8</v>
      </c>
      <c r="W20">
        <f t="shared" si="2"/>
        <v>0.45</v>
      </c>
      <c r="X20">
        <f t="shared" si="0"/>
        <v>1.35</v>
      </c>
      <c r="Y20" s="3301">
        <f t="shared" ca="1" si="1"/>
        <v>5454.620689655173</v>
      </c>
    </row>
    <row r="21" spans="22:25">
      <c r="X21">
        <f>SUM(X13:X20)/8</f>
        <v>1.6312499999999999</v>
      </c>
      <c r="Y21">
        <f ca="1">不动产收益法!C43</f>
        <v>6591</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2027</v>
      </c>
      <c r="B1" s="3310"/>
      <c r="C1" s="3310"/>
      <c r="D1" s="3310"/>
      <c r="E1" s="3310"/>
      <c r="F1" s="3310"/>
      <c r="G1" s="3310"/>
      <c r="H1" s="3310"/>
      <c r="I1" s="3310"/>
      <c r="J1" s="3310"/>
      <c r="K1" s="3310"/>
      <c r="L1" s="3310"/>
      <c r="M1" s="3310"/>
      <c r="N1" s="3310"/>
      <c r="O1" s="3310"/>
      <c r="P1" s="3310"/>
      <c r="Q1" s="3310"/>
      <c r="R1" s="3310"/>
    </row>
    <row r="2" spans="1:18">
      <c r="A2" s="1722" t="s">
        <v>2029</v>
      </c>
      <c r="B2" s="1722"/>
      <c r="C2" s="1722"/>
      <c r="D2" s="1722"/>
      <c r="E2" s="1722"/>
      <c r="F2" s="1722"/>
      <c r="G2" s="1722"/>
      <c r="H2" s="1722"/>
      <c r="I2" s="1723"/>
      <c r="J2" s="1723"/>
      <c r="K2" s="1724" t="str">
        <f>"估价期日："&amp;TEXT(项目基本情况!D3,"yyyy年m月d日;;")</f>
        <v>估价期日：2021年3月22日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1" t="s">
        <v>2018</v>
      </c>
      <c r="B3" s="3311" t="s">
        <v>2712</v>
      </c>
      <c r="C3" s="3312" t="s">
        <v>2019</v>
      </c>
      <c r="D3" s="3311" t="s">
        <v>2716</v>
      </c>
      <c r="E3" s="3306" t="s">
        <v>2020</v>
      </c>
      <c r="F3" s="3306"/>
      <c r="G3" s="3306"/>
      <c r="H3" s="3306" t="s">
        <v>2021</v>
      </c>
      <c r="I3" s="3306"/>
      <c r="J3" s="3306"/>
      <c r="K3" s="3312" t="s">
        <v>2022</v>
      </c>
      <c r="L3" s="3312" t="s">
        <v>2023</v>
      </c>
      <c r="M3" s="3311" t="s">
        <v>2713</v>
      </c>
      <c r="N3" s="3313" t="str">
        <f>"（分摊）"&amp;项目基本情况!B16&amp;"国有建设用地使用权面积/㎡"</f>
        <v>（分摊）出让国有建设用地使用权面积/㎡</v>
      </c>
      <c r="O3" s="3311" t="s">
        <v>2052</v>
      </c>
      <c r="P3" s="3312" t="s">
        <v>2032</v>
      </c>
      <c r="Q3" s="3312" t="s">
        <v>2053</v>
      </c>
      <c r="R3" s="3312" t="s">
        <v>2024</v>
      </c>
    </row>
    <row r="4" spans="1:18" ht="36.75" customHeight="1">
      <c r="A4" s="3311"/>
      <c r="B4" s="3311"/>
      <c r="C4" s="3312"/>
      <c r="D4" s="3311"/>
      <c r="E4" s="2491" t="s">
        <v>2031</v>
      </c>
      <c r="F4" s="2491" t="s">
        <v>2725</v>
      </c>
      <c r="G4" s="2491" t="s">
        <v>2025</v>
      </c>
      <c r="H4" s="2491" t="s">
        <v>2026</v>
      </c>
      <c r="I4" s="2491" t="s">
        <v>2726</v>
      </c>
      <c r="J4" s="2491" t="s">
        <v>2025</v>
      </c>
      <c r="K4" s="3312"/>
      <c r="L4" s="3312"/>
      <c r="M4" s="3311"/>
      <c r="N4" s="3313"/>
      <c r="O4" s="3311"/>
      <c r="P4" s="3312"/>
      <c r="Q4" s="3312"/>
      <c r="R4" s="3312"/>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85225.54</v>
      </c>
      <c r="O5" s="1725">
        <f>项目基本情况!C21</f>
        <v>294029.7</v>
      </c>
      <c r="P5" s="1725">
        <f ca="1">结果表!E42</f>
        <v>5684</v>
      </c>
      <c r="Q5" s="1725">
        <f ca="1">结果表!D42</f>
        <v>1648</v>
      </c>
      <c r="R5" s="1726">
        <f ca="1">结果表!C42</f>
        <v>48445</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27" t="str">
        <f>结果表!O39</f>
        <v>——</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27" t="str">
        <f>结果表!O40</f>
        <v>——</v>
      </c>
    </row>
    <row r="8" spans="1:18">
      <c r="A8" s="3307">
        <f>IF(项目基本情况!B9="市场价格","——",项目基本情况!E9)</f>
        <v>0</v>
      </c>
      <c r="B8" s="3308"/>
      <c r="C8" s="3308"/>
      <c r="D8" s="3308"/>
      <c r="E8" s="3308"/>
      <c r="F8" s="3308"/>
      <c r="G8" s="3308"/>
      <c r="H8" s="3308"/>
      <c r="I8" s="3308"/>
      <c r="J8" s="3308"/>
      <c r="K8" s="3308"/>
      <c r="L8" s="3308"/>
      <c r="M8" s="3308"/>
      <c r="N8" s="3308"/>
      <c r="O8" s="3308"/>
      <c r="P8" s="3308"/>
      <c r="Q8" s="330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5" t="s">
        <v>2054</v>
      </c>
      <c r="B1" s="3315"/>
      <c r="C1" s="3315"/>
      <c r="D1" s="3315"/>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4" t="s">
        <v>2055</v>
      </c>
      <c r="B5" s="3314"/>
      <c r="C5" s="3314"/>
      <c r="D5" s="3314"/>
    </row>
    <row r="6" spans="1:4">
      <c r="A6" s="3315" t="s">
        <v>2033</v>
      </c>
      <c r="B6" s="3315"/>
      <c r="C6" s="3315"/>
      <c r="D6" s="3315"/>
    </row>
    <row r="7" spans="1:4" ht="33" customHeight="1">
      <c r="A7" s="3315" t="s">
        <v>2556</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7"/>
      <c r="C11" s="3317"/>
      <c r="D11" s="3317"/>
    </row>
    <row r="12" spans="1:4" ht="168" customHeight="1">
      <c r="A12" s="3314" t="s">
        <v>2057</v>
      </c>
      <c r="B12" s="3314"/>
      <c r="C12" s="3314"/>
      <c r="D12" s="3314"/>
    </row>
    <row r="13" spans="1:4">
      <c r="A13" s="3318" t="s">
        <v>2727</v>
      </c>
      <c r="B13" s="3318"/>
      <c r="C13" s="3318"/>
      <c r="D13" s="3318"/>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2683</v>
      </c>
      <c r="B17" s="3315"/>
      <c r="C17" s="3315"/>
      <c r="D17" s="3315"/>
    </row>
    <row r="18" spans="1:4">
      <c r="A18" s="3315" t="s">
        <v>2675</v>
      </c>
      <c r="B18" s="3315"/>
      <c r="C18" s="3315"/>
      <c r="D18" s="3315"/>
    </row>
    <row r="19" spans="1:4">
      <c r="A19" s="2585" t="s">
        <v>2676</v>
      </c>
      <c r="B19" s="2585" t="s">
        <v>2677</v>
      </c>
      <c r="C19" s="2585" t="s">
        <v>2678</v>
      </c>
      <c r="D19" s="2585" t="s">
        <v>2679</v>
      </c>
    </row>
    <row r="20" spans="1:4">
      <c r="A20" s="2585" t="str">
        <f>项目基本情况!B4</f>
        <v>王鹏</v>
      </c>
      <c r="B20" s="2585">
        <f ca="1">项目基本情况!C4</f>
        <v>2002110030</v>
      </c>
      <c r="C20" s="2587"/>
      <c r="D20" s="1715" t="s">
        <v>2684</v>
      </c>
    </row>
    <row r="21" spans="1:4">
      <c r="A21" s="2585" t="str">
        <f>项目基本情况!D4</f>
        <v>郑燚</v>
      </c>
      <c r="B21" s="2585">
        <f ca="1">项目基本情况!E4</f>
        <v>2014110011</v>
      </c>
      <c r="C21" s="2587"/>
      <c r="D21" s="1715" t="s">
        <v>2685</v>
      </c>
    </row>
    <row r="23" spans="1:4">
      <c r="A23" s="3315" t="s">
        <v>2680</v>
      </c>
      <c r="B23" s="3315"/>
      <c r="C23" s="3315"/>
      <c r="D23" s="3315"/>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6" t="s">
        <v>53</v>
      </c>
      <c r="B15" s="3327" t="s">
        <v>838</v>
      </c>
      <c r="C15" s="3323"/>
    </row>
    <row r="16" spans="1:7" ht="14.25">
      <c r="A16" s="3326"/>
      <c r="B16" s="3324" t="s">
        <v>54</v>
      </c>
      <c r="C16" s="1154" t="s">
        <v>53</v>
      </c>
    </row>
    <row r="17" spans="1:3" ht="14.25">
      <c r="A17" s="3326"/>
      <c r="B17" s="3324"/>
      <c r="C17" s="1154" t="s">
        <v>55</v>
      </c>
    </row>
    <row r="18" spans="1:3" ht="14.25">
      <c r="A18" s="3326"/>
      <c r="B18" s="3324"/>
      <c r="C18" s="1154" t="s">
        <v>56</v>
      </c>
    </row>
    <row r="19" spans="1:3" ht="14.25">
      <c r="A19" s="3326"/>
      <c r="B19" s="3322" t="s">
        <v>57</v>
      </c>
      <c r="C19" s="3323"/>
    </row>
    <row r="20" spans="1:3" ht="14.25">
      <c r="A20" s="1155" t="s">
        <v>58</v>
      </c>
      <c r="B20" s="1156"/>
      <c r="C20" s="1157"/>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8" t="s">
        <v>829</v>
      </c>
    </row>
    <row r="25" spans="1:3" ht="14.25">
      <c r="A25" s="3325"/>
      <c r="B25" s="3329"/>
      <c r="C25" s="1158" t="s">
        <v>830</v>
      </c>
    </row>
    <row r="26" spans="1:3" ht="14.25">
      <c r="A26" s="3325"/>
      <c r="B26" s="3329"/>
      <c r="C26" s="1158" t="s">
        <v>831</v>
      </c>
    </row>
    <row r="27" spans="1:3" ht="14.25">
      <c r="A27" s="3325"/>
      <c r="B27" s="3329"/>
      <c r="C27" s="1158" t="s">
        <v>832</v>
      </c>
    </row>
    <row r="28" spans="1:3" ht="14.25">
      <c r="A28" s="3325"/>
      <c r="B28" s="3329"/>
      <c r="C28" s="1158" t="s">
        <v>833</v>
      </c>
    </row>
    <row r="29" spans="1:3" ht="14.25">
      <c r="A29" s="3325"/>
      <c r="B29" s="3329"/>
      <c r="C29" s="1158" t="s">
        <v>834</v>
      </c>
    </row>
    <row r="30" spans="1:3" ht="14.25">
      <c r="A30" s="3325"/>
      <c r="B30" s="3329"/>
      <c r="C30" s="1158" t="s">
        <v>835</v>
      </c>
    </row>
    <row r="31" spans="1:3" ht="14.25">
      <c r="A31" s="3325"/>
      <c r="B31" s="3329"/>
      <c r="C31" s="1158" t="s">
        <v>836</v>
      </c>
    </row>
    <row r="32" spans="1:3" ht="14.25">
      <c r="A32" s="3325"/>
      <c r="B32" s="3329"/>
      <c r="C32" s="1158" t="s">
        <v>1637</v>
      </c>
    </row>
    <row r="33" spans="1:3" ht="14.25">
      <c r="A33" s="3325"/>
      <c r="B33" s="3319" t="s">
        <v>1643</v>
      </c>
      <c r="C33" s="1158" t="s">
        <v>1638</v>
      </c>
    </row>
    <row r="34" spans="1:3" ht="14.25">
      <c r="A34" s="3325"/>
      <c r="B34" s="3320"/>
      <c r="C34" s="1163" t="s">
        <v>1639</v>
      </c>
    </row>
    <row r="35" spans="1:3" ht="14.25">
      <c r="A35" s="3325"/>
      <c r="B35" s="3320"/>
      <c r="C35" s="1164" t="s">
        <v>1640</v>
      </c>
    </row>
    <row r="36" spans="1:3" ht="14.25">
      <c r="A36" s="3325"/>
      <c r="B36" s="3320"/>
      <c r="C36" s="1164" t="s">
        <v>1641</v>
      </c>
    </row>
    <row r="37" spans="1:3" ht="14.25">
      <c r="A37" s="3325"/>
      <c r="B37" s="332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44278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2941</v>
      </c>
      <c r="B12" s="3030">
        <f ca="1">IF(C12&lt;B2,"已过期",1120040230)</f>
        <v>1120040230</v>
      </c>
      <c r="C12" s="3033">
        <v>44864</v>
      </c>
      <c r="D12" s="3041" t="s">
        <v>2942</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2956</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2917</v>
      </c>
      <c r="C18" s="1492"/>
    </row>
    <row r="19" spans="1:3">
      <c r="A19" s="8" t="s">
        <v>120</v>
      </c>
      <c r="B19" s="2792" t="s">
        <v>2924</v>
      </c>
      <c r="C19" s="1492"/>
    </row>
    <row r="20" spans="1:3">
      <c r="A20" s="8" t="s">
        <v>121</v>
      </c>
      <c r="B20" s="2792" t="s">
        <v>2970</v>
      </c>
      <c r="C20" s="1492"/>
    </row>
    <row r="21" spans="1:3">
      <c r="A21" s="8" t="s">
        <v>122</v>
      </c>
      <c r="B21" s="1131" t="s">
        <v>3076</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22日，在规划利用条件下、设定土地开发程度为红线外“七通”、宗地内场地，设定用途为，剩余土地使用年限为的出让国有建设用地使用权价格。</v>
      </c>
      <c r="D53" s="1685"/>
      <c r="E53" s="1685"/>
    </row>
    <row r="54" spans="1:5">
      <c r="A54" s="333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2021-03-23T05:26:53Z</cp:lastPrinted>
  <dcterms:created xsi:type="dcterms:W3CDTF">2015-07-13T07:17:23Z</dcterms:created>
  <dcterms:modified xsi:type="dcterms:W3CDTF">2021-03-23T06:44:09Z</dcterms:modified>
</cp:coreProperties>
</file>