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15" i="66" l="1"/>
  <c r="D15" i="66"/>
  <c r="C15" i="66"/>
  <c r="B15" i="66"/>
  <c r="K8" i="72"/>
  <c r="F10" i="12"/>
  <c r="F8" i="12"/>
  <c r="E29" i="35"/>
  <c r="G29" i="35"/>
  <c r="E22" i="6"/>
  <c r="F9" i="12"/>
  <c r="I29" i="35"/>
  <c r="I7" i="35"/>
  <c r="G7" i="35"/>
  <c r="E7" i="35"/>
  <c r="E19" i="6"/>
  <c r="D3" i="21"/>
  <c r="D77" i="21"/>
  <c r="F15" i="21"/>
  <c r="AA15" i="21"/>
  <c r="D81" i="21"/>
  <c r="F19" i="21"/>
  <c r="AA19" i="21"/>
  <c r="F21" i="21"/>
  <c r="AA21" i="21"/>
  <c r="D85" i="21"/>
  <c r="E85" i="21"/>
  <c r="F23" i="21"/>
  <c r="AA23" i="21"/>
  <c r="R48" i="21"/>
  <c r="H15" i="21"/>
  <c r="AB15" i="21"/>
  <c r="H19" i="21"/>
  <c r="AB19" i="21"/>
  <c r="H21" i="21"/>
  <c r="AB21" i="21"/>
  <c r="H23" i="21"/>
  <c r="AB23" i="21"/>
  <c r="T48" i="21"/>
  <c r="E77" i="21"/>
  <c r="J15" i="21"/>
  <c r="AC15" i="21"/>
  <c r="E81" i="21"/>
  <c r="J19" i="21"/>
  <c r="AC19" i="21"/>
  <c r="J21" i="21"/>
  <c r="AC21" i="21"/>
  <c r="J23" i="21"/>
  <c r="AC23" i="21"/>
  <c r="V48" i="21"/>
  <c r="R49" i="21"/>
  <c r="C49" i="21"/>
  <c r="B3" i="21"/>
  <c r="B2" i="21"/>
  <c r="C10" i="12"/>
  <c r="C8" i="12"/>
  <c r="C33" i="21"/>
  <c r="E7" i="21"/>
  <c r="I7" i="21"/>
  <c r="G7" i="21"/>
  <c r="C11" i="21"/>
  <c r="E9" i="6"/>
  <c r="AL13" i="3"/>
  <c r="O16" i="3"/>
  <c r="M15" i="3"/>
  <c r="K14" i="3"/>
  <c r="I13" i="3"/>
  <c r="G5" i="72"/>
  <c r="G13" i="72"/>
  <c r="G15" i="72"/>
  <c r="G14" i="72"/>
  <c r="F14" i="72"/>
  <c r="F15" i="72"/>
  <c r="F13" i="72"/>
  <c r="E5" i="72"/>
  <c r="D5" i="72"/>
  <c r="D16" i="72"/>
  <c r="E16" i="72"/>
  <c r="F5" i="72"/>
  <c r="B5" i="72"/>
  <c r="A6" i="1"/>
  <c r="A7" i="1"/>
  <c r="A8" i="1"/>
  <c r="A9" i="1"/>
  <c r="G1" i="69"/>
  <c r="F6" i="69"/>
  <c r="F8" i="69"/>
  <c r="F7" i="69"/>
  <c r="F9" i="69"/>
  <c r="C6" i="69"/>
  <c r="C1" i="65"/>
  <c r="N1" i="65"/>
  <c r="N4" i="65"/>
  <c r="C4" i="65"/>
  <c r="B39" i="1"/>
  <c r="F11" i="69"/>
  <c r="C10" i="69"/>
  <c r="C5" i="69"/>
  <c r="B2" i="1"/>
  <c r="C42" i="1"/>
  <c r="C32" i="69"/>
  <c r="C33" i="69"/>
  <c r="BB13" i="3"/>
  <c r="BA13" i="3"/>
  <c r="BQ13" i="3"/>
  <c r="BL13" i="3"/>
  <c r="AZ13" i="3"/>
  <c r="BC14" i="3"/>
  <c r="BA14" i="3"/>
  <c r="AZ14" i="3"/>
  <c r="BD15" i="3"/>
  <c r="BA15" i="3"/>
  <c r="AZ15" i="3"/>
  <c r="BE16" i="3"/>
  <c r="BA16" i="3"/>
  <c r="AZ16" i="3"/>
  <c r="AZ5" i="3"/>
  <c r="H13" i="3"/>
  <c r="AC13" i="3"/>
  <c r="G13" i="3"/>
  <c r="H14" i="3"/>
  <c r="G14" i="3"/>
  <c r="H15" i="3"/>
  <c r="G15" i="3"/>
  <c r="H16" i="3"/>
  <c r="G16" i="3"/>
  <c r="G5" i="3"/>
  <c r="B3" i="3"/>
  <c r="AY6" i="3"/>
  <c r="D3" i="6"/>
  <c r="E3" i="6"/>
  <c r="G22" i="6"/>
  <c r="D22" i="6"/>
  <c r="F19" i="6"/>
  <c r="BA5" i="3"/>
  <c r="F20" i="6"/>
  <c r="E20" i="6"/>
  <c r="G21" i="6"/>
  <c r="E21" i="6"/>
  <c r="E23" i="6"/>
  <c r="E24" i="6"/>
  <c r="E25" i="6"/>
  <c r="E26" i="6"/>
  <c r="E27" i="6"/>
  <c r="BQ5" i="3"/>
  <c r="F28" i="6"/>
  <c r="E28" i="6"/>
  <c r="K22" i="6"/>
  <c r="L22" i="6"/>
  <c r="M22" i="6"/>
  <c r="I22" i="6"/>
  <c r="H22" i="6"/>
  <c r="R22" i="6"/>
  <c r="R9" i="1"/>
  <c r="F35" i="69"/>
  <c r="C34" i="69"/>
  <c r="C31" i="69"/>
  <c r="K9" i="1"/>
  <c r="M9" i="1"/>
  <c r="K14" i="1"/>
  <c r="M14" i="1"/>
  <c r="S9" i="1"/>
  <c r="K19" i="6"/>
  <c r="S6" i="1"/>
  <c r="K20" i="6"/>
  <c r="S7" i="1"/>
  <c r="K21" i="6"/>
  <c r="S8" i="1"/>
  <c r="A10" i="1"/>
  <c r="S10" i="1"/>
  <c r="A11" i="1"/>
  <c r="S11" i="1"/>
  <c r="A12" i="1"/>
  <c r="S12" i="1"/>
  <c r="A13" i="1"/>
  <c r="S13" i="1"/>
  <c r="S16" i="1"/>
  <c r="T9" i="1"/>
  <c r="C14" i="69"/>
  <c r="C15" i="69"/>
  <c r="F16" i="69"/>
  <c r="C16" i="69"/>
  <c r="F43" i="69"/>
  <c r="C17" i="69"/>
  <c r="C18" i="69"/>
  <c r="C19" i="69"/>
  <c r="F20" i="69"/>
  <c r="C20" i="69"/>
  <c r="H1" i="65"/>
  <c r="I5" i="65"/>
  <c r="B22" i="1"/>
  <c r="C2" i="65"/>
  <c r="I3" i="65"/>
  <c r="I1" i="65"/>
  <c r="E2" i="65"/>
  <c r="B40" i="1"/>
  <c r="F24" i="69"/>
  <c r="F23" i="69"/>
  <c r="C23" i="69"/>
  <c r="F26" i="69"/>
  <c r="C26" i="69"/>
  <c r="C24" i="69"/>
  <c r="C27" i="69"/>
  <c r="C28" i="69"/>
  <c r="C29" i="69"/>
  <c r="F36" i="69"/>
  <c r="C36" i="69"/>
  <c r="F13" i="69"/>
  <c r="C13" i="69"/>
  <c r="F37" i="69"/>
  <c r="C37" i="69"/>
  <c r="F38" i="69"/>
  <c r="C38" i="69"/>
  <c r="C30" i="69"/>
  <c r="C39" i="69"/>
  <c r="F42" i="69"/>
  <c r="F40" i="69"/>
  <c r="G19" i="4"/>
  <c r="F9" i="1"/>
  <c r="L48" i="69"/>
  <c r="J51" i="69"/>
  <c r="J53" i="69"/>
  <c r="F1" i="69"/>
  <c r="AE9" i="1"/>
  <c r="F41" i="69"/>
  <c r="C40" i="69"/>
  <c r="M6" i="69"/>
  <c r="M8" i="69"/>
  <c r="M7" i="69"/>
  <c r="M9" i="69"/>
  <c r="J6" i="69"/>
  <c r="M11" i="69"/>
  <c r="J10" i="69"/>
  <c r="J5" i="69"/>
  <c r="J26" i="69"/>
  <c r="J29" i="69"/>
  <c r="L46" i="69"/>
  <c r="B2" i="69"/>
  <c r="C40" i="39"/>
  <c r="B3" i="69"/>
  <c r="C9" i="12"/>
  <c r="G1" i="68"/>
  <c r="F6" i="68"/>
  <c r="F8" i="68"/>
  <c r="K8" i="1"/>
  <c r="F7" i="68"/>
  <c r="F9" i="68"/>
  <c r="C6" i="68"/>
  <c r="F11" i="68"/>
  <c r="C10" i="68"/>
  <c r="C5" i="68"/>
  <c r="C32" i="68"/>
  <c r="C33" i="68"/>
  <c r="D21" i="6"/>
  <c r="L21" i="6"/>
  <c r="M21" i="6"/>
  <c r="I21" i="6"/>
  <c r="H21" i="6"/>
  <c r="R21" i="6"/>
  <c r="R8" i="1"/>
  <c r="F35" i="68"/>
  <c r="C34" i="68"/>
  <c r="C31" i="68"/>
  <c r="M8" i="1"/>
  <c r="T8" i="1"/>
  <c r="C14" i="68"/>
  <c r="C15" i="68"/>
  <c r="F16" i="68"/>
  <c r="C16" i="68"/>
  <c r="F43" i="68"/>
  <c r="C17" i="68"/>
  <c r="C18" i="68"/>
  <c r="C19" i="68"/>
  <c r="F20" i="68"/>
  <c r="C20" i="68"/>
  <c r="F24" i="68"/>
  <c r="F23" i="68"/>
  <c r="C23" i="68"/>
  <c r="F26" i="68"/>
  <c r="C26" i="68"/>
  <c r="C24" i="68"/>
  <c r="C27" i="68"/>
  <c r="C28" i="68"/>
  <c r="C29" i="68"/>
  <c r="F36" i="68"/>
  <c r="C36" i="68"/>
  <c r="F13" i="68"/>
  <c r="C13" i="68"/>
  <c r="F37" i="68"/>
  <c r="C37" i="68"/>
  <c r="F38" i="68"/>
  <c r="C38" i="68"/>
  <c r="C30" i="68"/>
  <c r="C39" i="68"/>
  <c r="F42" i="68"/>
  <c r="F40" i="68"/>
  <c r="H19" i="4"/>
  <c r="F8" i="1"/>
  <c r="L48" i="68"/>
  <c r="J51" i="68"/>
  <c r="J53" i="68"/>
  <c r="F1" i="68"/>
  <c r="AE8" i="1"/>
  <c r="F41" i="68"/>
  <c r="C40" i="68"/>
  <c r="M6" i="68"/>
  <c r="M8" i="68"/>
  <c r="M7" i="68"/>
  <c r="M9" i="68"/>
  <c r="J6" i="68"/>
  <c r="M11" i="68"/>
  <c r="J10" i="68"/>
  <c r="J5" i="68"/>
  <c r="J26" i="68"/>
  <c r="J29" i="68"/>
  <c r="L46" i="68"/>
  <c r="B2" i="68"/>
  <c r="E10" i="12"/>
  <c r="B3" i="68"/>
  <c r="E8" i="12"/>
  <c r="G1" i="15"/>
  <c r="F6" i="15"/>
  <c r="F8" i="15"/>
  <c r="K7" i="1"/>
  <c r="F7" i="15"/>
  <c r="F9" i="15"/>
  <c r="C6" i="15"/>
  <c r="F11" i="15"/>
  <c r="C10" i="15"/>
  <c r="C5" i="15"/>
  <c r="C32" i="15"/>
  <c r="C33" i="15"/>
  <c r="D20" i="6"/>
  <c r="L20" i="6"/>
  <c r="M20" i="6"/>
  <c r="I20" i="6"/>
  <c r="H20" i="6"/>
  <c r="R20" i="6"/>
  <c r="R7" i="1"/>
  <c r="F35" i="15"/>
  <c r="C34" i="15"/>
  <c r="C31" i="15"/>
  <c r="M7" i="1"/>
  <c r="T7" i="1"/>
  <c r="C14" i="15"/>
  <c r="C15" i="15"/>
  <c r="F16" i="15"/>
  <c r="C16" i="15"/>
  <c r="F43" i="15"/>
  <c r="C17" i="15"/>
  <c r="C18" i="15"/>
  <c r="C19" i="15"/>
  <c r="F20" i="15"/>
  <c r="C20" i="15"/>
  <c r="F24" i="15"/>
  <c r="F23" i="15"/>
  <c r="C23" i="15"/>
  <c r="F26" i="15"/>
  <c r="C26" i="15"/>
  <c r="C24" i="15"/>
  <c r="C27" i="15"/>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L46" i="15"/>
  <c r="B2" i="15"/>
  <c r="D10" i="12"/>
  <c r="B3" i="15"/>
  <c r="D8" i="12"/>
  <c r="F32" i="69"/>
  <c r="F33" i="69"/>
  <c r="F34" i="69"/>
  <c r="F15" i="69"/>
  <c r="F17" i="69"/>
  <c r="F18" i="69"/>
  <c r="F21" i="69"/>
  <c r="F28" i="69"/>
  <c r="M47" i="69"/>
  <c r="Q66" i="69"/>
  <c r="J50"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33" i="68"/>
  <c r="F34" i="68"/>
  <c r="F15" i="68"/>
  <c r="F17" i="68"/>
  <c r="F18" i="68"/>
  <c r="F21" i="68"/>
  <c r="F28" i="68"/>
  <c r="Q66" i="68"/>
  <c r="M47" i="68"/>
  <c r="J50"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F43" i="39"/>
  <c r="AA43" i="39"/>
  <c r="F44" i="39"/>
  <c r="AA44" i="39"/>
  <c r="F14" i="39"/>
  <c r="AA14" i="39"/>
  <c r="B86" i="39"/>
  <c r="F15" i="39"/>
  <c r="AA15" i="39"/>
  <c r="D83" i="39"/>
  <c r="E83" i="39"/>
  <c r="F83" i="39"/>
  <c r="G83" i="39"/>
  <c r="F13" i="39"/>
  <c r="AA13" i="39"/>
  <c r="F40" i="39"/>
  <c r="AA40" i="39"/>
  <c r="D19" i="4"/>
  <c r="F6" i="1"/>
  <c r="G6" i="1"/>
  <c r="G7" i="1"/>
  <c r="G8" i="1"/>
  <c r="G9" i="1"/>
  <c r="F10" i="1"/>
  <c r="D10" i="1"/>
  <c r="G10" i="1"/>
  <c r="F11" i="1"/>
  <c r="D11" i="1"/>
  <c r="G11" i="1"/>
  <c r="F12" i="1"/>
  <c r="D12" i="1"/>
  <c r="G12" i="1"/>
  <c r="F13" i="1"/>
  <c r="D13" i="1"/>
  <c r="G13" i="1"/>
  <c r="K6" i="1"/>
  <c r="K10" i="1"/>
  <c r="K11" i="1"/>
  <c r="K12" i="1"/>
  <c r="K13" i="1"/>
  <c r="G16" i="1"/>
  <c r="F12" i="39"/>
  <c r="AA12"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B106" i="39"/>
  <c r="F33" i="39"/>
  <c r="AA33" i="39"/>
  <c r="R49" i="39"/>
  <c r="H17" i="39"/>
  <c r="AB17" i="39"/>
  <c r="H21" i="39"/>
  <c r="AB21" i="39"/>
  <c r="H19" i="39"/>
  <c r="AB19" i="39"/>
  <c r="H23" i="39"/>
  <c r="AB23" i="39"/>
  <c r="H25" i="39"/>
  <c r="AB25" i="39"/>
  <c r="H27" i="39"/>
  <c r="AB27" i="39"/>
  <c r="H29" i="39"/>
  <c r="AB29" i="39"/>
  <c r="H31" i="39"/>
  <c r="AB31" i="39"/>
  <c r="H34" i="39"/>
  <c r="AB34" i="39"/>
  <c r="H41" i="39"/>
  <c r="AB41" i="39"/>
  <c r="H42" i="39"/>
  <c r="AB42" i="39"/>
  <c r="H43" i="39"/>
  <c r="AB43" i="39"/>
  <c r="H44" i="39"/>
  <c r="AB44" i="39"/>
  <c r="H14" i="39"/>
  <c r="AB14" i="39"/>
  <c r="H15" i="39"/>
  <c r="AB15" i="39"/>
  <c r="H13" i="39"/>
  <c r="AB13" i="39"/>
  <c r="H40" i="39"/>
  <c r="AB40" i="39"/>
  <c r="H12" i="39"/>
  <c r="AB12" i="39"/>
  <c r="H9" i="39"/>
  <c r="AB9" i="39"/>
  <c r="H33" i="39"/>
  <c r="AB33" i="39"/>
  <c r="T49"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40" i="39"/>
  <c r="AC40" i="39"/>
  <c r="J12" i="39"/>
  <c r="AC12" i="39"/>
  <c r="J9" i="39"/>
  <c r="AC9" i="39"/>
  <c r="J33" i="39"/>
  <c r="AC33" i="39"/>
  <c r="V49" i="39"/>
  <c r="R50" i="39"/>
  <c r="C50" i="39"/>
  <c r="B64" i="39"/>
  <c r="BB5" i="3"/>
  <c r="BC5" i="3"/>
  <c r="BD5" i="3"/>
  <c r="BE5" i="3"/>
  <c r="E12" i="6"/>
  <c r="E64" i="39"/>
  <c r="F64" i="39"/>
  <c r="B65" i="39"/>
  <c r="E13" i="6"/>
  <c r="E65" i="39"/>
  <c r="F65" i="39"/>
  <c r="C22" i="6"/>
  <c r="C21" i="6"/>
  <c r="C20" i="6"/>
  <c r="AN13" i="3"/>
  <c r="C19" i="6"/>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15" i="15"/>
  <c r="F17" i="15"/>
  <c r="F18"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D6" i="1"/>
  <c r="D7" i="1"/>
  <c r="D8" i="1"/>
  <c r="D9" i="1"/>
  <c r="AP10" i="1"/>
  <c r="R12" i="1"/>
  <c r="B13" i="1"/>
  <c r="E13" i="1"/>
  <c r="R10" i="1"/>
  <c r="T4" i="1"/>
  <c r="M12"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R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D14" i="3"/>
  <c r="BE14" i="3"/>
  <c r="BF14" i="3"/>
  <c r="BG14" i="3"/>
  <c r="BH14" i="3"/>
  <c r="BI14" i="3"/>
  <c r="BJ14" i="3"/>
  <c r="BK14" i="3"/>
  <c r="BB15" i="3"/>
  <c r="BC15" i="3"/>
  <c r="BE15" i="3"/>
  <c r="BF15" i="3"/>
  <c r="BG15" i="3"/>
  <c r="BH15" i="3"/>
  <c r="BI15" i="3"/>
  <c r="BJ15" i="3"/>
  <c r="BK15" i="3"/>
  <c r="BB16" i="3"/>
  <c r="BC16" i="3"/>
  <c r="BD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F81"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M11" i="1"/>
  <c r="B9" i="1"/>
  <c r="E9" i="1"/>
  <c r="B7" i="1"/>
  <c r="E7" i="1"/>
  <c r="C20" i="43"/>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AA17" i="21"/>
  <c r="W17" i="21"/>
  <c r="S15" i="21"/>
  <c r="F77" i="21"/>
  <c r="G77" i="21"/>
  <c r="AC11" i="21"/>
  <c r="AB11" i="21"/>
  <c r="W13" i="21"/>
  <c r="AA11"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F28" i="15"/>
  <c r="M18" i="15"/>
  <c r="A18" i="64"/>
  <c r="B74" i="63"/>
  <c r="C53" i="10"/>
  <c r="A25" i="64"/>
  <c r="A18" i="51"/>
  <c r="B14" i="63"/>
  <c r="BA17" i="3"/>
  <c r="AZ17" i="3"/>
  <c r="C24" i="12"/>
  <c r="F3" i="35"/>
  <c r="K1" i="43"/>
  <c r="K1" i="12"/>
  <c r="G1" i="44"/>
  <c r="I4" i="6"/>
  <c r="G3" i="46"/>
  <c r="BK5" i="3"/>
  <c r="BO5" i="3"/>
  <c r="BP5" i="3"/>
  <c r="BN5" i="3"/>
  <c r="BL18" i="3"/>
  <c r="AZ18" i="3"/>
  <c r="E8" i="6"/>
  <c r="BR5" i="3"/>
  <c r="G28" i="6"/>
  <c r="BS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M10" i="1"/>
  <c r="O10" i="1"/>
  <c r="P10" i="1"/>
  <c r="R11" i="1"/>
  <c r="R13" i="1"/>
  <c r="B6" i="1"/>
  <c r="E6" i="1"/>
  <c r="B10" i="1"/>
  <c r="E10" i="1"/>
  <c r="B8" i="1"/>
  <c r="E8" i="1"/>
  <c r="B12" i="1"/>
  <c r="E12"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D16" i="12"/>
  <c r="D19" i="12"/>
  <c r="C19" i="12"/>
  <c r="E6" i="6"/>
  <c r="D22" i="12"/>
  <c r="C22" i="12"/>
  <c r="L38" i="9"/>
  <c r="B14" i="66"/>
  <c r="B1" i="66"/>
  <c r="C19" i="9"/>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5" i="9"/>
  <c r="H14" i="66"/>
  <c r="B7" i="66"/>
  <c r="C7" i="66"/>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58" i="39"/>
  <c r="F58" i="39"/>
  <c r="B59" i="39"/>
  <c r="F59" i="39"/>
  <c r="B60" i="39"/>
  <c r="F60" i="39"/>
  <c r="B61" i="39"/>
  <c r="F61" i="39"/>
  <c r="B62" i="39"/>
  <c r="F62" i="39"/>
  <c r="B63" i="39"/>
  <c r="E11" i="6"/>
  <c r="E63" i="39"/>
  <c r="F63" i="39"/>
  <c r="B66" i="39"/>
  <c r="E14" i="6"/>
  <c r="E66" i="39"/>
  <c r="F66" i="39"/>
  <c r="B67" i="39"/>
  <c r="E15" i="6"/>
  <c r="E67" i="39"/>
  <c r="F67" i="39"/>
  <c r="F68" i="39"/>
  <c r="B2" i="39"/>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O7" i="1"/>
  <c r="P7" i="1"/>
  <c r="O9" i="1"/>
  <c r="P9" i="1"/>
  <c r="O11" i="1"/>
  <c r="P11" i="1"/>
  <c r="O12" i="1"/>
  <c r="P12" i="1"/>
  <c r="O13" i="1"/>
  <c r="P13" i="1"/>
  <c r="O14" i="1"/>
  <c r="P14" i="1"/>
  <c r="P16" i="1"/>
  <c r="Q16" i="1"/>
  <c r="C25" i="12"/>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F7" i="21"/>
  <c r="AB7"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AA7"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42" i="9"/>
  <c r="C35" i="9"/>
  <c r="F42" i="9"/>
  <c r="O38" i="9"/>
  <c r="O43" i="9"/>
  <c r="C33" i="9"/>
  <c r="C34" i="9"/>
  <c r="J24" i="15"/>
  <c r="L52" i="44"/>
  <c r="F67" i="40"/>
  <c r="G65" i="40"/>
  <c r="E48" i="21"/>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2" i="35"/>
  <c r="B3"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<sst xmlns="http://schemas.openxmlformats.org/spreadsheetml/2006/main" count="7866" uniqueCount="3111">
  <si>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</si>
  <si>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</si>
  <si>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</si>
  <si>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</si>
  <si>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</si>
  <si>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</si>
  <si>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</si>
  <si>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</si>
  <si>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</si>
  <si>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</si>
  <si>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</si>
  <si>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</si>
  <si>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</si>
  <si>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</si>
  <si>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</si>
  <si>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</si>
  <si>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</si>
  <si>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</si>
  <si>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</si>
  <si>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</si>
  <si>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</si>
  <si>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</si>
  <si>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</si>
  <si>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</si>
  <si>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</si>
  <si>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</si>
  <si>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</si>
  <si>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</si>
  <si>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</si>
  <si>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</si>
  <si>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</si>
  <si>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</si>
  <si>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</si>
  <si>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</si>
  <si>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</si>
  <si>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</si>
  <si>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</si>
  <si>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</si>
  <si>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</si>
  <si>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</si>
  <si>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</si>
  <si>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</si>
  <si>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</si>
  <si>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</si>
  <si>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</si>
  <si>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</si>
  <si>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</si>
  <si>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</si>
  <si>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</si>
  <si>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</si>
  <si>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</si>
  <si>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</si>
  <si>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</si>
  <si>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</si>
  <si>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</si>
  <si>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</si>
  <si>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</si>
  <si>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</si>
  <si>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</si>
  <si>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</si>
  <si>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</si>
  <si>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</si>
  <si>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</si>
  <si>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</si>
  <si>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</si>
  <si>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</si>
  <si>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</si>
  <si>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</si>
  <si>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</si>
  <si>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</si>
  <si>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</si>
  <si>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</si>
  <si>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</si>
  <si>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</si>
  <si>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</si>
  <si>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</si>
  <si>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</si>
  <si>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</si>
  <si>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</si>
  <si>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</si>
  <si>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</si>
  <si>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</si>
  <si>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</si>
  <si>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</si>
  <si>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</si>
  <si>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</si>
  <si>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</si>
  <si>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</si>
  <si>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</si>
  <si>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</si>
  <si>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</si>
  <si>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</si>
  <si>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</si>
  <si>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</si>
  <si>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</si>
  <si>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</si>
  <si>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</si>
  <si>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</si>
  <si>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</si>
  <si>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</si>
  <si>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</si>
  <si>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</si>
  <si>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</si>
  <si>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</si>
  <si>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</si>
  <si>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</si>
  <si>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</si>
  <si>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</si>
  <si>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</si>
  <si>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</si>
  <si>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</si>
  <si>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</si>
  <si>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</si>
  <si>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</si>
  <si>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</si>
  <si>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</si>
  <si>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</si>
  <si>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</si>
  <si>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</si>
  <si>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</si>
  <si>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</si>
  <si>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</si>
  <si>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</si>
  <si>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</si>
  <si>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</si>
  <si>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</si>
  <si>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</si>
  <si>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</si>
  <si>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</si>
  <si>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</si>
  <si>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</si>
  <si>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</si>
  <si>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</si>
  <si>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</si>
  <si>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</si>
  <si>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</si>
  <si>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</si>
  <si>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</si>
  <si>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</si>
  <si>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</si>
  <si>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</si>
  <si>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</si>
  <si>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</si>
  <si>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</si>
  <si>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</si>
  <si>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</si>
  <si>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</si>
  <si>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</si>
  <si>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</si>
  <si>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</si>
  <si>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</si>
  <si>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</si>
  <si>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</si>
  <si>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</si>
  <si>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</si>
  <si>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</si>
  <si>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</si>
  <si>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</si>
  <si>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</si>
  <si>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</si>
  <si>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</si>
  <si>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</si>
  <si>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</si>
  <si>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</si>
  <si>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</si>
  <si>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</si>
  <si>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</si>
  <si>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</si>
  <si>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</si>
  <si>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</si>
  <si>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</si>
  <si>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</si>
  <si>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</si>
  <si>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</si>
  <si>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</si>
  <si>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</si>
  <si>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</si>
  <si>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</si>
  <si>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</si>
  <si>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</si>
  <si>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</si>
  <si>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</si>
  <si>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</si>
  <si>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</si>
  <si>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</si>
  <si>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</si>
  <si>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</si>
  <si>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</si>
  <si>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</si>
  <si>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</si>
  <si>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</si>
  <si>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</si>
  <si>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</si>
  <si>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</si>
  <si>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</si>
  <si>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</si>
  <si>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</si>
  <si>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</si>
  <si>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</si>
  <si>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</si>
  <si>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</si>
  <si>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</si>
  <si>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</si>
  <si>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</si>
  <si>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</si>
  <si>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</si>
  <si>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</si>
  <si>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</si>
  <si>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</si>
  <si>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</si>
  <si>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</si>
  <si>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</si>
  <si>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</si>
  <si>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</si>
  <si>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</si>
  <si>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</si>
  <si>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</si>
  <si>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</si>
  <si>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</si>
  <si>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</si>
  <si>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</si>
  <si>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</si>
  <si>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</si>
  <si>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</si>
  <si>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</si>
  <si>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</si>
  <si>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</si>
  <si>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</si>
  <si>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</si>
  <si>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</si>
  <si>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</si>
  <si>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</si>
  <si>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</si>
  <si>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</si>
  <si>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</si>
  <si>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</si>
  <si>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</si>
  <si>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</si>
  <si>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</si>
  <si>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</si>
  <si>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</si>
  <si>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</si>
  <si>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</si>
  <si>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</si>
  <si>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</si>
  <si>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</si>
  <si>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</si>
  <si>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</si>
  <si>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</si>
  <si>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</si>
  <si>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</si>
  <si>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</si>
  <si>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</si>
  <si>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</si>
  <si>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</si>
  <si>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</si>
  <si>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</si>
  <si>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</si>
  <si>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</si>
  <si>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</si>
  <si>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</si>
  <si>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</si>
  <si>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</si>
  <si>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</si>
  <si>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</si>
  <si>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</si>
  <si>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</si>
  <si>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</si>
  <si>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</si>
  <si>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</si>
  <si>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</si>
  <si>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</si>
  <si>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</si>
  <si>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</si>
  <si>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</si>
  <si>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</si>
  <si>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</si>
  <si>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</si>
  <si>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</si>
  <si>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</si>
  <si>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</si>
  <si>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</si>
  <si>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</si>
  <si>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</si>
  <si>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</si>
  <si>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</si>
  <si>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</si>
  <si>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</si>
  <si>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</si>
  <si>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</si>
  <si>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</si>
  <si>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</si>
  <si>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</si>
  <si>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</si>
  <si>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</si>
  <si>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</si>
  <si>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</si>
  <si>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</si>
  <si>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</si>
  <si>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</si>
  <si>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</si>
  <si>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</si>
  <si>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</si>
  <si>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</si>
  <si>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</si>
  <si>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</si>
  <si>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</si>
  <si>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</si>
  <si>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</si>
  <si>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</si>
  <si>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</si>
  <si>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</si>
  <si>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</si>
  <si>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</si>
  <si>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</si>
  <si>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</si>
  <si>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</si>
  <si>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</si>
  <si>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</si>
  <si>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</si>
  <si>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</si>
  <si>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</si>
  <si>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</si>
  <si>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</si>
  <si>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</si>
  <si>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</si>
  <si>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</si>
  <si>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</si>
  <si>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</si>
  <si>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</si>
  <si>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</si>
  <si>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</si>
  <si>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</si>
  <si>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</si>
  <si>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</si>
  <si>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</si>
  <si>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</si>
  <si>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</si>
  <si>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</si>
  <si>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</si>
  <si>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</si>
  <si>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</si>
  <si>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</si>
  <si>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</si>
  <si>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</si>
  <si>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</si>
  <si>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</si>
  <si>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</si>
  <si>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</si>
  <si>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</si>
  <si>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</si>
  <si>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</si>
  <si>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</si>
  <si>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</si>
  <si>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</si>
  <si>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</si>
  <si>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</si>
  <si>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</si>
  <si>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</si>
  <si>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</si>
  <si>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</si>
  <si>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</si>
  <si>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</si>
  <si>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</si>
  <si>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</si>
  <si>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</si>
  <si>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</si>
  <si>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</si>
  <si>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</si>
  <si>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</si>
  <si>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</si>
  <si>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</si>
  <si>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</si>
  <si>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</si>
  <si>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</si>
  <si>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</si>
  <si>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</si>
  <si>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</si>
  <si>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</si>
  <si>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</si>
  <si>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</si>
  <si>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</si>
  <si>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</si>
  <si>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</si>
  <si>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</si>
  <si>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</si>
  <si>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</si>
  <si>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</si>
  <si>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</si>
  <si>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</si>
  <si>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</si>
  <si>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</si>
  <si>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</si>
  <si>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</si>
  <si>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</si>
  <si>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</si>
  <si>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</si>
  <si>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</si>
  <si>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</si>
  <si>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</si>
  <si>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</si>
  <si>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</si>
  <si>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</si>
  <si>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</si>
  <si>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</si>
  <si>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</si>
  <si>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</si>
  <si>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</si>
  <si>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</si>
  <si>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</si>
  <si>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</si>
  <si>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</si>
  <si>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</si>
  <si>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</si>
  <si>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</si>
  <si>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</si>
  <si>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</si>
  <si>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</si>
  <si>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</si>
  <si>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</si>
  <si>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</si>
  <si>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</si>
  <si>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</si>
  <si>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</si>
  <si>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</si>
  <si>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</si>
  <si>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</si>
  <si>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</si>
  <si>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</si>
  <si>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</si>
  <si>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</si>
  <si>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</si>
  <si>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</si>
  <si>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</si>
  <si>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</si>
  <si>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</si>
  <si>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</si>
  <si>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</si>
  <si>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</si>
  <si>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</si>
  <si>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</si>
  <si>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</si>
  <si>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</si>
  <si>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</si>
  <si>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</si>
  <si>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</si>
  <si>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</si>
  <si>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</si>
  <si>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</si>
  <si>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</si>
  <si>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</si>
  <si>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</si>
  <si>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</si>
  <si>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</si>
  <si>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</si>
  <si>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</si>
  <si>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</si>
  <si>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</si>
  <si>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</si>
  <si>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</si>
  <si>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</si>
  <si>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</si>
  <si>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</si>
  <si>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</si>
  <si>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</si>
  <si>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</si>
  <si>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</si>
  <si>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</si>
  <si>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</si>
  <si>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</si>
  <si>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</si>
  <si>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</si>
  <si>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</si>
  <si>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</si>
  <si>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</si>
  <si>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</si>
  <si>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</si>
  <si>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</si>
  <si>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</si>
  <si>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</si>
  <si>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</si>
  <si>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</si>
  <si>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</si>
  <si>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</si>
  <si>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</si>
  <si>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</si>
  <si>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</si>
  <si>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</si>
  <si>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</si>
  <si>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</si>
  <si>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</si>
  <si>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</si>
  <si>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</si>
  <si>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</si>
  <si>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</si>
  <si>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</si>
  <si>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</si>
  <si>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</si>
  <si>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</si>
  <si>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</si>
  <si>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</si>
  <si>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</si>
  <si>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</si>
  <si>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</si>
  <si>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</si>
  <si>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</si>
  <si>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</si>
  <si>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</si>
  <si>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</si>
  <si>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</si>
  <si>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</si>
  <si>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</si>
  <si>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</si>
  <si>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</si>
  <si>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</si>
  <si>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</si>
  <si>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</si>
  <si>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</si>
  <si>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</si>
  <si>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</si>
  <si>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</si>
  <si>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</si>
  <si>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</si>
  <si>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</si>
  <si>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</si>
  <si>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</si>
  <si>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</si>
  <si>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</si>
  <si>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</si>
  <si>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</si>
  <si>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</si>
  <si>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</si>
  <si>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</si>
  <si>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</si>
  <si>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</si>
  <si>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</si>
  <si>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</si>
  <si>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</si>
  <si>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</si>
  <si>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</si>
  <si>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</si>
  <si>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</si>
  <si>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</si>
  <si>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</si>
  <si>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</si>
  <si>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</si>
  <si>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</si>
  <si>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</si>
  <si>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</si>
  <si>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</si>
  <si>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</si>
  <si>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</si>
  <si>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</si>
  <si>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</si>
  <si>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</si>
  <si>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</si>
  <si>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</si>
  <si>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</si>
  <si>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</si>
  <si>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</si>
  <si>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</si>
  <si>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</si>
  <si>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</si>
  <si>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</si>
  <si>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</si>
  <si>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</si>
  <si>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</si>
  <si>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</si>
  <si>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</si>
  <si>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</si>
  <si>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</si>
  <si>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</si>
  <si>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</si>
  <si>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</si>
  <si>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</si>
  <si>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</si>
  <si>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</si>
  <si>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</si>
  <si>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</si>
  <si>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</si>
  <si>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</si>
  <si>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</si>
  <si>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</si>
  <si>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</si>
  <si>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</si>
  <si>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</si>
  <si>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</si>
  <si>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</si>
  <si>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</si>
  <si>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</si>
  <si>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</si>
  <si>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</si>
  <si>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</si>
  <si>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</si>
  <si>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</si>
  <si>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</si>
  <si>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</si>
  <si>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</si>
  <si>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</si>
  <si>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</si>
  <si>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</si>
  <si>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</si>
  <si>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</si>
  <si>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</si>
  <si>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</si>
  <si>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</si>
  <si>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</si>
  <si>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</si>
  <si>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</si>
  <si>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</si>
  <si>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</si>
  <si>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</si>
  <si>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</si>
  <si>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</si>
  <si>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</si>
  <si>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</si>
  <si>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</si>
  <si>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</si>
  <si>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</si>
  <si>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</si>
  <si>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</si>
  <si>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</si>
  <si>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</si>
  <si>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</si>
  <si>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</si>
  <si>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</si>
  <si>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</si>
  <si>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</si>
  <si>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</si>
  <si>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</si>
  <si>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</si>
  <si>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</si>
  <si>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</si>
  <si>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</si>
  <si>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</si>
  <si>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</si>
  <si>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</si>
  <si>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</si>
  <si>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</si>
  <si>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</si>
  <si>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</si>
  <si>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</si>
  <si>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</si>
  <si>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</si>
  <si>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</si>
  <si>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</si>
  <si>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</si>
  <si>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</si>
  <si>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</si>
  <si>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</si>
  <si>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</si>
  <si>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</si>
  <si>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</si>
  <si>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</si>
  <si>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</si>
  <si>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</si>
  <si>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</si>
  <si>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</si>
  <si>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</si>
  <si>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</si>
  <si>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</si>
  <si>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</si>
  <si>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</si>
  <si>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</si>
  <si>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</si>
  <si>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</si>
  <si>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</si>
  <si>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</si>
  <si>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</si>
  <si>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</si>
  <si>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</si>
  <si>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</si>
  <si>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</si>
  <si>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</si>
  <si>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</si>
  <si>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</si>
  <si>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</si>
  <si>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</si>
  <si>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</si>
  <si>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</si>
  <si>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</si>
  <si>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</si>
  <si>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</si>
  <si>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</si>
  <si>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</si>
  <si>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</si>
  <si>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</si>
  <si>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</si>
  <si>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</si>
  <si>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</si>
  <si>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</si>
  <si>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</si>
  <si>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</si>
  <si>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</si>
  <si>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</si>
  <si>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</si>
  <si>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</si>
  <si>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</si>
  <si>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</si>
  <si>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</si>
  <si>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</si>
  <si>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</si>
  <si>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</si>
  <si>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</si>
  <si>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</si>
  <si>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</si>
  <si>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</si>
  <si>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</si>
  <si>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</si>
  <si>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</si>
  <si>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</si>
  <si>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</si>
  <si>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</si>
  <si>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</si>
  <si>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</si>
  <si>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</si>
  <si>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</si>
  <si>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</si>
  <si>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</si>
  <si>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</si>
  <si>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</si>
  <si>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</si>
  <si>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</si>
  <si>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</si>
  <si>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</si>
  <si>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</si>
  <si>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</si>
  <si>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</si>
  <si>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</si>
  <si>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</si>
  <si>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</si>
  <si>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</si>
  <si>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</si>
  <si>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</si>
  <si>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</si>
  <si>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</si>
  <si>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</si>
  <si>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</si>
  <si>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</si>
  <si>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</si>
  <si>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</si>
  <si>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</si>
  <si>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</si>
  <si>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</si>
  <si>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</si>
  <si>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</si>
  <si>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</si>
  <si>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</si>
  <si>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</si>
  <si>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</si>
  <si>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</si>
  <si>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</si>
  <si>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</si>
  <si>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</si>
  <si>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</si>
  <si>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</si>
  <si>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</si>
  <si>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</si>
  <si>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</si>
  <si>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</si>
  <si>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</si>
  <si>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</si>
  <si>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</si>
  <si>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</si>
  <si>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</si>
  <si>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</si>
  <si>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</si>
  <si>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</si>
  <si>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</si>
  <si>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</si>
  <si>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</si>
  <si>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</si>
  <si>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</si>
  <si>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</si>
  <si>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</si>
  <si>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</si>
  <si>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</si>
  <si>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</si>
  <si>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</si>
  <si>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</si>
  <si>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</si>
  <si>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</si>
  <si>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</si>
  <si>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</si>
  <si>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</si>
  <si>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</si>
  <si>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</si>
  <si>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</si>
  <si>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</si>
  <si>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</si>
  <si>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</si>
  <si>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</si>
  <si>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</si>
  <si>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</si>
  <si>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</si>
  <si>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</si>
  <si>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</si>
  <si>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</si>
  <si>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</si>
  <si>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</si>
  <si>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</si>
  <si>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</si>
  <si>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</si>
  <si>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</si>
  <si>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</si>
  <si>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</si>
  <si>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</si>
  <si>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</si>
  <si>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</si>
  <si>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</si>
  <si>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</si>
  <si>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</si>
  <si>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</si>
  <si>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</si>
  <si>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</si>
  <si>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</si>
  <si>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</si>
  <si>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</si>
  <si>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</si>
  <si>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</si>
  <si>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</si>
  <si>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</si>
  <si>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</si>
  <si>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</si>
  <si>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</si>
  <si>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</si>
  <si>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</si>
  <si>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</si>
  <si>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</si>
  <si>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</si>
  <si>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</si>
  <si>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</si>
  <si>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</si>
  <si>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</si>
  <si>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</si>
  <si>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</si>
  <si>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</si>
  <si>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</si>
  <si>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</si>
  <si>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</si>
  <si>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</si>
  <si>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</si>
  <si>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</si>
  <si>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</si>
  <si>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</si>
  <si>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</si>
  <si>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</si>
  <si>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</si>
  <si>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</si>
  <si>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</si>
  <si>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</si>
  <si>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</si>
  <si>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</si>
  <si>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</si>
  <si>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</si>
  <si>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</si>
  <si>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</si>
  <si>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</si>
  <si>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</si>
  <si>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</si>
  <si>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</si>
  <si>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</si>
  <si>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</si>
  <si>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</si>
  <si>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</si>
  <si>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</si>
  <si>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</si>
  <si>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</si>
  <si>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</si>
  <si>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</si>
  <si>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</si>
  <si>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</si>
  <si>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</si>
  <si>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</si>
  <si>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</si>
  <si>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</si>
  <si>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</si>
  <si>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</si>
  <si>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</si>
  <si>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</si>
  <si>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</si>
  <si>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</si>
  <si>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</si>
  <si>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</si>
  <si>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</si>
  <si>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</si>
  <si>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</si>
  <si>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</si>
  <si>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</si>
  <si>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</si>
  <si>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</si>
  <si>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</si>
  <si>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</si>
  <si>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</si>
  <si>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</si>
  <si>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</si>
  <si>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</si>
  <si>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</si>
  <si>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</si>
  <si>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</si>
  <si>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</si>
  <si>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</si>
  <si>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</si>
  <si>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</si>
  <si>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</si>
  <si>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</si>
  <si>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</si>
  <si>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</si>
  <si>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</si>
  <si>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</si>
  <si>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</si>
  <si>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</si>
  <si>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</si>
  <si>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</si>
  <si>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</si>
  <si>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</si>
  <si>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</si>
  <si>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</si>
  <si>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</si>
  <si>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</si>
  <si>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</si>
  <si>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</si>
  <si>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</si>
  <si>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</si>
  <si>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</si>
  <si>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</si>
  <si>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</si>
  <si>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</si>
  <si>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</si>
  <si>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</si>
  <si>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</si>
  <si>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</si>
  <si>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</si>
  <si>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</si>
  <si>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</si>
  <si>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</si>
  <si>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</si>
  <si>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</si>
  <si>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</si>
  <si>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</si>
  <si>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</si>
  <si>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</si>
  <si>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</si>
  <si>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</si>
  <si>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</si>
  <si>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</si>
  <si>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</si>
  <si>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</si>
  <si>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</si>
  <si>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</si>
  <si>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</si>
  <si>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</si>
  <si>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</si>
  <si>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</si>
  <si>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</si>
  <si>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</si>
  <si>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</si>
  <si>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</si>
  <si>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</si>
  <si>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</si>
  <si>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</si>
  <si>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</si>
  <si>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</si>
  <si>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</si>
  <si>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</si>
  <si>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</si>
  <si>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</si>
  <si>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</si>
  <si>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</si>
  <si>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</si>
  <si>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</si>
  <si>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</si>
  <si>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</si>
  <si>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</si>
  <si>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</si>
  <si>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</si>
  <si>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</si>
  <si>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</si>
  <si>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</si>
  <si>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</si>
  <si>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</si>
  <si>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</si>
  <si>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</si>
  <si>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</si>
  <si>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</si>
  <si>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</si>
  <si>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</si>
  <si>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</si>
  <si>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</si>
  <si>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</si>
  <si>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</si>
  <si>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</si>
  <si>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</si>
  <si>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</si>
  <si>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</si>
  <si>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</si>
  <si>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</si>
  <si>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</si>
  <si>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</si>
  <si>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</si>
  <si>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</si>
  <si>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</si>
  <si>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</si>
  <si>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</si>
  <si>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</si>
  <si>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</si>
  <si>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</si>
  <si>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</si>
  <si>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</si>
  <si>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</si>
  <si>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</si>
  <si>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</si>
  <si>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</si>
  <si>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</si>
  <si>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</si>
  <si>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</si>
  <si>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</si>
  <si>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</si>
  <si>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</si>
  <si>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</si>
  <si>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</si>
  <si>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</si>
  <si>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</si>
  <si>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</si>
  <si>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</si>
  <si>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</si>
  <si>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</si>
  <si>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</si>
  <si>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</si>
  <si>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</si>
  <si>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</si>
  <si>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</si>
  <si>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</si>
  <si>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</si>
  <si>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</si>
  <si>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</si>
  <si>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</si>
  <si>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</si>
  <si>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</si>
  <si>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</si>
  <si>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</si>
  <si>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</si>
  <si>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</si>
  <si>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</si>
  <si>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</si>
  <si>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</si>
  <si>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</si>
  <si>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</si>
  <si>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</si>
  <si>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</si>
  <si>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</si>
  <si>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</si>
  <si>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</si>
  <si>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</si>
  <si>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</si>
  <si>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</si>
  <si>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</si>
  <si>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</si>
  <si>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</si>
  <si>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</si>
  <si>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</si>
  <si>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</si>
  <si>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</si>
  <si>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</si>
  <si>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</si>
  <si>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</si>
  <si>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</si>
  <si>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</si>
  <si>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</si>
  <si>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</si>
  <si>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</si>
  <si>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</si>
  <si>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</si>
  <si>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</si>
  <si>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</si>
  <si>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</si>
  <si>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</si>
  <si>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</si>
  <si>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</si>
  <si>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</si>
  <si>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</si>
  <si>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</si>
  <si>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</si>
  <si>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</si>
  <si>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</si>
  <si>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</si>
  <si>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</si>
  <si>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</si>
  <si>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</si>
  <si>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</si>
  <si>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</si>
  <si>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</si>
  <si>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</si>
  <si>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</si>
  <si>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</si>
  <si>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</si>
  <si>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</si>
  <si>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</si>
  <si>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</si>
  <si>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</si>
  <si>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</si>
  <si>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</si>
  <si>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</si>
  <si>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</si>
  <si>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</si>
  <si>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</si>
  <si>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</si>
  <si>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</si>
  <si>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</si>
  <si>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</si>
  <si>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</si>
  <si>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</si>
  <si>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</si>
  <si>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</si>
  <si>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</si>
  <si>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</si>
  <si>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</si>
  <si>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</si>
  <si>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</si>
  <si>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</si>
  <si>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</si>
  <si>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</si>
  <si>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</si>
  <si>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</si>
  <si>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</si>
  <si>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</si>
  <si>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</si>
  <si>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</si>
  <si>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</si>
  <si>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</si>
  <si>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</si>
  <si>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</si>
  <si>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</si>
  <si>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</si>
  <si>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</si>
  <si>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</si>
  <si>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</si>
  <si>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</si>
  <si>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</si>
  <si>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</si>
  <si>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</si>
  <si>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</si>
  <si>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</si>
  <si>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</si>
  <si>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</si>
  <si>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</si>
  <si>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</si>
  <si>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</si>
  <si>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</si>
  <si>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</si>
  <si>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</si>
  <si>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</si>
  <si>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</si>
  <si>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</si>
  <si>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</si>
  <si>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</si>
  <si>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</si>
  <si>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</si>
  <si>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</si>
  <si>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</si>
  <si>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</si>
  <si>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</si>
  <si>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</si>
  <si>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</si>
  <si>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</si>
  <si>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</si>
  <si>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</si>
  <si>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</si>
  <si>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</si>
  <si>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</si>
  <si>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</si>
  <si>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</si>
  <si>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</si>
  <si>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</si>
  <si>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</si>
  <si>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</si>
  <si>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</si>
  <si>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</si>
  <si>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</si>
  <si>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</si>
  <si>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</si>
  <si>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</si>
  <si>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</si>
  <si>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</si>
  <si>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</si>
  <si>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</si>
  <si>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</si>
  <si>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</si>
  <si>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</si>
  <si>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</si>
  <si>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</si>
  <si>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</si>
  <si>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</si>
  <si>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</si>
  <si>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</si>
  <si>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</si>
  <si>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</si>
  <si>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</si>
  <si>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</si>
  <si>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</si>
  <si>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</si>
  <si>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</si>
  <si>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</si>
  <si>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</si>
  <si>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</si>
  <si>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</si>
  <si>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</si>
  <si>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</si>
  <si>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</si>
  <si>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</si>
  <si>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</si>
  <si>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</si>
  <si>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</si>
  <si>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</si>
  <si>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</si>
  <si>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</si>
  <si>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</si>
  <si>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</si>
  <si>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</si>
  <si>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</si>
  <si>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</si>
  <si>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</si>
  <si>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</si>
  <si>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</si>
  <si>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</si>
  <si>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</si>
  <si>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</si>
  <si>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</si>
  <si>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</si>
  <si>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</si>
  <si>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</si>
  <si>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</si>
  <si>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</si>
  <si>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</si>
  <si>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</si>
  <si>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</si>
  <si>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</si>
  <si>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</si>
  <si>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</si>
  <si>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</si>
  <si>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</si>
  <si>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</si>
  <si>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</si>
  <si>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</si>
  <si>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</si>
  <si>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</si>
  <si>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</si>
  <si>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</si>
  <si>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</si>
  <si>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</si>
  <si>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</si>
  <si>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</si>
  <si>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</si>
  <si>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</si>
  <si>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</si>
  <si>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</si>
  <si>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</si>
  <si>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</si>
  <si>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</si>
  <si>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</si>
  <si>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</si>
  <si>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</si>
  <si>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</si>
  <si>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</si>
  <si>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</si>
  <si>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</si>
  <si>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</si>
  <si>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</si>
  <si>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</si>
  <si>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</si>
  <si>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</si>
  <si>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</si>
  <si>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</si>
  <si>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</si>
  <si>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</si>
  <si>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</si>
  <si>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</si>
  <si>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</si>
  <si>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</si>
  <si>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</si>
  <si>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</si>
  <si>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</si>
  <si>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</si>
  <si>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</si>
  <si>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</si>
  <si>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</si>
  <si>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</si>
  <si>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</si>
  <si>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</si>
  <si>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</si>
  <si>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</si>
  <si>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</si>
  <si>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</si>
  <si>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</si>
  <si>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</si>
  <si>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</si>
  <si>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</si>
  <si>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</si>
  <si>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</si>
  <si>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</si>
  <si>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</si>
  <si>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</si>
  <si>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</si>
  <si>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</si>
  <si>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</si>
  <si>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</si>
  <si>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</si>
  <si>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</si>
  <si>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</si>
  <si>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</si>
  <si>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</si>
  <si>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</si>
  <si>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</si>
  <si>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</si>
  <si>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</si>
  <si>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</si>
  <si>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</si>
  <si>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</si>
  <si>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</si>
  <si>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</si>
  <si>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</si>
  <si>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</si>
  <si>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</si>
  <si>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</si>
  <si>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</si>
  <si>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</si>
  <si>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</si>
  <si>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</si>
  <si>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</si>
  <si>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</si>
  <si>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</si>
  <si>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</si>
  <si>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</si>
  <si>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</si>
  <si>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</si>
  <si>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</si>
  <si>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</si>
  <si>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</si>
  <si>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</si>
  <si>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</si>
  <si>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</si>
  <si>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</si>
  <si>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</si>
  <si>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</si>
  <si>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</si>
  <si>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</si>
  <si>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</si>
  <si>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</si>
  <si>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</si>
  <si>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</si>
  <si>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</si>
  <si>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</si>
  <si>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</si>
  <si>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</si>
  <si>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</si>
  <si>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</si>
  <si>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</si>
  <si>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</si>
  <si>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</si>
  <si>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</si>
  <si>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</si>
  <si>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</si>
  <si>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</si>
  <si>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</si>
  <si>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</si>
  <si>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</si>
  <si>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</si>
  <si>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</si>
  <si>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</si>
  <si>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</si>
  <si>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</si>
  <si>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</si>
  <si>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</si>
  <si>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</si>
  <si>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</si>
  <si>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</si>
  <si>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</si>
  <si>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</si>
  <si>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</si>
  <si>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</si>
  <si>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</si>
  <si>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</si>
  <si>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</si>
  <si>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</si>
  <si>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</si>
  <si>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</si>
  <si>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</si>
  <si>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</si>
  <si>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</si>
  <si>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</si>
  <si>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</si>
  <si>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</si>
  <si>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</si>
  <si>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</si>
  <si>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</si>
  <si>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</si>
  <si>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</si>
  <si>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</si>
  <si>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</si>
  <si>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</si>
  <si>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</si>
  <si>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</si>
  <si>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</si>
  <si>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</si>
  <si>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</si>
  <si>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</si>
  <si>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</si>
  <si>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</si>
  <si>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</si>
  <si>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</si>
  <si>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</si>
  <si>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</si>
  <si>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</si>
  <si>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</si>
  <si>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</si>
  <si>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</si>
  <si>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</si>
  <si>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</si>
  <si>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</si>
  <si>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</si>
  <si>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</si>
  <si>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</si>
  <si>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</si>
  <si>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</si>
  <si>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</si>
  <si>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</si>
  <si>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</si>
  <si>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</si>
  <si>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</si>
  <si>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</si>
  <si>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</si>
  <si>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</si>
  <si>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</si>
  <si>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</si>
  <si>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</si>
  <si>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</si>
  <si>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</si>
  <si>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</si>
  <si>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</si>
  <si>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</si>
  <si>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</si>
  <si>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</si>
  <si>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</si>
  <si>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</si>
  <si>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</si>
  <si>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</si>
  <si>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</si>
  <si>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</si>
  <si>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</si>
  <si>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</si>
  <si>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</si>
  <si>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</si>
  <si>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</si>
  <si>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</si>
  <si>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</si>
  <si>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</si>
  <si>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</si>
  <si>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</si>
  <si>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</si>
  <si>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</si>
  <si>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</si>
  <si>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</si>
  <si>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</si>
  <si>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</si>
  <si>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</si>
  <si>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</si>
  <si>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</si>
  <si>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</si>
  <si>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</si>
  <si>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</si>
  <si>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</si>
  <si>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</si>
  <si>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</si>
  <si>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</si>
  <si>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</si>
  <si>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</si>
  <si>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</si>
  <si>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</si>
  <si>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</si>
  <si>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</si>
  <si>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</si>
  <si>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</si>
  <si>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</si>
  <si>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</si>
  <si>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</si>
  <si>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</si>
  <si>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</si>
  <si>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</si>
  <si>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</si>
  <si>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</si>
  <si>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</si>
  <si>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</si>
  <si>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</si>
  <si>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</si>
  <si>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</si>
  <si>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</si>
  <si>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</si>
  <si>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</si>
  <si>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</si>
  <si>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</si>
  <si>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</si>
  <si>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</si>
  <si>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</si>
  <si>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</si>
  <si>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</si>
  <si>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</si>
  <si>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</si>
  <si>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</si>
  <si>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</si>
  <si>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</si>
  <si>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</si>
  <si>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</si>
  <si>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</si>
  <si>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</si>
  <si>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</si>
  <si>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</si>
  <si>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</si>
  <si>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</si>
  <si>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</si>
  <si>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</si>
  <si>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</si>
  <si>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</si>
  <si>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</si>
  <si>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</si>
  <si>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</si>
  <si>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</si>
  <si>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</si>
  <si>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</si>
  <si>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</si>
  <si>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</si>
  <si>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</si>
  <si>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</si>
  <si>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</si>
  <si>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</si>
  <si>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</si>
  <si>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</si>
  <si>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</si>
  <si>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</si>
  <si>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</si>
  <si>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</si>
  <si>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</si>
  <si>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</si>
  <si>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</si>
  <si>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</si>
  <si>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</si>
  <si>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</si>
  <si>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</si>
  <si>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</si>
  <si>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</si>
  <si>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</si>
  <si>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</si>
  <si>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</si>
  <si>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</si>
  <si>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</si>
  <si>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</si>
  <si>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</si>
  <si>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</si>
  <si>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</si>
  <si>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</si>
  <si>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</si>
  <si>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</si>
  <si>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</si>
  <si>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</si>
  <si>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</si>
  <si>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</si>
  <si>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</si>
  <si>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</si>
  <si>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</si>
  <si>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</si>
  <si>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</si>
  <si>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</si>
  <si>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</si>
  <si>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</si>
  <si>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</si>
  <si>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</si>
  <si>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</si>
  <si>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</si>
  <si>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</si>
  <si>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</si>
  <si>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</si>
  <si>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</si>
  <si>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</si>
  <si>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</si>
  <si>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</si>
  <si>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</si>
  <si>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</si>
  <si>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</si>
  <si>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</si>
  <si>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</si>
  <si>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</si>
  <si>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</si>
  <si>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</si>
  <si>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</si>
  <si>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</si>
  <si>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</si>
  <si>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</si>
  <si>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</si>
  <si>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</si>
  <si>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</si>
  <si>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</si>
  <si>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</si>
  <si>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</si>
  <si>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</si>
  <si>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</si>
  <si>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</si>
  <si>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</si>
  <si>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</si>
  <si>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</si>
  <si>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</si>
  <si>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</si>
  <si>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</si>
  <si>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</si>
  <si>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</si>
  <si>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</si>
  <si>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</si>
  <si>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</si>
  <si>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</si>
  <si>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</si>
  <si>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</si>
  <si>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</si>
  <si>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</si>
  <si>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</si>
  <si>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</si>
  <si>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</si>
  <si>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</si>
  <si>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</si>
  <si>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</si>
  <si>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</si>
  <si>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</si>
  <si>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</si>
  <si>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</si>
  <si>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</si>
  <si>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</si>
  <si>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</si>
  <si>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</si>
  <si>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</si>
  <si>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</si>
  <si>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</si>
  <si>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</si>
  <si>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</si>
  <si>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</si>
  <si>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</si>
  <si>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</si>
  <si>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</si>
  <si>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</si>
  <si>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</si>
  <si>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</si>
  <si>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</si>
  <si>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</si>
  <si>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</si>
  <si>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</si>
  <si>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</si>
  <si>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</si>
  <si>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</si>
  <si>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</si>
  <si>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</si>
  <si>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</si>
  <si>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</si>
  <si>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</si>
  <si>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</si>
  <si>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</si>
  <si>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</si>
  <si>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</si>
  <si>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</si>
  <si>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</si>
  <si>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</si>
  <si>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</si>
  <si>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</si>
  <si>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</si>
  <si>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</si>
  <si>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</si>
  <si>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</si>
  <si>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</si>
  <si>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</si>
  <si>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</si>
  <si>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</si>
  <si>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</si>
  <si>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</si>
  <si>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</si>
  <si>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</si>
  <si>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</si>
  <si>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</si>
  <si>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</si>
  <si>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</si>
  <si>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</si>
  <si>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</si>
  <si>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</si>
  <si>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</si>
  <si>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</si>
  <si>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</si>
  <si>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</si>
  <si>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</si>
  <si>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</si>
  <si>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</si>
  <si>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</si>
  <si>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</si>
  <si>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</si>
  <si>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</si>
  <si>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</si>
  <si>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</si>
  <si>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</si>
  <si>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</si>
  <si>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</si>
  <si>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</si>
  <si>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</si>
  <si>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</si>
  <si>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</si>
  <si>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</si>
  <si>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</si>
  <si>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</si>
  <si>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</si>
  <si>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</si>
  <si>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</si>
  <si>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</si>
  <si>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</si>
  <si>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</si>
  <si>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</si>
  <si>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</si>
  <si>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</si>
  <si>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</si>
  <si>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</si>
  <si>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</si>
  <si>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</si>
  <si>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</si>
  <si>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</si>
  <si>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</si>
  <si>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</si>
  <si>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</si>
  <si>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</si>
  <si>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</si>
  <si>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</si>
  <si>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</si>
  <si>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</si>
  <si>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</si>
  <si>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</si>
  <si>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</si>
  <si>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</si>
  <si>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</si>
  <si>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</si>
  <si>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</si>
  <si>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</si>
  <si>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</si>
  <si>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</si>
  <si>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</si>
  <si>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</si>
  <si>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</si>
  <si>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</si>
  <si>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</si>
  <si>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</si>
  <si>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</si>
  <si>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</si>
  <si>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</si>
  <si>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</si>
  <si>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</si>
  <si>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</si>
  <si>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</si>
  <si>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</si>
  <si>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</si>
  <si>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</si>
  <si>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</si>
  <si>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</si>
  <si>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</si>
  <si>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</si>
  <si>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</si>
  <si>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</si>
  <si>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</si>
  <si>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</si>
  <si>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</si>
  <si>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</si>
  <si>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</si>
  <si>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</si>
  <si>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</si>
  <si>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</si>
  <si>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</si>
  <si>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</si>
  <si>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</si>
  <si>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</si>
  <si>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</si>
  <si>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</si>
  <si>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</si>
  <si>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</si>
  <si>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</si>
  <si>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</si>
  <si>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</si>
  <si>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</si>
  <si>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</si>
  <si>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</si>
  <si>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</si>
  <si>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</si>
  <si>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</si>
  <si>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</si>
  <si>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</si>
  <si>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</si>
  <si>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</si>
  <si>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</si>
  <si>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</si>
  <si>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</si>
  <si>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</si>
  <si>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</si>
  <si>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</si>
  <si>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</si>
  <si>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</si>
  <si>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</si>
  <si>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</si>
  <si>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</si>
  <si>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</si>
  <si>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</si>
  <si>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</si>
  <si>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</si>
  <si>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</si>
  <si>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</si>
  <si>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</si>
  <si>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</si>
  <si>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</si>
  <si>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</si>
  <si>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</si>
  <si>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</si>
  <si>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</si>
  <si>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</si>
  <si>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</si>
  <si>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</si>
  <si>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</si>
  <si>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</si>
  <si>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</si>
  <si>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</si>
  <si>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</si>
  <si>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</si>
  <si>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</si>
  <si>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</si>
  <si>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</si>
  <si>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</si>
  <si>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</si>
  <si>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</si>
  <si>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</si>
  <si>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</si>
  <si>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</si>
  <si>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</si>
  <si>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</si>
  <si>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</si>
  <si>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</si>
  <si>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</si>
  <si>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</si>
  <si>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</si>
  <si>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</si>
  <si>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</si>
  <si>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</si>
  <si>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</si>
  <si>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</si>
  <si>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</si>
  <si>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</si>
  <si>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</si>
  <si>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</si>
  <si>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</si>
  <si>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</si>
  <si>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</si>
  <si>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</si>
  <si>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</si>
  <si>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</si>
  <si>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</si>
  <si>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</si>
  <si>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</si>
  <si>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</si>
  <si>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</si>
  <si>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</si>
  <si>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</si>
  <si>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</si>
  <si>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</si>
  <si>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</si>
  <si>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</si>
  <si>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</si>
  <si>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</si>
  <si>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</si>
  <si>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</si>
  <si>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</si>
  <si>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</si>
  <si>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</si>
  <si>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</si>
  <si>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</si>
  <si>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</si>
  <si>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</si>
  <si>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</si>
  <si>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</si>
  <si>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</si>
  <si>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</si>
  <si>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</si>
  <si>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</si>
  <si>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</si>
  <si>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</si>
  <si>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</si>
  <si>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</si>
  <si>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</si>
  <si>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</si>
  <si>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</si>
  <si>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</si>
  <si>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</si>
  <si>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</si>
  <si>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</si>
  <si>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</si>
  <si>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</si>
  <si>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</si>
  <si>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</si>
  <si>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</si>
  <si>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</si>
  <si>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</si>
  <si>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</si>
  <si>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</si>
  <si>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</si>
  <si>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</si>
  <si>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</si>
  <si>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</si>
  <si>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</si>
  <si>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</si>
  <si>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</si>
  <si>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</si>
  <si>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</si>
  <si>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</si>
  <si>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</si>
  <si>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</si>
  <si>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</si>
  <si>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</si>
  <si>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</si>
  <si>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</si>
  <si>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</si>
  <si>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</si>
  <si>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</si>
  <si>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</si>
  <si>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</si>
  <si>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</si>
  <si>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</si>
  <si>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</si>
  <si>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</si>
  <si>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</si>
  <si>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</si>
  <si>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</si>
  <si>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</si>
  <si>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</si>
  <si>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</si>
  <si>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</si>
  <si>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</si>
  <si>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</si>
  <si>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</si>
  <si>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</si>
  <si>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</si>
  <si>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</si>
  <si>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</si>
  <si>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</si>
  <si>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</si>
  <si>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</si>
  <si>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</si>
  <si>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</si>
  <si>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</si>
  <si>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</si>
  <si>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</si>
  <si>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</si>
  <si>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</si>
  <si>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</si>
  <si>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</si>
  <si>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</si>
  <si>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</si>
  <si>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</si>
  <si>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</si>
  <si>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</si>
  <si>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</si>
  <si>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</si>
  <si>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</si>
  <si>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</si>
  <si>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</si>
  <si>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</si>
  <si>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</si>
  <si>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</si>
  <si>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</si>
  <si>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</si>
  <si>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</si>
  <si>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</si>
  <si>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</si>
  <si>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</si>
  <si>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</si>
  <si>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</si>
  <si>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</si>
  <si>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</si>
  <si>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</si>
  <si>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</si>
  <si>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</si>
  <si>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</si>
  <si>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</si>
  <si>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</si>
  <si>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</si>
  <si>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</si>
  <si>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</si>
  <si>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</si>
  <si>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</si>
  <si>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</si>
  <si>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</si>
  <si>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</si>
  <si>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</si>
  <si>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</si>
  <si>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</si>
  <si>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</si>
  <si>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</si>
  <si>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</si>
  <si>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</si>
  <si>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</si>
  <si>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</si>
  <si>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</si>
  <si>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</si>
  <si>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</si>
  <si>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</si>
  <si>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</si>
  <si>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</si>
  <si>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</si>
  <si>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</si>
  <si>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</si>
  <si>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</si>
  <si>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</si>
  <si>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</si>
  <si>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</si>
  <si>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</si>
  <si>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</si>
  <si>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</si>
  <si>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</si>
  <si>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</si>
  <si>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</si>
  <si>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</si>
  <si>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</si>
  <si>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</si>
  <si>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</si>
  <si>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</si>
  <si>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</si>
  <si>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</si>
  <si>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</si>
  <si>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</si>
  <si>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</si>
  <si>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</si>
  <si>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</si>
  <si>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</si>
  <si>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</si>
  <si>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</si>
  <si>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</si>
  <si>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</si>
  <si>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</si>
  <si>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</si>
  <si>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</si>
  <si>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</si>
  <si>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</si>
  <si>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</si>
  <si>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</si>
  <si>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</si>
  <si>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</si>
  <si>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</si>
  <si>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</si>
  <si>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</si>
  <si>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</si>
  <si>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</si>
  <si>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</si>
  <si>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</si>
  <si>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</si>
  <si>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</si>
  <si>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</si>
  <si>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</si>
  <si>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</si>
  <si>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</si>
  <si>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</si>
  <si>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</si>
  <si>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</si>
  <si>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</si>
  <si>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</si>
  <si>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</si>
  <si>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</si>
  <si>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</si>
  <si>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</si>
  <si>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</si>
  <si>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</si>
  <si>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</si>
  <si>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</si>
  <si>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</si>
  <si>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</si>
  <si>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</si>
  <si>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</si>
  <si>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</si>
  <si>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</si>
  <si>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</si>
  <si>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</si>
  <si>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</si>
  <si>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</si>
  <si>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</si>
  <si>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</si>
  <si>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</si>
  <si>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</si>
  <si>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</si>
  <si>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</si>
  <si>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</si>
  <si>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</si>
  <si>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</si>
  <si>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</si>
  <si>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</si>
  <si>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</si>
  <si>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</si>
  <si>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</si>
  <si>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</si>
  <si>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</si>
  <si>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</si>
  <si>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</si>
  <si>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</si>
  <si>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</si>
  <si>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</si>
  <si>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</si>
  <si>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</si>
  <si>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</si>
  <si>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</si>
  <si>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</si>
  <si>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</si>
  <si>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</si>
  <si>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</si>
  <si>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</si>
  <si>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</si>
  <si>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</si>
  <si>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</si>
  <si>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</si>
  <si>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</si>
  <si>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</si>
  <si>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</si>
  <si>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</si>
  <si>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</si>
  <si>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</si>
  <si>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</si>
  <si>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</si>
  <si>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</si>
  <si>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</si>
  <si>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</si>
  <si>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</si>
  <si>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</si>
  <si>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</si>
  <si>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</si>
  <si>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</si>
  <si>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</si>
  <si>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</si>
  <si>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</si>
  <si>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</si>
  <si>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</si>
  <si>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</si>
  <si>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</si>
  <si>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</si>
  <si>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</si>
  <si>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</si>
  <si>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</si>
  <si>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</si>
  <si>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</si>
  <si>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</si>
  <si>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</si>
  <si>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</si>
  <si>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</si>
  <si>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</si>
  <si>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</si>
  <si>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</si>
  <si>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</si>
  <si>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</si>
  <si>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</si>
  <si>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</si>
  <si>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</si>
  <si>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</si>
  <si>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</si>
  <si>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</si>
  <si>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</si>
  <si>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</si>
  <si>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</si>
  <si>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</si>
  <si>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</si>
  <si>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</si>
  <si>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</si>
  <si>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</si>
  <si>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</si>
  <si>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</si>
  <si>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</si>
  <si>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</si>
  <si>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</si>
  <si>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</si>
  <si>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</si>
  <si>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</si>
  <si>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</si>
  <si>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</si>
  <si>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</si>
  <si>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</si>
  <si>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</si>
  <si>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</si>
  <si>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</si>
  <si>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</si>
  <si>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</si>
  <si>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</si>
  <si>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</si>
  <si>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</si>
  <si>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</si>
  <si>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</si>
  <si>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</si>
  <si>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</si>
  <si>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</si>
  <si>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</si>
  <si>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</si>
  <si>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</si>
  <si>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</si>
  <si>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</si>
  <si>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</si>
  <si>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</si>
  <si>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</si>
  <si>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</si>
  <si>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</si>
  <si>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</si>
  <si>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</si>
  <si>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</si>
  <si>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</si>
  <si>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</si>
  <si>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</si>
  <si>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</si>
  <si>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</si>
  <si>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</si>
  <si>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</si>
  <si>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</si>
  <si>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</si>
  <si>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</si>
  <si>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</si>
  <si>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</si>
  <si>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</si>
  <si>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</si>
  <si>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</si>
  <si>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</si>
  <si>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</si>
  <si>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</si>
  <si>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</si>
  <si>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</si>
  <si>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</si>
  <si>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</si>
  <si>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</si>
  <si>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</si>
  <si>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</si>
  <si>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</si>
  <si>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</si>
  <si>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</si>
  <si>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</si>
  <si>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</si>
  <si>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</si>
  <si>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</si>
  <si>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</si>
  <si>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</si>
  <si>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</si>
  <si>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</si>
  <si>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</si>
  <si>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</si>
  <si>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</si>
  <si>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</si>
  <si>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</si>
  <si>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</si>
  <si>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</si>
  <si>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</si>
  <si>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</si>
  <si>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</si>
  <si>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</si>
  <si>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</si>
  <si>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</si>
  <si>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</si>
  <si>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</si>
  <si>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</si>
  <si>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</si>
  <si>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</si>
  <si>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</si>
  <si>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</si>
  <si>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</si>
  <si>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</si>
  <si>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</si>
  <si>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</si>
  <si>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</si>
  <si>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</si>
  <si>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</si>
  <si>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</si>
  <si>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</si>
  <si>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</si>
  <si>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</si>
  <si>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</si>
  <si>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</si>
  <si>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</si>
  <si>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</si>
  <si>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</si>
  <si>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</si>
  <si>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</si>
  <si>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</si>
  <si>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</si>
  <si>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</si>
  <si>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</si>
  <si>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</si>
  <si>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</si>
  <si>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</si>
  <si>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</si>
  <si>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</si>
  <si>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</si>
  <si>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</si>
  <si>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</si>
  <si>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</si>
  <si>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</si>
  <si>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</si>
  <si>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</si>
  <si>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</si>
  <si>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</si>
  <si>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</si>
  <si>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</si>
  <si>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</si>
  <si>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</si>
  <si>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</si>
  <si>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</si>
  <si>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</si>
  <si>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</si>
  <si>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</si>
  <si>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</si>
  <si>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</si>
  <si>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</si>
  <si>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</si>
  <si>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</si>
  <si>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</si>
  <si>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</si>
  <si>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</si>
  <si>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</si>
  <si>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</si>
  <si>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</si>
  <si>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</si>
  <si>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</si>
  <si>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</si>
  <si>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</si>
  <si>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</si>
  <si>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</si>
  <si>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</si>
  <si>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</si>
  <si>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</si>
  <si>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</si>
  <si>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</si>
  <si>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</si>
  <si>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</si>
  <si>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</si>
  <si>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</si>
  <si>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</si>
  <si>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</si>
  <si>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</si>
  <si>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</si>
  <si>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</si>
  <si>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</si>
  <si>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</si>
  <si>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</si>
  <si>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</si>
  <si>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</si>
  <si>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</si>
  <si>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</si>
  <si>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</si>
  <si>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</si>
  <si>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</si>
  <si>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</si>
  <si>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</si>
  <si>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</si>
  <si>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</si>
  <si>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</si>
  <si>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</si>
  <si>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</si>
  <si>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</si>
  <si>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</si>
  <si>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</si>
  <si>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</si>
  <si>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</si>
  <si>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</si>
  <si>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</si>
  <si>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</si>
  <si>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</si>
  <si>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</si>
  <si>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</si>
  <si>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</si>
  <si>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</si>
  <si>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</si>
  <si>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</si>
  <si>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</si>
  <si>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</si>
  <si>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</si>
  <si>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</si>
  <si>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</si>
  <si>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</si>
  <si>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</si>
  <si>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</si>
  <si>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</si>
  <si>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</si>
  <si>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</si>
  <si>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</si>
  <si>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</si>
  <si>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</si>
  <si>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</si>
  <si>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</si>
  <si>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</si>
  <si>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</si>
  <si>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</si>
  <si>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</si>
  <si>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</si>
  <si>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</si>
  <si>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</si>
  <si>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</si>
  <si>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</si>
  <si>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</si>
  <si>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</si>
  <si>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</si>
  <si>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</si>
  <si>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</si>
  <si>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</si>
  <si>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</si>
  <si>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</si>
  <si>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</si>
  <si>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</si>
  <si>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</si>
  <si>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</si>
  <si>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</si>
  <si>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</si>
  <si>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</si>
  <si>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</si>
  <si>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</si>
  <si>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</si>
  <si>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</si>
  <si>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</si>
  <si>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</si>
  <si>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</si>
  <si>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</si>
  <si>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</si>
  <si>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</si>
  <si>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</si>
  <si>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</si>
  <si>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</si>
  <si>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</si>
  <si>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</si>
  <si>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</si>
  <si>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</si>
  <si>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</si>
  <si>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</si>
  <si>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</si>
  <si>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</si>
  <si>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</si>
  <si>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</si>
  <si>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</si>
  <si>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</si>
  <si>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</si>
  <si>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</si>
  <si>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</si>
  <si>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</si>
  <si>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</si>
  <si>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</si>
  <si>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</si>
  <si>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</si>
  <si>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</si>
  <si>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</si>
  <si>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</si>
  <si>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</si>
  <si>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</si>
  <si>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</si>
  <si>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</si>
  <si>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</si>
  <si>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</si>
  <si>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</si>
  <si>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</si>
  <si>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</si>
  <si>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</si>
  <si>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</si>
  <si>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</si>
  <si>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</si>
  <si>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</si>
  <si>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</si>
  <si>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</si>
  <si>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</si>
  <si>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</si>
  <si>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</si>
  <si>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</si>
  <si>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</si>
  <si>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</si>
  <si>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</si>
  <si>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</si>
  <si>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</si>
  <si>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</si>
  <si>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</si>
  <si>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</si>
  <si>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</si>
  <si>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</si>
  <si>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</si>
  <si>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</si>
  <si>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</si>
  <si>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</si>
  <si>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</si>
  <si>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</si>
  <si>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</si>
  <si>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</si>
  <si>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</si>
  <si>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</si>
  <si>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</si>
  <si>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</si>
  <si>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</si>
  <si>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</si>
  <si>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</si>
  <si>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</si>
  <si>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</si>
  <si>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</si>
  <si>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</si>
  <si>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</si>
  <si>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</si>
  <si>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</si>
  <si>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</si>
  <si>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</si>
  <si>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</si>
  <si>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</si>
  <si>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</si>
  <si>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</si>
  <si>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</si>
  <si>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</si>
  <si>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</si>
  <si>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</si>
  <si>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</si>
  <si>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</si>
  <si>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</si>
  <si>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</si>
  <si>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</si>
  <si>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</si>
  <si>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</si>
  <si>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</si>
  <si>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</si>
  <si>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</si>
  <si>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</si>
  <si>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</si>
  <si>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</si>
  <si>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</si>
  <si>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</si>
  <si>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</si>
  <si>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</si>
  <si>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</si>
  <si>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</si>
  <si>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</si>
  <si>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</si>
  <si>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</si>
  <si>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</si>
  <si>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</si>
  <si>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</si>
  <si>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</si>
  <si>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</si>
  <si>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</si>
  <si>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</si>
  <si>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</si>
  <si>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</si>
  <si>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</si>
  <si>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</si>
  <si>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</si>
  <si>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</si>
  <si>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</si>
  <si>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</si>
  <si>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</si>
  <si>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</si>
  <si>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</si>
  <si>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</si>
  <si>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</si>
  <si>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</si>
  <si>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</si>
  <si>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</si>
  <si>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</si>
  <si>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</si>
  <si>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</si>
  <si>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</si>
  <si>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</si>
  <si>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</si>
  <si>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</si>
  <si>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</si>
  <si>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</si>
  <si>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</si>
  <si>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</si>
  <si>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</si>
  <si>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</si>
  <si>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</si>
  <si>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</si>
  <si>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</si>
  <si>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</si>
  <si>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</si>
  <si>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</si>
  <si>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</si>
  <si>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</si>
  <si>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</si>
  <si>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</si>
  <si>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</si>
  <si>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</si>
  <si>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</si>
  <si>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</si>
  <si>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</si>
  <si>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</si>
  <si>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</si>
  <si>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</si>
  <si>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</si>
  <si>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</si>
  <si>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</si>
  <si>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</si>
  <si>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</si>
  <si>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</si>
  <si>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</si>
  <si>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</si>
  <si>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</si>
  <si>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</si>
  <si>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</si>
  <si>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</si>
  <si>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</si>
  <si>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</si>
  <si>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</si>
  <si>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</si>
  <si>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</si>
  <si>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</si>
  <si>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</si>
  <si>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</si>
  <si>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</si>
  <si>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</si>
  <si>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</si>
  <si>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</si>
  <si>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</si>
  <si>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</si>
  <si>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</si>
  <si>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</si>
  <si>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</si>
  <si>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</si>
  <si>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</si>
  <si>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</si>
  <si>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</si>
  <si>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</si>
  <si>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</si>
  <si>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</si>
  <si>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</si>
  <si>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</si>
  <si>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</si>
  <si>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</si>
  <si>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</si>
  <si>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</si>
  <si>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</si>
  <si>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</si>
  <si>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</si>
  <si>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</si>
  <si>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</si>
  <si>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</si>
  <si>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</si>
  <si>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</si>
  <si>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</si>
  <si>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</si>
  <si>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</si>
  <si>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</si>
  <si>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</si>
  <si>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</si>
  <si>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</si>
  <si>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</si>
  <si>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</si>
  <si>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</si>
  <si>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</si>
  <si>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</si>
  <si>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</si>
  <si>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</si>
  <si>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</si>
  <si>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</si>
  <si>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</si>
  <si>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</si>
  <si>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</si>
  <si>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</si>
  <si>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</si>
  <si>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</si>
  <si>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</si>
  <si>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</si>
  <si>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</si>
  <si>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</si>
  <si>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</si>
  <si>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</si>
  <si>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</si>
  <si>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</si>
  <si>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</si>
  <si>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</si>
  <si>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</si>
  <si>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</si>
  <si>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</si>
  <si>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</si>
  <si>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</si>
  <si>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</si>
  <si>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</si>
  <si>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</si>
  <si>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</si>
  <si>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</si>
  <si>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</si>
  <si>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</si>
  <si>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</si>
  <si>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</si>
  <si>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</si>
  <si>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</si>
  <si>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</si>
  <si>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</si>
  <si>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</si>
  <si>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</si>
  <si>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</si>
  <si>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</si>
  <si>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</si>
  <si>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</si>
  <si>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</si>
  <si>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</si>
  <si>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</si>
  <si>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</si>
  <si>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</si>
  <si>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</si>
  <si>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</si>
  <si>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</si>
  <si>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</si>
  <si>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</si>
  <si>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</si>
  <si>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</si>
  <si>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</si>
  <si>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</si>
  <si>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</si>
  <si>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</si>
  <si>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</si>
  <si>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</si>
  <si>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</si>
  <si>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</si>
  <si>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</si>
  <si>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</si>
  <si>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</si>
  <si>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</si>
  <si>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</si>
  <si>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</si>
  <si>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</si>
  <si>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</si>
  <si>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</si>
  <si>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</si>
  <si>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</si>
  <si>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</si>
  <si>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</si>
  <si>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</si>
  <si>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</si>
  <si>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</si>
  <si>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</si>
  <si>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</si>
  <si>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</si>
  <si>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</si>
  <si>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</si>
  <si>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</si>
  <si>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</si>
  <si>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</si>
  <si>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</si>
  <si>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</si>
  <si>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</si>
  <si>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</si>
  <si>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</si>
  <si>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</si>
  <si>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</si>
  <si>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</si>
  <si>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</si>
  <si>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</si>
  <si>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</si>
  <si>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</si>
  <si>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</si>
  <si>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</si>
  <si>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</si>
  <si>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</si>
  <si>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</si>
  <si>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</si>
  <si>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</si>
  <si>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</si>
  <si>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</si>
  <si>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</si>
  <si>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</si>
  <si>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</si>
  <si>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</si>
  <si>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</si>
  <si>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</si>
  <si>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</si>
  <si>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</si>
  <si>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</si>
  <si>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</si>
  <si>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</si>
  <si>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</si>
  <si>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</si>
  <si>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</si>
  <si>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</si>
  <si>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</si>
  <si>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</si>
  <si>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</si>
  <si>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</si>
  <si>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</si>
  <si>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</si>
  <si>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</si>
  <si>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</si>
  <si>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</si>
  <si>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</si>
  <si>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</si>
  <si>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</si>
  <si>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</si>
  <si>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</si>
  <si>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</si>
  <si>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</si>
  <si>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</si>
  <si>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</si>
  <si>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</si>
  <si>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</si>
  <si>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</si>
  <si>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</si>
  <si>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</si>
  <si>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</si>
  <si>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</si>
  <si>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</si>
  <si>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</si>
  <si>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</si>
  <si>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</si>
  <si>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</si>
  <si>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</si>
  <si>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</si>
  <si>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</si>
  <si>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</si>
  <si>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</si>
  <si>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</si>
  <si>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</si>
  <si>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</si>
  <si>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</si>
  <si>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</si>
  <si>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</si>
  <si>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</si>
  <si>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</si>
  <si>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</si>
  <si>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</si>
  <si>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</si>
  <si>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</si>
  <si>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</si>
  <si>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</si>
  <si>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</si>
  <si>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</si>
  <si>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</si>
  <si>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</si>
  <si>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</si>
  <si>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</si>
  <si>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</si>
  <si>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</si>
  <si>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</si>
  <si>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</si>
  <si>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</si>
  <si>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</si>
  <si>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</si>
  <si>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</si>
  <si>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</si>
  <si>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</si>
  <si>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</si>
  <si>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</si>
  <si>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</si>
  <si>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</si>
  <si>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</si>
  <si>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</si>
  <si>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</si>
  <si>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</si>
  <si>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</si>
  <si>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</si>
  <si>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</si>
  <si>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</si>
  <si>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</si>
  <si>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</si>
  <si>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</si>
  <si>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</si>
  <si>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</si>
  <si>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</si>
  <si>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</si>
  <si>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</si>
  <si>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</si>
  <si>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</si>
  <si>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</si>
  <si>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</si>
  <si>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</si>
  <si>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</si>
  <si>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</si>
  <si>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</si>
  <si>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</si>
  <si>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</si>
  <si>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</si>
  <si>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</si>
  <si>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</si>
  <si>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</si>
  <si>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</si>
  <si>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</si>
  <si>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</si>
  <si>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</si>
  <si>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</si>
  <si>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</si>
  <si>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</si>
  <si>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</si>
  <si>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</si>
  <si>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</si>
  <si>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</si>
  <si>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</si>
  <si>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</si>
  <si>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</si>
  <si>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</si>
  <si>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</si>
  <si>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</si>
  <si>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</si>
  <si>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</si>
  <si>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</si>
  <si>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</si>
  <si>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</si>
  <si>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</si>
  <si>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</si>
  <si>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</si>
  <si>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</si>
  <si>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</si>
  <si>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</si>
  <si>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</si>
  <si>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</si>
  <si>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</si>
  <si>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</si>
  <si>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</si>
  <si>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</si>
  <si>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</si>
  <si>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</si>
  <si>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</si>
  <si>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</si>
  <si>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</si>
  <si>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</si>
  <si>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</si>
  <si>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</si>
  <si>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</si>
  <si>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</si>
  <si>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</si>
  <si>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</si>
  <si>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</si>
  <si>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</si>
  <si>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</si>
  <si>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</si>
  <si>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</si>
  <si>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</si>
  <si>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</si>
  <si>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</si>
  <si>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</si>
  <si>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</si>
  <si>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</si>
  <si>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</si>
  <si>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</si>
  <si>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</si>
  <si>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</si>
  <si>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</si>
  <si>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</si>
  <si>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</si>
  <si>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</si>
  <si>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</si>
  <si>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</si>
  <si>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</si>
  <si>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</si>
  <si>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</si>
  <si>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</si>
  <si>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</si>
  <si>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</si>
  <si>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</si>
  <si>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</si>
  <si>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</si>
  <si>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</si>
  <si>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</si>
  <si>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</si>
  <si>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</si>
  <si>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</si>
  <si>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</si>
  <si>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</si>
  <si>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</si>
  <si>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</si>
  <si>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</si>
  <si>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</si>
  <si>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</si>
  <si>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</si>
  <si>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</si>
  <si>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</si>
  <si>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</si>
  <si>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</si>
  <si>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</si>
  <si>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</si>
  <si>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</si>
  <si>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</si>
  <si>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</si>
  <si>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</si>
  <si>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</si>
  <si>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</si>
  <si>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</si>
  <si>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</si>
  <si>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</si>
  <si>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</si>
  <si>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</si>
  <si>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</si>
  <si>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</si>
  <si>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</si>
  <si>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</si>
  <si>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</si>
  <si>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</si>
  <si>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</si>
  <si>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</si>
  <si>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</si>
  <si>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</si>
  <si>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</si>
  <si>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</si>
  <si>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</si>
  <si>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</si>
  <si>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</si>
  <si>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</si>
  <si>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</si>
  <si>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</si>
  <si>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</si>
  <si>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</si>
  <si>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</si>
  <si>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</si>
  <si>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</si>
  <si>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</si>
  <si>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</si>
  <si>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</si>
  <si>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</si>
  <si>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</si>
  <si>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</si>
  <si>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</si>
  <si>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</si>
  <si>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</si>
  <si>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</si>
  <si>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</si>
  <si>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</si>
  <si>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</si>
  <si>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</si>
  <si>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</si>
  <si>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</si>
  <si>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</si>
  <si>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</si>
  <si>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</si>
  <si>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</si>
  <si>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</si>
  <si>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</si>
  <si>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</si>
  <si>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</si>
  <si>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</si>
  <si>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</si>
  <si>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</si>
  <si>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</si>
  <si>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</si>
  <si>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</si>
  <si>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</si>
  <si>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比较法-住宅、综合</t>
  </si>
  <si>
    <t>剩余法-待开发</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</si>
  <si>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</si>
  <si>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</si>
  <si>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</si>
  <si>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</si>
  <si>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</si>
  <si>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</si>
  <si>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</si>
  <si>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</si>
  <si>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</si>
  <si>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</si>
  <si>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</si>
  <si>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</si>
  <si>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</si>
  <si>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</si>
  <si>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</si>
  <si>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</si>
  <si>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</si>
  <si>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</si>
  <si>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</si>
  <si>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</si>
  <si>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</si>
  <si>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</si>
  <si>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</si>
  <si>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</si>
  <si>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</si>
  <si>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</si>
  <si>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</si>
  <si>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</si>
  <si>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</si>
  <si>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</si>
  <si>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总</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</si>
  <si>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</si>
  <si>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</si>
  <si>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</si>
  <si>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</si>
  <si>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</si>
  <si>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</si>
  <si>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</si>
  <si>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</si>
  <si>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</si>
  <si>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</si>
  <si>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</si>
  <si>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</si>
  <si>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</si>
  <si>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</si>
  <si>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</si>
  <si>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</si>
  <si>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</si>
  <si>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</si>
  <si>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</si>
  <si>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</si>
  <si>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</si>
  <si>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</si>
  <si>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</si>
  <si>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</si>
  <si>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</si>
  <si>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</si>
  <si>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</si>
  <si>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</si>
  <si>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</si>
  <si>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</si>
  <si>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</si>
  <si>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</si>
  <si>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元/车位</t>
  </si>
  <si>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</si>
  <si>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</si>
  <si>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</si>
  <si>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</si>
  <si>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</si>
  <si>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</si>
  <si>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</si>
  <si>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</si>
  <si>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</si>
  <si>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</si>
  <si>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</si>
  <si>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</si>
  <si>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已注销</t>
  </si>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</sst>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8</xdr:col>
      <xdr:colOff>180168</xdr:colOff>
      <xdr:row>36</xdr:row>
      <xdr:rowOff>75776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5750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0</xdr:colOff>
      <xdr:row>7</xdr:row>
      <xdr:rowOff>76200</xdr:rowOff>
    </xdr:from>
    <xdr:to>
      <xdr:col>13</xdr:col>
      <xdr:colOff>541744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748&#21271;&#20140;&#24066;&#36890;&#24030;&#21306;&#26792;&#22253;&#38215;&#32736;&#26223;&#21335;&#37324;&#19996;&#21306;&#21830;&#19994;&#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办公"/>
      <sheetName val="不动产收益法-地下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车位2"/>
      <sheetName val="办公租金案例"/>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32706.320000000003</v>
          </cell>
          <cell r="C14">
            <v>6759.97</v>
          </cell>
          <cell r="D14">
            <v>27257</v>
          </cell>
          <cell r="H14">
            <v>27257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王鹏、郑燚</v>
      </c>
      <c r="N4" s="2831" t="str">
        <f>'预评函-1'!A28</f>
        <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受贵公司委托，我公司对出让国有建设用地使用权抵押价格进行了预评估。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2019年12月18日（评估专业人员勘察现场之日）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根据《国有土地使用证》[]，估价对象（分摊）出让国有建设用地使用权面积为34964.49平方米。根据《建设工程规划许可证》[]、《出让合同》[]，估价对象规划建筑面积为109310.18平方米。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2053年11月18日、车库2053年11月18日、仓储2053年11月18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row>
    <row r="19" spans="1:48" s="2828" customFormat="1">
      <c r="A19" s="2829" t="s">
        <v>2669</v>
      </c>
      <c r="B19" s="283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估价期日：2019年12月18日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红线外七通、宗地红线内场地平整</v>
      </c>
    </row>
    <row r="39" spans="1:2">
      <c r="A39" s="2829" t="s">
        <v>2716</v>
      </c>
      <c r="B39" s="2830" t="str">
        <f>'预评函-2'!L5</f>
        <v>红线外七通、宗地红线内场地平整</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34964.49</v>
      </c>
    </row>
    <row r="44" spans="1:2">
      <c r="A44" s="2829" t="s">
        <v>2737</v>
      </c>
      <c r="B44" s="2830" t="str">
        <f>'预评函-2'!O3</f>
        <v>规划建筑面积/㎡</v>
      </c>
    </row>
    <row r="45" spans="1:2">
      <c r="A45" s="2829" t="s">
        <v>2719</v>
      </c>
      <c r="B45" s="2830">
        <f>'预评函-2'!O5</f>
        <v>109310.18</v>
      </c>
    </row>
    <row r="46" spans="1:2">
      <c r="A46" s="2829" t="s">
        <v>2720</v>
      </c>
      <c r="B46" s="2830">
        <f ca="1">'预评函-2'!P5</f>
        <v>73147</v>
      </c>
    </row>
    <row r="47" spans="1:2">
      <c r="A47" s="2829" t="s">
        <v>2721</v>
      </c>
      <c r="B47" s="2830">
        <f ca="1">'预评函-2'!Q5</f>
        <v>23397</v>
      </c>
    </row>
    <row r="48" spans="1:2">
      <c r="A48" s="2829" t="s">
        <v>2722</v>
      </c>
      <c r="B48" s="2830">
        <f ca="1">'预评函-2'!R5</f>
        <v>255756</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f ca="1">'预评函-2'!R7</f>
        <v>255756</v>
      </c>
    </row>
    <row r="53" spans="1:2">
      <c r="A53" s="2829" t="s">
        <v>2740</v>
      </c>
      <c r="B53" s="2830" t="str">
        <f>'预评函-2'!A8</f>
        <v>——</v>
      </c>
    </row>
    <row r="54" spans="1:2" s="2844" customFormat="1" ht="15" thickBot="1">
      <c r="A54" s="2851" t="s">
        <v>2725</v>
      </c>
      <c r="B54" s="2852" t="str">
        <f>'预评函-2'!R8</f>
        <v>——</v>
      </c>
    </row>
    <row r="55" spans="1:2" ht="15" thickTop="1">
      <c r="A55" s="2840" t="s">
        <v>2675</v>
      </c>
      <c r="B55" s="2841" t="str">
        <f>'预评函-3'!A2</f>
        <v>1.权利限制：根据估价对象《不动产权证书》复印件、，截至估价期日，估价对象已设定抵押。未设定租赁等其他他项权利。</v>
      </c>
    </row>
    <row r="56" spans="1:2">
      <c r="A56" s="2829" t="s">
        <v>2676</v>
      </c>
      <c r="B56" s="2830" t="str">
        <f>'预评函-3'!A3</f>
        <v>2.基础设施条件：估价对象实际开发程度为红线外七通、宗地红线内场地平整；本次评估设定开发程度为红线外七通、宗地红线内场地平整。</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综上，本次评估不存在估价师知悉的法定优先受偿款</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王鹏</v>
      </c>
    </row>
    <row r="70" spans="1:2">
      <c r="A70" s="2829" t="s">
        <v>2687</v>
      </c>
      <c r="B70" s="2836">
        <f ca="1">'预评函-3'!B20</f>
        <v>2002110030</v>
      </c>
    </row>
    <row r="71" spans="1:2">
      <c r="A71" s="2829" t="s">
        <v>2688</v>
      </c>
      <c r="B71" s="2830" t="str">
        <f>'预评函-3'!A21</f>
        <v>郑燚</v>
      </c>
    </row>
    <row r="72" spans="1:2" s="2844" customFormat="1" ht="15" thickBot="1">
      <c r="A72" s="2851" t="s">
        <v>2688</v>
      </c>
      <c r="B72" s="2857">
        <f ca="1">'预评函-3'!B21</f>
        <v>2014110011</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K11" sqref="K11"/>
    </sheetView>
  </sheetViews>
  <sheetFormatPr defaultColWidth="10" defaultRowHeight="14.25"/>
  <cols>
    <col min="1" max="1" width="15.375" style="1671" customWidth="1"/>
    <col min="2" max="2" width="11.375" style="1671" customWidth="1"/>
    <col min="3" max="3" width="12.625" style="1671" customWidth="1"/>
    <col min="4" max="4" width="11.6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41" t="str">
        <f>IF(B10="北京市","北京市",C10)&amp;F10&amp;B16&amp;"国有建设用地使用权"&amp;B9&amp;"预评估"</f>
        <v>出让国有建设用地使用权抵押价格预评估</v>
      </c>
      <c r="C1" s="3242"/>
      <c r="D1" s="3242"/>
      <c r="E1" s="3242"/>
      <c r="F1" s="3242"/>
      <c r="G1" s="3242"/>
      <c r="H1" s="3242"/>
      <c r="I1" s="3243"/>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43817</v>
      </c>
      <c r="C3" s="1643" t="s">
        <v>1992</v>
      </c>
      <c r="D3" s="1642">
        <v>43817</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3029</v>
      </c>
      <c r="C4" s="1826">
        <f ca="1">SUMIF(土地估价师,B4,估价师及机构信息!E3:E24)</f>
        <v>2002110030</v>
      </c>
      <c r="D4" s="1823" t="s">
        <v>3030</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2703</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47" t="s">
        <v>1943</v>
      </c>
      <c r="E8" s="1824" t="s">
        <v>3109</v>
      </c>
      <c r="F8" s="1652"/>
      <c r="G8" s="1640"/>
      <c r="H8" s="1640"/>
      <c r="I8" s="1687"/>
      <c r="J8" s="1674"/>
      <c r="K8" s="1754"/>
      <c r="L8" s="1703"/>
      <c r="M8" s="1703"/>
      <c r="N8" s="1674"/>
      <c r="O8" s="1675"/>
      <c r="P8" s="1674"/>
      <c r="Q8" s="1674"/>
      <c r="R8" s="1674"/>
      <c r="S8" s="1674"/>
      <c r="T8" s="1674"/>
      <c r="U8" s="1674"/>
    </row>
    <row r="9" spans="1:21" ht="15" thickBot="1">
      <c r="A9" s="1653" t="s">
        <v>1942</v>
      </c>
      <c r="B9" s="1654" t="s">
        <v>3110</v>
      </c>
      <c r="C9" s="1655"/>
      <c r="D9" s="3248"/>
      <c r="E9" s="1654" t="s">
        <v>951</v>
      </c>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44"/>
      <c r="C12" s="3245"/>
      <c r="D12" s="3246"/>
      <c r="E12" s="1679" t="s">
        <v>2058</v>
      </c>
      <c r="F12" s="3262" t="s">
        <v>2886</v>
      </c>
      <c r="G12" s="3263"/>
      <c r="H12" s="3263"/>
      <c r="I12" s="3264"/>
      <c r="J12" s="1674"/>
      <c r="K12" s="1754"/>
      <c r="L12" s="1703"/>
      <c r="M12" s="1703"/>
      <c r="N12" s="1674"/>
      <c r="O12" s="1675"/>
      <c r="P12" s="1674"/>
      <c r="Q12" s="1674"/>
      <c r="R12" s="1674"/>
      <c r="S12" s="1674"/>
      <c r="T12" s="1674"/>
      <c r="U12" s="1674"/>
    </row>
    <row r="13" spans="1:21">
      <c r="A13" s="1667" t="s">
        <v>2056</v>
      </c>
      <c r="B13" s="3244"/>
      <c r="C13" s="3245"/>
      <c r="D13" s="3246"/>
      <c r="E13" s="1679" t="s">
        <v>2058</v>
      </c>
      <c r="F13" s="3262" t="s">
        <v>2887</v>
      </c>
      <c r="G13" s="3263"/>
      <c r="H13" s="3263"/>
      <c r="I13" s="3264"/>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2.75">
      <c r="A16" s="1660" t="s">
        <v>1946</v>
      </c>
      <c r="B16" s="1661" t="s">
        <v>2978</v>
      </c>
      <c r="C16" s="1679" t="s">
        <v>1947</v>
      </c>
      <c r="D16" s="2606" t="s">
        <v>1948</v>
      </c>
      <c r="E16" s="1702" t="s">
        <v>2988</v>
      </c>
      <c r="F16" s="1702" t="s">
        <v>1676</v>
      </c>
      <c r="G16" s="1702" t="s">
        <v>2989</v>
      </c>
      <c r="H16" s="1702" t="s">
        <v>2990</v>
      </c>
      <c r="I16" s="1666" t="s">
        <v>1953</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办公2053年11月18日</v>
      </c>
      <c r="P16" s="1679" t="str">
        <f>IF(OR(O16="",Q16=""),"","、")</f>
        <v>、</v>
      </c>
      <c r="Q16" s="2416" t="str">
        <f>IF(G17="","",G16&amp;TEXT(G17,"yyyy年m月d日;;"))</f>
        <v>车库2053年11月18日</v>
      </c>
      <c r="R16" s="1679" t="str">
        <f>IF(OR(Q16="",S16=""),"","、")</f>
        <v>、</v>
      </c>
      <c r="S16" s="2416" t="str">
        <f>IF(H17="","",H16&amp;TEXT(H17,"yyyy年m月d日;;"))</f>
        <v>仓储2053年11月18日</v>
      </c>
      <c r="T16" s="1679" t="str">
        <f>IF(OR(S16="",U16=""),"","、")</f>
        <v/>
      </c>
      <c r="U16" s="2416" t="str">
        <f>IF(I17="","",I16&amp;TEXT(I17,"yyyy年m月d日;;"))</f>
        <v/>
      </c>
    </row>
    <row r="17" spans="1:21">
      <c r="A17" s="1743"/>
      <c r="B17" s="1662"/>
      <c r="C17" s="1663" t="s">
        <v>1954</v>
      </c>
      <c r="D17" s="1680">
        <v>63511</v>
      </c>
      <c r="E17" s="1680">
        <v>52553</v>
      </c>
      <c r="F17" s="1680">
        <v>56206</v>
      </c>
      <c r="G17" s="1680">
        <v>56206</v>
      </c>
      <c r="H17" s="1680">
        <v>56206</v>
      </c>
      <c r="I17" s="1680"/>
      <c r="J17" s="1674"/>
      <c r="K17" s="2415" t="str">
        <f>CONCATENATE(K16,L16,M16,N16,O16,P16,Q16,R16,S16,T16,,U16)</f>
        <v>住宅2073年11月18日、商业2043年11月18日、办公2053年11月18日、车库2053年11月18日、仓储2053年11月18日</v>
      </c>
      <c r="L17" s="1703"/>
      <c r="M17" s="1703"/>
      <c r="N17" s="1674"/>
      <c r="O17" s="1675"/>
      <c r="P17" s="1674"/>
      <c r="Q17" s="1674"/>
      <c r="R17" s="1674"/>
      <c r="S17" s="1674"/>
      <c r="T17" s="1674"/>
      <c r="U17" s="1674"/>
    </row>
    <row r="18" spans="1:21">
      <c r="A18" s="1743"/>
      <c r="B18" s="1662"/>
      <c r="C18" s="1663" t="s">
        <v>1955</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1956</v>
      </c>
      <c r="D19" s="1738">
        <f>IF(B16="出让",IF(D17="","",ROUNDDOWN(MIN((D17-$D$3)/365,D18),2)),D18)</f>
        <v>53.95</v>
      </c>
      <c r="E19" s="1665">
        <f>IF(B16="出让",IF(E17="","",ROUNDDOWN(MIN((E17-$D$3)/365,E18),2)),E18)</f>
        <v>23.93</v>
      </c>
      <c r="F19" s="1665">
        <f>IF(B16="出让",IF(F17="","",ROUNDDOWN(MIN((F17-$D$3)/365,F18),2)),F18)</f>
        <v>33.94</v>
      </c>
      <c r="G19" s="1665">
        <f>IF(B16="出让",IF(G17="","",ROUNDDOWN(MIN((G17-$D$3)/365,G18),2)),G18)</f>
        <v>33.94</v>
      </c>
      <c r="H19" s="1665">
        <f>IF(B16="出让",IF(H17="","",ROUNDDOWN(MIN((H17-$D$3)/365,H18),2)),H18)</f>
        <v>33.94</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59"/>
      <c r="E20" s="3260"/>
      <c r="F20" s="3260"/>
      <c r="G20" s="3260"/>
      <c r="H20" s="3260"/>
      <c r="I20" s="3261"/>
      <c r="J20" s="1674"/>
      <c r="K20" s="1754"/>
      <c r="L20" s="1703"/>
      <c r="M20" s="1703"/>
      <c r="N20" s="1674"/>
      <c r="O20" s="1675"/>
      <c r="P20" s="1674"/>
      <c r="Q20" s="1674"/>
      <c r="R20" s="1674"/>
      <c r="S20" s="1674"/>
      <c r="T20" s="1674"/>
      <c r="U20" s="1674"/>
    </row>
    <row r="21" spans="1:21">
      <c r="A21" s="1743" t="s">
        <v>1957</v>
      </c>
      <c r="B21" s="1744" t="s">
        <v>1958</v>
      </c>
      <c r="C21" s="1739">
        <f>'数据-汇总表'!E3</f>
        <v>109310.18</v>
      </c>
      <c r="D21" s="1740" t="s">
        <v>1959</v>
      </c>
      <c r="E21" s="3249" t="s">
        <v>1995</v>
      </c>
      <c r="F21" s="3250"/>
      <c r="G21" s="3250"/>
      <c r="H21" s="3250"/>
      <c r="I21" s="3251"/>
      <c r="J21" s="1674"/>
      <c r="K21" s="1754"/>
      <c r="L21" s="1703"/>
      <c r="M21" s="1703"/>
      <c r="N21" s="1674"/>
      <c r="O21" s="1675"/>
      <c r="P21" s="1674"/>
      <c r="Q21" s="1674"/>
      <c r="R21" s="1674"/>
      <c r="S21" s="1674"/>
      <c r="T21" s="1674"/>
      <c r="U21" s="1674"/>
    </row>
    <row r="22" spans="1:21">
      <c r="A22" s="3093" t="s">
        <v>951</v>
      </c>
      <c r="B22" s="1641" t="s">
        <v>1960</v>
      </c>
      <c r="C22" s="1666">
        <f>'数据-汇总表'!D3</f>
        <v>34964.49</v>
      </c>
      <c r="D22" s="1667" t="s">
        <v>1959</v>
      </c>
      <c r="E22" s="3249" t="s">
        <v>2888</v>
      </c>
      <c r="F22" s="3250"/>
      <c r="G22" s="3250"/>
      <c r="H22" s="3250"/>
      <c r="I22" s="3251"/>
      <c r="J22" s="1674"/>
      <c r="K22" s="1754"/>
      <c r="L22" s="1703"/>
      <c r="M22" s="1703"/>
      <c r="N22" s="1674"/>
      <c r="O22" s="1675"/>
      <c r="P22" s="1674"/>
      <c r="Q22" s="1674"/>
      <c r="R22" s="1674"/>
      <c r="S22" s="1674"/>
      <c r="T22" s="1674"/>
      <c r="U22" s="1674"/>
    </row>
    <row r="23" spans="1:21" ht="43.5" thickBot="1">
      <c r="A23" s="1745" t="s">
        <v>1961</v>
      </c>
      <c r="B23" s="1681" t="s">
        <v>1962</v>
      </c>
      <c r="C23" s="1682" t="s">
        <v>1677</v>
      </c>
      <c r="D23" s="1683" t="s">
        <v>1963</v>
      </c>
      <c r="E23" s="1684" t="s">
        <v>2991</v>
      </c>
      <c r="F23" s="1685" t="str">
        <f>IF(AND(C23="是",E23="否"),"是否提供他项权证或相关说明","")</f>
        <v>是否提供他项权证或相关说明</v>
      </c>
      <c r="G23" s="1686" t="s">
        <v>2991</v>
      </c>
      <c r="H23" s="1674"/>
      <c r="I23" s="1687"/>
      <c r="J23" s="1674"/>
      <c r="K23" s="1754"/>
      <c r="L23" s="1703"/>
      <c r="M23" s="1703"/>
      <c r="N23" s="1674"/>
      <c r="O23" s="1675"/>
      <c r="P23" s="1674"/>
      <c r="Q23" s="1674"/>
      <c r="R23" s="1674"/>
      <c r="S23" s="1674"/>
      <c r="T23" s="1674"/>
      <c r="U23" s="1674"/>
    </row>
    <row r="24" spans="1:21">
      <c r="A24" s="1730" t="s">
        <v>1964</v>
      </c>
      <c r="B24" s="3252" t="s">
        <v>1965</v>
      </c>
      <c r="C24" s="3253"/>
      <c r="D24" s="3254" t="s">
        <v>1966</v>
      </c>
      <c r="E24" s="3255"/>
      <c r="F24" s="1688" t="s">
        <v>1967</v>
      </c>
      <c r="G24" s="1674"/>
      <c r="H24" s="1674"/>
      <c r="I24" s="1687"/>
      <c r="J24" s="1674"/>
      <c r="K24" s="3240" t="s">
        <v>1968</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28.5">
      <c r="A25" s="1731"/>
      <c r="B25" s="1728" t="s">
        <v>2322</v>
      </c>
      <c r="C25" s="1689" t="s">
        <v>2323</v>
      </c>
      <c r="D25" s="1690"/>
      <c r="E25" s="1691" t="s">
        <v>951</v>
      </c>
      <c r="F25" s="1692"/>
      <c r="G25" s="1674"/>
      <c r="H25" s="1674"/>
      <c r="I25" s="1687"/>
      <c r="J25" s="1674"/>
      <c r="K25" s="324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5" thickBot="1">
      <c r="A26" s="1732"/>
      <c r="B26" s="1729"/>
      <c r="C26" s="1689"/>
      <c r="D26" s="1640"/>
      <c r="E26" s="1640"/>
      <c r="F26" s="1668"/>
      <c r="G26" s="1674"/>
      <c r="H26" s="1674"/>
      <c r="I26" s="1687"/>
      <c r="J26" s="1674"/>
      <c r="K26" s="324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26" t="s">
        <v>1998</v>
      </c>
      <c r="B31" s="1744" t="s">
        <v>1999</v>
      </c>
      <c r="C31" s="3265" t="s">
        <v>2992</v>
      </c>
      <c r="D31" s="3266"/>
      <c r="E31" s="1674"/>
      <c r="F31" s="1674"/>
      <c r="G31" s="1674"/>
      <c r="H31" s="1674"/>
      <c r="I31" s="1687"/>
      <c r="J31" s="1674"/>
      <c r="K31" s="2418"/>
      <c r="L31" s="1674"/>
      <c r="M31" s="1674"/>
      <c r="N31" s="1674"/>
      <c r="O31" s="1674"/>
      <c r="P31" s="1674"/>
      <c r="Q31" s="1674"/>
      <c r="R31" s="1674"/>
      <c r="S31" s="1674"/>
      <c r="T31" s="1674"/>
      <c r="U31" s="1674"/>
    </row>
    <row r="32" spans="1:21">
      <c r="A32" s="3226"/>
      <c r="B32" s="1641" t="s">
        <v>2000</v>
      </c>
      <c r="C32" s="1699" t="s">
        <v>2993</v>
      </c>
      <c r="D32" s="1700"/>
      <c r="E32" s="1674"/>
      <c r="F32" s="1674"/>
      <c r="G32" s="1674"/>
      <c r="H32" s="1674"/>
      <c r="I32" s="1687"/>
      <c r="J32" s="1674"/>
      <c r="K32" s="2418"/>
      <c r="L32" s="1674"/>
      <c r="M32" s="1674"/>
      <c r="N32" s="1674"/>
      <c r="O32" s="1674"/>
      <c r="P32" s="1674"/>
      <c r="Q32" s="1674"/>
      <c r="R32" s="1674"/>
      <c r="S32" s="1674"/>
      <c r="T32" s="1674"/>
      <c r="U32" s="1674"/>
    </row>
    <row r="33" spans="1:21">
      <c r="A33" s="3226"/>
      <c r="B33" s="1641" t="s">
        <v>2001</v>
      </c>
      <c r="C33" s="1701" t="s">
        <v>2991</v>
      </c>
      <c r="D33" s="1818"/>
      <c r="E33" s="1674"/>
      <c r="F33" s="1674"/>
      <c r="G33" s="1674"/>
      <c r="H33" s="1674"/>
      <c r="I33" s="1687"/>
      <c r="J33" s="1674"/>
      <c r="K33" s="2418"/>
      <c r="L33" s="1674"/>
      <c r="M33" s="1674"/>
      <c r="N33" s="1674"/>
      <c r="O33" s="1674"/>
      <c r="P33" s="1674"/>
      <c r="Q33" s="1674"/>
      <c r="R33" s="1674"/>
      <c r="S33" s="1674"/>
      <c r="T33" s="1674"/>
      <c r="U33" s="1674"/>
    </row>
    <row r="34" spans="1:21">
      <c r="A34" s="3227"/>
      <c r="B34" s="1641" t="s">
        <v>2002</v>
      </c>
      <c r="C34" s="3228"/>
      <c r="D34" s="3229"/>
      <c r="E34" s="1674"/>
      <c r="F34" s="1674"/>
      <c r="G34" s="1674"/>
      <c r="H34" s="1674"/>
      <c r="I34" s="1687"/>
      <c r="J34" s="1674"/>
      <c r="K34" s="2418"/>
      <c r="L34" s="1674"/>
      <c r="M34" s="1674"/>
      <c r="N34" s="1674"/>
      <c r="O34" s="1674"/>
      <c r="P34" s="1674"/>
      <c r="Q34" s="1674"/>
      <c r="R34" s="1674"/>
      <c r="S34" s="1674"/>
      <c r="T34" s="1674"/>
      <c r="U34" s="1674"/>
    </row>
    <row r="35" spans="1:21">
      <c r="A35" s="3230" t="s">
        <v>846</v>
      </c>
      <c r="B35" s="1702" t="s">
        <v>2994</v>
      </c>
      <c r="C35" s="1756" t="str">
        <f>IF(B35="场地平整","——","具体情况：")</f>
        <v>——</v>
      </c>
      <c r="D35" s="3232"/>
      <c r="E35" s="3233"/>
      <c r="F35" s="3233"/>
      <c r="G35" s="3233"/>
      <c r="H35" s="3233"/>
      <c r="I35" s="3234"/>
      <c r="J35" s="1674"/>
      <c r="K35" s="1755"/>
      <c r="L35" s="1703"/>
      <c r="M35" s="1703"/>
      <c r="N35" s="1674"/>
      <c r="O35" s="1675"/>
      <c r="P35" s="1674"/>
      <c r="Q35" s="1674"/>
      <c r="R35" s="1674"/>
      <c r="S35" s="1674"/>
      <c r="T35" s="1674"/>
      <c r="U35" s="1674"/>
    </row>
    <row r="36" spans="1:21">
      <c r="A36" s="3226"/>
      <c r="B36" s="3235" t="s">
        <v>2051</v>
      </c>
      <c r="C36" s="3236"/>
      <c r="D36" s="1772" t="s">
        <v>2995</v>
      </c>
      <c r="E36" s="3237"/>
      <c r="F36" s="3237"/>
      <c r="G36" s="1667" t="str">
        <f>IF(B35="场地未平整","估价结果处理","")</f>
        <v/>
      </c>
      <c r="H36" s="3238"/>
      <c r="I36" s="3238"/>
      <c r="J36" s="1674"/>
      <c r="K36" s="1755"/>
      <c r="L36" s="1703"/>
      <c r="M36" s="1703"/>
      <c r="N36" s="1674"/>
      <c r="O36" s="1675"/>
      <c r="P36" s="1674"/>
      <c r="Q36" s="1674"/>
      <c r="R36" s="1674"/>
      <c r="S36" s="1674"/>
      <c r="T36" s="1674"/>
      <c r="U36" s="1674"/>
    </row>
    <row r="37" spans="1:21" ht="28.5">
      <c r="A37" s="3226"/>
      <c r="B37" s="3256"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26"/>
      <c r="B38" s="3257"/>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27"/>
      <c r="B39" s="325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39" t="s">
        <v>1982</v>
      </c>
      <c r="T40" s="1711" t="str">
        <f>NUMBERSTRING(7-K40,1)&amp;"通"</f>
        <v>七通</v>
      </c>
      <c r="U40" s="1674"/>
    </row>
    <row r="41" spans="1:21">
      <c r="A41" s="1643"/>
      <c r="B41" s="3231" t="s">
        <v>1720</v>
      </c>
      <c r="C41" s="3231"/>
      <c r="D41" s="3231"/>
      <c r="E41" s="3231"/>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39"/>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t="s">
        <v>1408</v>
      </c>
      <c r="C43" s="1718" t="s">
        <v>1408</v>
      </c>
      <c r="D43" s="1718" t="s">
        <v>1408</v>
      </c>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t="s">
        <v>1328</v>
      </c>
      <c r="C44" s="1718" t="s">
        <v>1328</v>
      </c>
      <c r="D44" s="1718" t="s">
        <v>1328</v>
      </c>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P13" activePane="bottomRight" state="frozen"/>
      <selection pane="topRight" activeCell="E1" sqref="E1"/>
      <selection pane="bottomLeft" activeCell="A12" sqref="A12"/>
      <selection pane="bottomRight" activeCell="AL24" sqref="AL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2330</v>
      </c>
      <c r="BA2" s="2321"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34964.49</v>
      </c>
      <c r="B3" s="22">
        <f>IF(C3="否",G5-AT5,G5)</f>
        <v>109310.18</v>
      </c>
      <c r="C3" s="23" t="s">
        <v>1677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2.75">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2997</v>
      </c>
      <c r="J9" s="51"/>
      <c r="K9" s="2967" t="s">
        <v>2997</v>
      </c>
      <c r="L9" s="51"/>
      <c r="M9" s="2967" t="s">
        <v>3027</v>
      </c>
      <c r="N9" s="51"/>
      <c r="O9" s="59" t="s">
        <v>3027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922</v>
      </c>
      <c r="J10" s="51"/>
      <c r="K10" s="2969" t="s">
        <v>2988</v>
      </c>
      <c r="L10" s="51"/>
      <c r="M10" s="2969" t="s">
        <v>2990</v>
      </c>
      <c r="N10" s="51"/>
      <c r="O10" s="66" t="s">
        <v>2989</v>
      </c>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2998</v>
      </c>
      <c r="J11" s="71"/>
      <c r="K11" s="2968" t="s">
        <v>3026</v>
      </c>
      <c r="L11" s="71"/>
      <c r="M11" s="70" t="s">
        <v>3028</v>
      </c>
      <c r="N11" s="71"/>
      <c r="O11" s="70" t="s">
        <v>2989</v>
      </c>
      <c r="P11" s="71"/>
      <c r="Q11" s="70"/>
      <c r="R11" s="71"/>
      <c r="S11" s="70"/>
      <c r="T11" s="71"/>
      <c r="U11" s="70"/>
      <c r="V11" s="71"/>
      <c r="W11" s="70"/>
      <c r="X11" s="71"/>
      <c r="Y11" s="70"/>
      <c r="Z11" s="71"/>
      <c r="AA11" s="70"/>
      <c r="AB11" s="71"/>
      <c r="AC11" s="55"/>
      <c r="AD11" s="2315" t="s">
        <v>2327</v>
      </c>
      <c r="AE11" s="1000"/>
      <c r="AF11" s="2315" t="s">
        <v>2327</v>
      </c>
      <c r="AG11" s="1000"/>
      <c r="AH11" s="2315" t="s">
        <v>2326</v>
      </c>
      <c r="AI11" s="2316"/>
      <c r="AJ11" s="2315" t="s">
        <v>2326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t="s">
        <v>2996</v>
      </c>
      <c r="D13" s="2963" t="s">
        <v>1677</v>
      </c>
      <c r="E13" s="27">
        <f t="shared" ref="E13:E20" si="6">IF($C$3="是",ROUND($A$3*G13/$B$3,2),ROUND($A$3*(G13-AT13)/$B$3,2))</f>
        <v>24259.55</v>
      </c>
      <c r="F13" s="81"/>
      <c r="G13" s="82">
        <f t="shared" ref="G13:G20" si="7">H13+AC13+AT13</f>
        <v>75843.12</v>
      </c>
      <c r="H13" s="33">
        <f t="shared" ref="H13:H20" si="8">SUMIF(I$12:AB$12,"总值",I13:AB13)</f>
        <v>63135.22</v>
      </c>
      <c r="I13" s="2966">
        <f>面积及出让金计算!D6</f>
        <v>63135.22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12707.9</v>
      </c>
      <c r="AD13" s="2970"/>
      <c r="AE13" s="2970"/>
      <c r="AF13" s="2970"/>
      <c r="AG13" s="2970"/>
      <c r="AH13" s="2970">
        <v>180</v>
      </c>
      <c r="AI13" s="2970"/>
      <c r="AJ13" s="2970"/>
      <c r="AK13" s="2970"/>
      <c r="AL13" s="2970">
        <f>面积及出让金计算!D11</f>
        <v>150</v>
      </c>
      <c r="AM13" s="2970"/>
      <c r="AN13" s="2970">
        <f>1890+30+180+10277.9</f>
        <v>12377.9</v>
      </c>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2.75">
      <c r="A14" s="2962"/>
      <c r="B14" s="2962"/>
      <c r="C14" s="2962" t="s">
        <v>3023</v>
      </c>
      <c r="D14" s="2963" t="s">
        <v>1677</v>
      </c>
      <c r="E14" s="27">
        <f t="shared" si="6"/>
        <v>108.24</v>
      </c>
      <c r="F14" s="81"/>
      <c r="G14" s="82">
        <f t="shared" si="7"/>
        <v>338.4</v>
      </c>
      <c r="H14" s="33">
        <f t="shared" si="8"/>
        <v>338.4</v>
      </c>
      <c r="I14" s="2966"/>
      <c r="J14" s="2966"/>
      <c r="K14" s="2966">
        <f>面积及出让金计算!D8</f>
        <v>338.4</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4">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2" t="s">
        <v>3024</v>
      </c>
      <c r="D15" s="2963" t="s">
        <v>1677</v>
      </c>
      <c r="E15" s="27">
        <f t="shared" si="6"/>
        <v>1100.6300000000001</v>
      </c>
      <c r="F15" s="81"/>
      <c r="G15" s="82">
        <f t="shared" si="7"/>
        <v>3440.91</v>
      </c>
      <c r="H15" s="33">
        <f t="shared" si="8"/>
        <v>3440.91</v>
      </c>
      <c r="I15" s="2966"/>
      <c r="J15" s="2966"/>
      <c r="K15" s="2966"/>
      <c r="L15" s="2966"/>
      <c r="M15" s="2966">
        <f>面积及出让金计算!D15</f>
        <v>3440.91</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地下仓储</v>
      </c>
      <c r="AY15" s="994">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2" t="s">
        <v>3025</v>
      </c>
      <c r="D16" s="2963" t="s">
        <v>1677</v>
      </c>
      <c r="E16" s="27">
        <f t="shared" si="6"/>
        <v>9496.07</v>
      </c>
      <c r="F16" s="81"/>
      <c r="G16" s="82">
        <f t="shared" si="7"/>
        <v>29687.75</v>
      </c>
      <c r="H16" s="33">
        <f t="shared" si="8"/>
        <v>29687.75</v>
      </c>
      <c r="I16" s="2966"/>
      <c r="J16" s="2966"/>
      <c r="K16" s="2966"/>
      <c r="L16" s="2966"/>
      <c r="M16" s="2966"/>
      <c r="N16" s="83"/>
      <c r="O16" s="83">
        <f>面积及出让金计算!D13</f>
        <v>29687.75</v>
      </c>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4">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6"/>
  <sheetViews>
    <sheetView workbookViewId="0">
      <selection activeCell="L23" sqref="L23"/>
    </sheetView>
  </sheetViews>
  <sheetFormatPr defaultRowHeight="13.5"/>
  <cols>
    <col min="2" max="2" width="8.5" bestFit="1" customWidth="1"/>
    <col min="3" max="3" width="18.375" bestFit="1" customWidth="1"/>
    <col min="4" max="4" width="10.5" bestFit="1" customWidth="1"/>
    <col min="10" max="10" width="13.25" customWidth="1"/>
    <col min="11" max="11" width="9.5" bestFit="1" customWidth="1"/>
  </cols>
  <sheetData>
    <row r="2" spans="1:11">
      <c r="A2" s="3192"/>
      <c r="B2" s="3191" t="s">
        <v>3063</v>
      </c>
      <c r="C2" s="3192"/>
      <c r="D2" s="3191" t="s">
        <v>3065</v>
      </c>
      <c r="E2" s="3191" t="s">
        <v>3064</v>
      </c>
      <c r="F2" s="3191" t="s">
        <v>3078</v>
      </c>
      <c r="G2" s="3191" t="s">
        <v>3081</v>
      </c>
    </row>
    <row r="3" spans="1:11">
      <c r="A3" s="3192" t="s">
        <v>3072</v>
      </c>
      <c r="B3" s="3192">
        <v>42443.6</v>
      </c>
      <c r="C3" s="3192" t="s">
        <v>3072</v>
      </c>
      <c r="D3" s="3192">
        <v>34964.49</v>
      </c>
      <c r="E3" s="3192">
        <v>6759.97</v>
      </c>
      <c r="F3" s="3191"/>
      <c r="G3" s="3191"/>
    </row>
    <row r="4" spans="1:11">
      <c r="A4" s="3192" t="s">
        <v>3056</v>
      </c>
      <c r="B4" s="3192">
        <v>102302</v>
      </c>
      <c r="C4" s="3192" t="s">
        <v>3062</v>
      </c>
      <c r="D4" s="3192">
        <v>109310.18</v>
      </c>
      <c r="E4" s="3192">
        <v>32706.32</v>
      </c>
      <c r="F4" s="3191"/>
      <c r="G4" s="3191"/>
    </row>
    <row r="5" spans="1:11">
      <c r="A5" s="3191" t="s">
        <v>3077</v>
      </c>
      <c r="B5" s="3192">
        <f>SUM(B6:B8)</f>
        <v>86804</v>
      </c>
      <c r="C5" s="3191" t="s">
        <v>3080</v>
      </c>
      <c r="D5" s="3192">
        <f>SUM(D6:D11)</f>
        <v>63803.62</v>
      </c>
      <c r="E5" s="3192">
        <f>SUM(E6:E11)</f>
        <v>23129.46</v>
      </c>
      <c r="F5" s="3191">
        <f>D5+E5</f>
        <v>86933.08</v>
      </c>
      <c r="G5" s="3191">
        <f>F5-B5</f>
        <v>129.08000000000175</v>
      </c>
    </row>
    <row r="6" spans="1:11">
      <c r="A6" s="3192" t="s">
        <v>3057</v>
      </c>
      <c r="B6" s="3192">
        <v>59218</v>
      </c>
      <c r="C6" s="3192" t="s">
        <v>3067</v>
      </c>
      <c r="D6" s="3192">
        <v>63135.22</v>
      </c>
      <c r="E6" s="3192"/>
      <c r="F6" s="3191"/>
      <c r="G6" s="3191"/>
    </row>
    <row r="7" spans="1:11">
      <c r="A7" s="3192" t="s">
        <v>3058</v>
      </c>
      <c r="B7" s="3192">
        <v>4586</v>
      </c>
      <c r="C7" s="3191" t="s">
        <v>3075</v>
      </c>
      <c r="D7" s="3192">
        <v>180</v>
      </c>
      <c r="E7" s="3192">
        <v>355.05</v>
      </c>
      <c r="F7" s="3191"/>
      <c r="G7" s="3191"/>
      <c r="J7" s="3197" t="s">
        <v>3107</v>
      </c>
      <c r="K7" s="3191"/>
    </row>
    <row r="8" spans="1:11">
      <c r="A8" s="3192" t="s">
        <v>3059</v>
      </c>
      <c r="B8" s="3192">
        <v>23000</v>
      </c>
      <c r="C8" s="3191" t="s">
        <v>3074</v>
      </c>
      <c r="D8" s="3192">
        <v>338.4</v>
      </c>
      <c r="E8" s="3192"/>
      <c r="F8" s="3191"/>
      <c r="G8" s="3191"/>
      <c r="J8" s="3191" t="s">
        <v>3108</v>
      </c>
      <c r="K8" s="3191">
        <f>G5</f>
        <v>129.08000000000175</v>
      </c>
    </row>
    <row r="9" spans="1:11">
      <c r="A9" s="3192"/>
      <c r="B9" s="3192"/>
      <c r="C9" s="3191" t="s">
        <v>3066</v>
      </c>
      <c r="D9" s="3192"/>
      <c r="E9" s="3192">
        <v>2625.07</v>
      </c>
      <c r="F9" s="3191"/>
      <c r="G9" s="3191"/>
      <c r="J9" s="3191" t="s">
        <v>3060</v>
      </c>
      <c r="K9" s="3191">
        <v>26454.61</v>
      </c>
    </row>
    <row r="10" spans="1:11">
      <c r="A10" s="3192"/>
      <c r="B10" s="3192"/>
      <c r="C10" s="3191" t="s">
        <v>3073</v>
      </c>
      <c r="D10" s="3192"/>
      <c r="E10" s="3192">
        <v>19864.560000000001</v>
      </c>
      <c r="F10" s="3191"/>
      <c r="G10" s="3191"/>
      <c r="J10" s="3191" t="s">
        <v>3076</v>
      </c>
      <c r="K10" s="3191">
        <v>1631.38</v>
      </c>
    </row>
    <row r="11" spans="1:11">
      <c r="A11" s="3191"/>
      <c r="B11" s="3192"/>
      <c r="C11" s="3192" t="s">
        <v>3068</v>
      </c>
      <c r="D11" s="3192">
        <v>150</v>
      </c>
      <c r="E11" s="3192">
        <v>284.77999999999997</v>
      </c>
      <c r="F11" s="3191"/>
      <c r="G11" s="3191"/>
      <c r="J11" s="3191" t="s">
        <v>3069</v>
      </c>
      <c r="K11" s="3191">
        <v>3440.91</v>
      </c>
    </row>
    <row r="12" spans="1:11">
      <c r="A12" s="3191" t="s">
        <v>3079</v>
      </c>
      <c r="B12" s="3192"/>
      <c r="C12" s="3192"/>
      <c r="D12" s="3192"/>
      <c r="E12" s="3192"/>
      <c r="F12" s="3191"/>
      <c r="G12" s="3191"/>
    </row>
    <row r="13" spans="1:11">
      <c r="A13" s="3192" t="s">
        <v>3060</v>
      </c>
      <c r="B13" s="3192">
        <v>10055</v>
      </c>
      <c r="C13" s="3192" t="s">
        <v>3070</v>
      </c>
      <c r="D13" s="3192">
        <v>29687.75</v>
      </c>
      <c r="E13" s="3192">
        <v>6821.86</v>
      </c>
      <c r="F13" s="3191">
        <f>D13+E13</f>
        <v>36509.61</v>
      </c>
      <c r="G13" s="3191">
        <f>F13-B13</f>
        <v>26454.61</v>
      </c>
    </row>
    <row r="14" spans="1:11">
      <c r="A14" s="3192" t="s">
        <v>3061</v>
      </c>
      <c r="B14" s="3192">
        <v>5443</v>
      </c>
      <c r="C14" s="3191" t="s">
        <v>3076</v>
      </c>
      <c r="D14" s="3192"/>
      <c r="E14" s="3192">
        <v>1631.38</v>
      </c>
      <c r="F14" s="3191">
        <f t="shared" ref="F14:F15" si="0">D14+E14</f>
        <v>1631.38</v>
      </c>
      <c r="G14" s="3191">
        <f>F14</f>
        <v>1631.38</v>
      </c>
    </row>
    <row r="15" spans="1:11">
      <c r="C15" s="3192" t="s">
        <v>3069</v>
      </c>
      <c r="D15" s="3192">
        <v>3440.91</v>
      </c>
      <c r="E15" s="3192"/>
      <c r="F15" s="3191">
        <f t="shared" si="0"/>
        <v>3440.91</v>
      </c>
      <c r="G15" s="3191">
        <f>F15</f>
        <v>3440.91</v>
      </c>
    </row>
    <row r="16" spans="1:11">
      <c r="C16" s="3192" t="s">
        <v>3071</v>
      </c>
      <c r="D16" s="3192">
        <f>1890+30+180+10277.9</f>
        <v>12377.9</v>
      </c>
      <c r="E16" s="3192">
        <f>719.69+403.93</f>
        <v>1123.6200000000001</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45" sqref="G4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78" t="s">
        <v>203</v>
      </c>
      <c r="B2" s="3278"/>
      <c r="C2" s="3278"/>
      <c r="D2" s="1956" t="s">
        <v>204</v>
      </c>
      <c r="E2" s="106" t="s">
        <v>205</v>
      </c>
      <c r="F2" s="1965"/>
      <c r="G2" s="1192"/>
      <c r="H2" s="1193"/>
      <c r="I2" s="1194" t="s">
        <v>856</v>
      </c>
      <c r="J2" s="1965"/>
      <c r="K2" s="1965"/>
      <c r="L2" s="1965"/>
    </row>
    <row r="3" spans="1:16" ht="15.75" thickBot="1">
      <c r="A3" s="3279" t="s">
        <v>206</v>
      </c>
      <c r="B3" s="3279"/>
      <c r="C3" s="3279"/>
      <c r="D3" s="107">
        <f>'数据-基础表'!AY6</f>
        <v>34964.49</v>
      </c>
      <c r="E3" s="107">
        <f>'数据-基础表'!AZ5</f>
        <v>109310.18</v>
      </c>
      <c r="F3" s="1965"/>
      <c r="G3" s="278" t="s">
        <v>857</v>
      </c>
      <c r="H3" s="273" t="s">
        <v>858</v>
      </c>
      <c r="I3" s="1957">
        <f>ROUND('数据-基础表'!B3/'数据-基础表'!A3,2)</f>
        <v>3.13</v>
      </c>
      <c r="J3" s="1965"/>
      <c r="K3" s="1965"/>
      <c r="L3" s="1965"/>
    </row>
    <row r="4" spans="1:16" ht="15">
      <c r="A4" s="3280"/>
      <c r="B4" s="3281"/>
      <c r="C4" s="3282"/>
      <c r="D4" s="108" t="s">
        <v>204</v>
      </c>
      <c r="E4" s="109" t="s">
        <v>205</v>
      </c>
      <c r="F4" s="1965"/>
      <c r="G4" s="1195"/>
      <c r="H4" s="273" t="s">
        <v>859</v>
      </c>
      <c r="I4" s="1957">
        <f>ROUND(SUMIF('数据-基础表'!I9:AS9,"地上",'数据-基础表'!I5:AS5)/'数据-基础表'!A3,2)</f>
        <v>1.82</v>
      </c>
      <c r="J4" s="1965"/>
      <c r="K4" s="1965"/>
      <c r="L4" s="1965"/>
    </row>
    <row r="5" spans="1:16">
      <c r="A5" s="110" t="s">
        <v>207</v>
      </c>
      <c r="B5" s="3283" t="s">
        <v>230</v>
      </c>
      <c r="C5" s="3283"/>
      <c r="D5" s="111">
        <f>ROUND($D$3*E5/$E$3,2)</f>
        <v>20194.740000000002</v>
      </c>
      <c r="E5" s="112">
        <f>SUMIF('数据-基础表'!$11:$11,"住宅",'数据-基础表'!$5:$5)</f>
        <v>63135.22</v>
      </c>
      <c r="F5" s="1965"/>
      <c r="G5" s="278" t="s">
        <v>860</v>
      </c>
      <c r="H5" s="273" t="s">
        <v>858</v>
      </c>
      <c r="I5" s="1957">
        <f>ROUND(E31/D31,2)</f>
        <v>3.13</v>
      </c>
      <c r="J5" s="1965"/>
      <c r="K5" s="1965"/>
      <c r="L5" s="1965"/>
    </row>
    <row r="6" spans="1:16" ht="15" thickBot="1">
      <c r="A6" s="113"/>
      <c r="B6" s="3283" t="s">
        <v>208</v>
      </c>
      <c r="C6" s="3283"/>
      <c r="D6" s="111">
        <f>ROUND($D$3*E6/$E$3,2)</f>
        <v>14769.75</v>
      </c>
      <c r="E6" s="112">
        <f>E3-E5</f>
        <v>46174.959999999992</v>
      </c>
      <c r="F6" s="1965"/>
      <c r="G6" s="1195"/>
      <c r="H6" s="273" t="s">
        <v>859</v>
      </c>
      <c r="I6" s="1957">
        <f>ROUND(F31/D31,2)</f>
        <v>1.82</v>
      </c>
      <c r="J6" s="1965"/>
      <c r="K6" s="1965"/>
      <c r="L6" s="1965"/>
    </row>
    <row r="7" spans="1:16" ht="15">
      <c r="A7" s="3275"/>
      <c r="B7" s="3276"/>
      <c r="C7" s="3277"/>
      <c r="D7" s="108" t="s">
        <v>204</v>
      </c>
      <c r="E7" s="114" t="s">
        <v>231</v>
      </c>
      <c r="F7" s="1965"/>
      <c r="G7" s="1150" t="s">
        <v>1644</v>
      </c>
      <c r="H7" s="1151"/>
      <c r="I7" s="1827">
        <v>4</v>
      </c>
      <c r="J7" s="1965"/>
      <c r="K7" s="1965"/>
      <c r="L7" s="1965"/>
    </row>
    <row r="8" spans="1:16">
      <c r="A8" s="110" t="s">
        <v>209</v>
      </c>
      <c r="B8" s="115" t="s">
        <v>210</v>
      </c>
      <c r="C8" s="111" t="s">
        <v>211</v>
      </c>
      <c r="D8" s="111">
        <f t="shared" ref="D8:D15" si="0">ROUND($D$3*E8/$E$3,2)</f>
        <v>20302.98</v>
      </c>
      <c r="E8" s="116">
        <f>SUMIF('数据-基础表'!BB10:BK10,"地上",'数据-基础表'!BB5:BK5)</f>
        <v>63473.62</v>
      </c>
      <c r="F8" s="1965"/>
      <c r="G8" s="1967"/>
      <c r="H8" s="1967"/>
      <c r="I8" s="1965"/>
      <c r="J8" s="1965"/>
      <c r="K8" s="1965"/>
      <c r="L8" s="1965"/>
    </row>
    <row r="9" spans="1:16">
      <c r="A9" s="117"/>
      <c r="B9" s="118"/>
      <c r="C9" s="111" t="s">
        <v>212</v>
      </c>
      <c r="D9" s="111">
        <f t="shared" si="0"/>
        <v>57.58</v>
      </c>
      <c r="E9" s="119">
        <f>'数据-基础表'!AH13</f>
        <v>180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1100.6300000000001</v>
      </c>
      <c r="E12" s="116">
        <f>SUMPRODUCT(('数据-基础表'!BB10:BK10="地下")*('数据-基础表'!BB11:BK11="仓储")*('数据-基础表'!BB5:BK5))</f>
        <v>3440.91</v>
      </c>
      <c r="F12" s="1965"/>
      <c r="G12" s="1967"/>
      <c r="H12" s="1967"/>
      <c r="I12" s="1965"/>
      <c r="J12" s="1965"/>
      <c r="K12" s="1965"/>
      <c r="L12" s="1965"/>
    </row>
    <row r="13" spans="1:16">
      <c r="A13" s="117"/>
      <c r="B13" s="118"/>
      <c r="C13" s="2312" t="s">
        <v>2331</v>
      </c>
      <c r="D13" s="111">
        <f t="shared" si="0"/>
        <v>9496.07</v>
      </c>
      <c r="E13" s="116">
        <f>SUMPRODUCT(('数据-基础表'!BB10:BK10="地下")*('数据-基础表'!BB11:BK11="车库")*('数据-基础表'!BB5:BK5))</f>
        <v>29687.75</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30957.260000000002</v>
      </c>
      <c r="E16" s="120">
        <f>SUM(E8:E15)</f>
        <v>96782.28</v>
      </c>
      <c r="F16" s="1965"/>
      <c r="G16" s="1967"/>
      <c r="H16" s="966" t="s">
        <v>219</v>
      </c>
      <c r="I16" s="967"/>
      <c r="J16" s="1965"/>
      <c r="K16" s="3269" t="s">
        <v>2563</v>
      </c>
      <c r="L16" s="3270"/>
      <c r="M16" s="3270"/>
      <c r="N16" s="3270"/>
      <c r="O16" s="3270"/>
      <c r="P16" s="3271"/>
    </row>
    <row r="17" spans="1:19" ht="15">
      <c r="A17" s="121" t="s">
        <v>216</v>
      </c>
      <c r="B17" s="122" t="s">
        <v>217</v>
      </c>
      <c r="C17" s="2279" t="s">
        <v>2310</v>
      </c>
      <c r="D17" s="108" t="s">
        <v>204</v>
      </c>
      <c r="E17" s="124" t="s">
        <v>205</v>
      </c>
      <c r="F17" s="125"/>
      <c r="G17" s="1359"/>
      <c r="H17" s="968" t="s">
        <v>218</v>
      </c>
      <c r="I17" s="969" t="s">
        <v>2309</v>
      </c>
      <c r="J17" s="1965"/>
      <c r="K17" s="3272" t="s">
        <v>2564</v>
      </c>
      <c r="L17" s="3273"/>
      <c r="M17" s="3274"/>
      <c r="N17" s="3272" t="s">
        <v>2565</v>
      </c>
      <c r="O17" s="3273"/>
      <c r="P17" s="3274"/>
      <c r="R17" s="2280" t="s">
        <v>2308</v>
      </c>
      <c r="S17" s="144"/>
    </row>
    <row r="18" spans="1:19" ht="15">
      <c r="A18" s="117"/>
      <c r="B18" s="128"/>
      <c r="C18" s="129"/>
      <c r="D18" s="2602"/>
      <c r="E18" s="130" t="s">
        <v>220</v>
      </c>
      <c r="F18" s="131" t="s">
        <v>221</v>
      </c>
      <c r="G18" s="1360" t="s">
        <v>222</v>
      </c>
      <c r="H18" s="970" t="s">
        <v>223</v>
      </c>
      <c r="I18" s="971"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3" t="str">
        <f>'数据-基础表'!C13</f>
        <v>住宅</v>
      </c>
      <c r="D19" s="111">
        <f t="shared" ref="D19:D26" si="1">ROUND($D$3*E19/$E$3,2)</f>
        <v>20194.740000000002</v>
      </c>
      <c r="E19" s="134">
        <f t="shared" ref="E19:E26" si="2">SUM(F19:G19)</f>
        <v>63135.22</v>
      </c>
      <c r="F19" s="135">
        <f>'数据-基础表'!I13</f>
        <v>63135.22</v>
      </c>
      <c r="G19" s="135"/>
      <c r="H19" s="972">
        <f>ROUND($D$3*I19/$E$3,2)</f>
        <v>2676.54</v>
      </c>
      <c r="I19" s="116">
        <f>IF($I$17="自定义",P19,M19)</f>
        <v>8367.7099999999991</v>
      </c>
      <c r="J19" s="1965"/>
      <c r="K19" s="2568">
        <f t="shared" ref="K19:K26" si="3">ROUND(E$28*E19/E$27,2)</f>
        <v>8187.71</v>
      </c>
      <c r="L19" s="273">
        <f t="shared" ref="L19:L26" si="4">ROUND(IF(COUNTIF(C19,"*住宅*")&gt;0,E$29*E19/E$32,0),2)</f>
        <v>180</v>
      </c>
      <c r="M19" s="2569">
        <f>K19+L19</f>
        <v>8367.7099999999991</v>
      </c>
      <c r="N19" s="2570"/>
      <c r="O19" s="2571"/>
      <c r="P19" s="2572">
        <f>N19+O19</f>
        <v>0</v>
      </c>
      <c r="R19" s="273">
        <f t="shared" ref="R19:S26" si="5">D19+H19</f>
        <v>22871.280000000002</v>
      </c>
      <c r="S19" s="2282">
        <f t="shared" si="5"/>
        <v>71502.929999999993</v>
      </c>
    </row>
    <row r="20" spans="1:19">
      <c r="A20" s="138"/>
      <c r="B20" s="115" t="s">
        <v>226</v>
      </c>
      <c r="C20" s="2973" t="str">
        <f>'数据-基础表'!C14</f>
        <v>商业</v>
      </c>
      <c r="D20" s="111">
        <f t="shared" si="1"/>
        <v>108.24</v>
      </c>
      <c r="E20" s="134">
        <f t="shared" si="2"/>
        <v>338.4</v>
      </c>
      <c r="F20" s="135">
        <f>'数据-基础表'!K14</f>
        <v>338.4</v>
      </c>
      <c r="G20" s="135"/>
      <c r="H20" s="972">
        <f t="shared" ref="H20:H26" si="6">ROUND($D$3*I20/$E$3,2)</f>
        <v>14.04</v>
      </c>
      <c r="I20" s="116">
        <f t="shared" ref="I20:I26" si="7">IF($I$17="自定义",P20,M20)</f>
        <v>43.89</v>
      </c>
      <c r="J20" s="1965"/>
      <c r="K20" s="2568">
        <f t="shared" si="3"/>
        <v>43.89</v>
      </c>
      <c r="L20" s="273">
        <f t="shared" si="4"/>
        <v>0</v>
      </c>
      <c r="M20" s="2569">
        <f t="shared" ref="M20:M26" si="8">K20+L20</f>
        <v>43.89</v>
      </c>
      <c r="N20" s="2570"/>
      <c r="O20" s="2571"/>
      <c r="P20" s="2572">
        <f t="shared" ref="P20:P26" si="9">N20+O20</f>
        <v>0</v>
      </c>
      <c r="R20" s="273">
        <f t="shared" si="5"/>
        <v>122.28</v>
      </c>
      <c r="S20" s="2282">
        <f t="shared" si="5"/>
        <v>382.28999999999996</v>
      </c>
    </row>
    <row r="21" spans="1:19">
      <c r="A21" s="138"/>
      <c r="B21" s="115" t="s">
        <v>226</v>
      </c>
      <c r="C21" s="2973" t="str">
        <f>'数据-基础表'!C15</f>
        <v>地下仓储</v>
      </c>
      <c r="D21" s="111">
        <f t="shared" si="1"/>
        <v>1100.6300000000001</v>
      </c>
      <c r="E21" s="134">
        <f t="shared" si="2"/>
        <v>3440.91</v>
      </c>
      <c r="F21" s="135"/>
      <c r="G21" s="135">
        <f>'数据-基础表'!M15</f>
        <v>3440.91</v>
      </c>
      <c r="H21" s="972">
        <f t="shared" si="6"/>
        <v>142.74</v>
      </c>
      <c r="I21" s="116">
        <f t="shared" si="7"/>
        <v>446.24</v>
      </c>
      <c r="J21" s="1965"/>
      <c r="K21" s="2568">
        <f t="shared" si="3"/>
        <v>446.24</v>
      </c>
      <c r="L21" s="273">
        <f t="shared" si="4"/>
        <v>0</v>
      </c>
      <c r="M21" s="2569">
        <f t="shared" si="8"/>
        <v>446.24</v>
      </c>
      <c r="N21" s="2570"/>
      <c r="O21" s="2571"/>
      <c r="P21" s="2572">
        <f t="shared" si="9"/>
        <v>0</v>
      </c>
      <c r="R21" s="273">
        <f t="shared" si="5"/>
        <v>1243.3700000000001</v>
      </c>
      <c r="S21" s="2282">
        <f t="shared" si="5"/>
        <v>3887.1499999999996</v>
      </c>
    </row>
    <row r="22" spans="1:19">
      <c r="A22" s="138"/>
      <c r="B22" s="115" t="s">
        <v>226</v>
      </c>
      <c r="C22" s="2973" t="str">
        <f>'数据-基础表'!C16</f>
        <v>地下车库</v>
      </c>
      <c r="D22" s="111">
        <f t="shared" si="1"/>
        <v>9496.07</v>
      </c>
      <c r="E22" s="134">
        <f t="shared" si="2"/>
        <v>29687.75</v>
      </c>
      <c r="F22" s="135"/>
      <c r="G22" s="135">
        <f>'数据-基础表'!O16</f>
        <v>29687.75</v>
      </c>
      <c r="H22" s="972">
        <f t="shared" si="6"/>
        <v>1231.5</v>
      </c>
      <c r="I22" s="116">
        <f t="shared" si="7"/>
        <v>3850.07</v>
      </c>
      <c r="J22" s="1965"/>
      <c r="K22" s="2568">
        <f t="shared" si="3"/>
        <v>3850.07</v>
      </c>
      <c r="L22" s="273">
        <f t="shared" si="4"/>
        <v>0</v>
      </c>
      <c r="M22" s="2569">
        <f t="shared" si="8"/>
        <v>3850.07</v>
      </c>
      <c r="N22" s="2570"/>
      <c r="O22" s="2571"/>
      <c r="P22" s="2572">
        <f t="shared" si="9"/>
        <v>0</v>
      </c>
      <c r="R22" s="273">
        <f t="shared" si="5"/>
        <v>10727.57</v>
      </c>
      <c r="S22" s="2282">
        <f t="shared" si="5"/>
        <v>33537.82</v>
      </c>
    </row>
    <row r="23" spans="1:19" hidden="1">
      <c r="A23" s="138"/>
      <c r="B23" s="115" t="s">
        <v>226</v>
      </c>
      <c r="C23" s="139"/>
      <c r="D23" s="111">
        <f>ROUND($D$3*E23/$E$3,2)</f>
        <v>0</v>
      </c>
      <c r="E23" s="134">
        <f>SUM(F23:G23)</f>
        <v>0</v>
      </c>
      <c r="F23" s="140"/>
      <c r="G23" s="1361"/>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idden="1">
      <c r="A24" s="138"/>
      <c r="B24" s="115" t="s">
        <v>226</v>
      </c>
      <c r="C24" s="139"/>
      <c r="D24" s="111">
        <f>ROUND($D$3*E24/$E$3,2)</f>
        <v>0</v>
      </c>
      <c r="E24" s="134">
        <f>SUM(F24:G24)</f>
        <v>0</v>
      </c>
      <c r="F24" s="140"/>
      <c r="G24" s="1361"/>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idden="1">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idden="1">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9.25" thickBot="1">
      <c r="A27" s="138"/>
      <c r="B27" s="111"/>
      <c r="C27" s="127" t="s">
        <v>215</v>
      </c>
      <c r="D27" s="134">
        <f>SUM(D19:D26)</f>
        <v>30899.680000000004</v>
      </c>
      <c r="E27" s="143">
        <f>IF(SUM(E19:E26)='数据-基础表'!BA5,SUM(E19:E26),IF(F27="地上面积有误","面积有误","地下面积有误"))</f>
        <v>96602.28</v>
      </c>
      <c r="F27" s="134">
        <f>IF(SUM(F19:F26)=E8,SUM(F19:F26),"地上面积有误")</f>
        <v>63473.62</v>
      </c>
      <c r="G27" s="112">
        <f>SUM(G19:G26)</f>
        <v>33128.660000000003</v>
      </c>
      <c r="H27" s="973">
        <f>SUM(H19:H26)</f>
        <v>4064.8199999999997</v>
      </c>
      <c r="I27" s="974">
        <f>SUM(I19:I26)</f>
        <v>12707.909999999998</v>
      </c>
      <c r="J27" s="1965"/>
      <c r="K27" s="2577">
        <f>SUM(K19:K26)</f>
        <v>12527.91</v>
      </c>
      <c r="L27" s="2578">
        <f>SUM(L19:L26)</f>
        <v>180</v>
      </c>
      <c r="M27" s="2579">
        <f>SUM(M19:M26)</f>
        <v>12707.909999999998</v>
      </c>
      <c r="N27" s="2577">
        <f t="shared" ref="N27:O27" si="10">SUM(N19:N26)</f>
        <v>0</v>
      </c>
      <c r="O27" s="2578">
        <f t="shared" si="10"/>
        <v>0</v>
      </c>
      <c r="P27" s="2580">
        <f>SUM(P19:P26)</f>
        <v>0</v>
      </c>
      <c r="R27" s="2286" t="str">
        <f>IF(SUM(R19:R26)=$D$3,SUM(R19:R26),SUM(R19:R26)&amp;"误差"&amp;ROUND(SUM(R19:R26)-$D$3,2))</f>
        <v>34964.5误差0.01</v>
      </c>
      <c r="S27" s="273" t="str">
        <f>IF(SUM(S19:S26)=$E$3,SUM(S19:S26),SUM(S19:S26)&amp;"误差"&amp;ROUND(SUM(S19:S26)-E3,2))</f>
        <v>109310.19误差0.01</v>
      </c>
    </row>
    <row r="28" spans="1:19">
      <c r="A28" s="138"/>
      <c r="B28" s="115" t="s">
        <v>227</v>
      </c>
      <c r="C28" s="136" t="s">
        <v>228</v>
      </c>
      <c r="D28" s="111">
        <f>ROUND($D$3*E28/$E$3,2)</f>
        <v>4007.24</v>
      </c>
      <c r="E28" s="134">
        <f>SUM(F28:G28)</f>
        <v>12527.9</v>
      </c>
      <c r="F28" s="144">
        <f>'数据-基础表'!BQ5+'数据-基础表'!BS5</f>
        <v>150</v>
      </c>
      <c r="G28" s="145">
        <f>'数据-基础表'!BR5+'数据-基础表'!BT5</f>
        <v>12377.9</v>
      </c>
      <c r="H28" s="1965"/>
      <c r="I28" s="1965"/>
      <c r="J28" s="1965"/>
      <c r="K28" s="1965"/>
      <c r="L28" s="1965"/>
    </row>
    <row r="29" spans="1:19">
      <c r="A29" s="138"/>
      <c r="B29" s="115" t="s">
        <v>227</v>
      </c>
      <c r="C29" s="2294" t="s">
        <v>2317</v>
      </c>
      <c r="D29" s="111">
        <f>ROUND($D$3*E29/$E$3,2)</f>
        <v>57.58</v>
      </c>
      <c r="E29" s="134">
        <f>SUM(F29:G29)</f>
        <v>180</v>
      </c>
      <c r="F29" s="144">
        <f>'数据-基础表'!BM5+'数据-基础表'!BO5</f>
        <v>180</v>
      </c>
      <c r="G29" s="146">
        <f>'数据-基础表'!BN5+'数据-基础表'!BP5</f>
        <v>0</v>
      </c>
      <c r="H29" s="1965"/>
      <c r="I29" s="1965"/>
      <c r="J29" s="1965"/>
      <c r="K29" s="1965"/>
      <c r="L29" s="1965"/>
    </row>
    <row r="30" spans="1:19">
      <c r="A30" s="138"/>
      <c r="B30" s="111"/>
      <c r="C30" s="147" t="s">
        <v>215</v>
      </c>
      <c r="D30" s="134">
        <f>SUM(D28:D29)</f>
        <v>4064.8199999999997</v>
      </c>
      <c r="E30" s="134">
        <f>SUM(E28:E29)</f>
        <v>12707.9</v>
      </c>
      <c r="F30" s="134">
        <f>SUM(F28:F29)</f>
        <v>330</v>
      </c>
      <c r="G30" s="112">
        <f>SUM(G28:G29)</f>
        <v>12377.9</v>
      </c>
      <c r="H30" s="1965"/>
      <c r="I30" s="1965"/>
      <c r="J30" s="1965"/>
      <c r="K30" s="1965"/>
      <c r="L30" s="1965"/>
    </row>
    <row r="31" spans="1:19" ht="32.25" customHeight="1" thickBot="1">
      <c r="A31" s="1362"/>
      <c r="B31" s="1363" t="s">
        <v>229</v>
      </c>
      <c r="C31" s="2311" t="s">
        <v>2319</v>
      </c>
      <c r="D31" s="1364">
        <f>D27+D30</f>
        <v>34964.5</v>
      </c>
      <c r="E31" s="1364">
        <f>E27+E30</f>
        <v>109310.18</v>
      </c>
      <c r="F31" s="1365">
        <f>F27+F30</f>
        <v>63803.62</v>
      </c>
      <c r="G31" s="1366">
        <f>G27+G30</f>
        <v>45506.560000000005</v>
      </c>
      <c r="H31" s="1965"/>
      <c r="I31" s="1965"/>
      <c r="J31" s="1965"/>
      <c r="K31" s="1965"/>
      <c r="L31" s="1965"/>
    </row>
    <row r="32" spans="1:19">
      <c r="A32" s="1965"/>
      <c r="B32" s="2323" t="s">
        <v>2318</v>
      </c>
      <c r="C32" s="2607"/>
      <c r="D32" s="1195"/>
      <c r="E32" s="1195">
        <f>SUMIF(C19:C26,"*住宅*",E19:E26)</f>
        <v>63135.22</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4" activePane="bottomRight" state="frozen"/>
      <selection pane="topRight" activeCell="D1" sqref="D1"/>
      <selection pane="bottomLeft" activeCell="A4" sqref="A4"/>
      <selection pane="bottomRight" activeCell="E32" sqref="E3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43817</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2825</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922</v>
      </c>
      <c r="D6" s="2289">
        <f>SUMIF(项目基本情况!D$15:I$15,C6,项目基本情况!D$18:I$18)</f>
        <v>70</v>
      </c>
      <c r="E6" s="2290">
        <f>IF(B6="","",SUMIF(项目基本情况!D$15:I$15,C6,项目基本情况!D$17:I$17))</f>
        <v>63511</v>
      </c>
      <c r="F6" s="174">
        <f>SUMIF(项目基本情况!D$15:I$15,C6,项目基本情况!D$19:I$19)</f>
        <v>53.95</v>
      </c>
      <c r="G6" s="175">
        <f>IF(ISERROR(ROUND(POWER(1+H6,D6-F6)*(POWER(1+H6,F6)-1)/(POWER(1+H6,D6)-1),3)),0,ROUND(POWER(1+H6,D6-F6)*(POWER(1+H6,F6)-1)/(POWER(1+H6,D6)-1),3))</f>
        <v>0.96</v>
      </c>
      <c r="H6" s="2974">
        <v>0.05</v>
      </c>
      <c r="I6" s="2974">
        <v>5.5E-2</v>
      </c>
      <c r="J6" s="2974">
        <v>8.5000000000000006E-2</v>
      </c>
      <c r="K6" s="179">
        <f>SUMIF('数据-汇总表'!C$19:C$33,'数据-取费表'!A6,'数据-汇总表'!E$19:E$33)</f>
        <v>63135.22</v>
      </c>
      <c r="L6" s="2975">
        <v>4500</v>
      </c>
      <c r="M6" s="177">
        <f t="shared" ref="M6:M14" si="0">ROUND(K6*L6/10000,0)</f>
        <v>28411</v>
      </c>
      <c r="N6" s="2976">
        <v>0</v>
      </c>
      <c r="O6" s="177">
        <f>IF($N$5="成新度","——",ROUND(M6*N6,0))</f>
        <v>0</v>
      </c>
      <c r="P6" s="178">
        <f>IF($N$5="成新度","——",M6-O6)</f>
        <v>28411</v>
      </c>
      <c r="Q6" s="2977">
        <v>0.1</v>
      </c>
      <c r="R6" s="179">
        <f>SUMIF('数据-汇总表'!C$19:C$33,A6,'数据-汇总表'!R$19:R$33)</f>
        <v>22871.280000000002</v>
      </c>
      <c r="S6" s="132">
        <f>IF('数据-汇总表'!$I$17="按面积比例",SUMIF('数据-汇总表'!C$19:C$33,A6,'数据-汇总表'!K$19:K$33),SUMIF('数据-汇总表'!C$19:C$33,A6,'数据-汇总表'!N$19:N$33))</f>
        <v>8187.71</v>
      </c>
      <c r="T6" s="2215">
        <f>IF($T$4="按面积比例",IF(ISERROR(ROUND($M$14*S6/S$16,0)),"0",ROUND($M$14*S6/S$16,0)),"需自行计算录入")</f>
        <v>2456</v>
      </c>
      <c r="U6" s="180"/>
      <c r="V6" s="181"/>
      <c r="W6" s="181"/>
      <c r="X6" s="2302"/>
      <c r="Y6" s="182"/>
      <c r="Z6" s="183"/>
      <c r="AA6" s="176"/>
      <c r="AB6" s="176"/>
      <c r="AC6" s="2305"/>
      <c r="AD6" s="184"/>
      <c r="AE6" s="970">
        <f ca="1">IF(AN6="",0,SUMIF(INDIRECT("'"&amp;AN6&amp;"'"&amp;"!E:E"),$AE$5,INDIRECT("'"&amp;AN6&amp;"'"&amp;"!F:F")))</f>
        <v>0</v>
      </c>
      <c r="AF6" s="141"/>
      <c r="AG6" s="1207">
        <f>IF(AF6="",0,AE6-AF6)</f>
        <v>0</v>
      </c>
      <c r="AH6" s="141"/>
      <c r="AI6" s="187">
        <v>365</v>
      </c>
      <c r="AJ6" s="188"/>
      <c r="AK6" s="189">
        <v>1.4999999999999999E-2</v>
      </c>
      <c r="AL6" s="190">
        <v>1.5E-3</v>
      </c>
      <c r="AM6" s="2988">
        <v>0.01</v>
      </c>
      <c r="AN6" s="2352"/>
      <c r="AO6" s="1981"/>
      <c r="AP6" s="1198">
        <f>ROUND(1-1/(1+H6)^F6,3)</f>
        <v>0.92800000000000005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商业</v>
      </c>
      <c r="B7" s="2318" t="str">
        <f t="shared" ref="B7:B13" si="1">IF(A7=0,"","经营性")</f>
        <v>经营性</v>
      </c>
      <c r="C7" s="173" t="s">
        <v>2988</v>
      </c>
      <c r="D7" s="2289">
        <f>SUMIF(项目基本情况!D$15:I$15,C7,项目基本情况!D$18:I$18)</f>
        <v>40</v>
      </c>
      <c r="E7" s="2290">
        <f>IF(B7="","",SUMIF(项目基本情况!D$15:I$15,C7,项目基本情况!D$17:I$17))</f>
        <v>52553</v>
      </c>
      <c r="F7" s="174">
        <f>SUMIF(项目基本情况!D$15:I$15,C7,项目基本情况!D$19:I$19)</f>
        <v>23.93</v>
      </c>
      <c r="G7" s="175">
        <f t="shared" ref="G7:G11" si="2">IF(ISERROR(ROUND(POWER(1+H7,D7-F7)*(POWER(1+H7,F7)-1)/(POWER(1+H7,D7)-1),3)),0,ROUND(POWER(1+H7,D7-F7)*(POWER(1+H7,F7)-1)/(POWER(1+H7,D7)-1),3))</f>
        <v>0.81799999999999995</v>
      </c>
      <c r="H7" s="2974">
        <v>5.5E-2</v>
      </c>
      <c r="I7" s="2974">
        <v>0.06</v>
      </c>
      <c r="J7" s="2974">
        <v>8.5000000000000006E-2</v>
      </c>
      <c r="K7" s="179">
        <f>SUMIF('数据-汇总表'!C$19:C$33,'数据-取费表'!A7,'数据-汇总表'!E$19:E$33)</f>
        <v>338.4</v>
      </c>
      <c r="L7" s="2975">
        <v>3500</v>
      </c>
      <c r="M7" s="177">
        <f t="shared" si="0"/>
        <v>118</v>
      </c>
      <c r="N7" s="2976">
        <v>0</v>
      </c>
      <c r="O7" s="177">
        <f t="shared" ref="O7:O14" si="3">IF($N$5="成新度","——",ROUND(M7*N7,0))</f>
        <v>0</v>
      </c>
      <c r="P7" s="178">
        <f t="shared" ref="P7:P14" si="4">IF($N$5="成新度","——",M7-O7)</f>
        <v>118</v>
      </c>
      <c r="Q7" s="2977">
        <v>0.25</v>
      </c>
      <c r="R7" s="179">
        <f>SUMIF('数据-汇总表'!C$19:C$33,A7,'数据-汇总表'!R$19:R$33)</f>
        <v>122.28</v>
      </c>
      <c r="S7" s="132">
        <f>IF('数据-汇总表'!$I$17="按面积比例",SUMIF('数据-汇总表'!C$19:C$33,A7,'数据-汇总表'!K$19:K$33),SUMIF('数据-汇总表'!C$19:C$33,A7,'数据-汇总表'!N$19:N$33))</f>
        <v>43.89</v>
      </c>
      <c r="T7" s="2215">
        <f t="shared" ref="T7:T13" si="5">IF($T$4="按面积比例",IF(ISERROR(ROUND($M$14*S7/S$16,0)),"0",ROUND($M$14*S7/S$16,0)),"需自行计算录入")</f>
        <v>13</v>
      </c>
      <c r="U7" s="180">
        <v>8</v>
      </c>
      <c r="V7" s="181">
        <v>0.03</v>
      </c>
      <c r="W7" s="181">
        <v>0.1</v>
      </c>
      <c r="X7" s="2302"/>
      <c r="Y7" s="182">
        <v>1</v>
      </c>
      <c r="Z7" s="183"/>
      <c r="AA7" s="176"/>
      <c r="AB7" s="176"/>
      <c r="AC7" s="2305"/>
      <c r="AD7" s="184"/>
      <c r="AE7" s="970">
        <f t="shared" ref="AE7:AE13" ca="1" si="6">IF(AN7="",0,SUMIF(INDIRECT("'"&amp;AN7&amp;"'"&amp;"!E:E"),$AE$5,INDIRECT("'"&amp;AN7&amp;"'"&amp;"!F:F")))</f>
        <v>21.43</v>
      </c>
      <c r="AF7" s="141"/>
      <c r="AG7" s="1207">
        <f t="shared" ref="AG7:AG13" si="7">IF(AF7="",0,AE7-AF7)</f>
        <v>0</v>
      </c>
      <c r="AH7" s="141"/>
      <c r="AI7" s="187">
        <v>365</v>
      </c>
      <c r="AJ7" s="188"/>
      <c r="AK7" s="189">
        <v>1.4999999999999999E-2</v>
      </c>
      <c r="AL7" s="190">
        <v>1.5E-3</v>
      </c>
      <c r="AM7" s="2988">
        <v>0.01</v>
      </c>
      <c r="AN7" s="2352" t="s">
        <v>3039</v>
      </c>
      <c r="AO7" s="1981"/>
      <c r="AP7" s="1198">
        <f t="shared" ref="AP7:AP13" si="8">ROUND(1-1/(1+H7)^F7,3)</f>
        <v>0.72199999999999998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地下仓储</v>
      </c>
      <c r="B8" s="2318" t="str">
        <f t="shared" si="1"/>
        <v>经营性</v>
      </c>
      <c r="C8" s="173" t="s">
        <v>2990</v>
      </c>
      <c r="D8" s="2289">
        <f>SUMIF(项目基本情况!D$15:I$15,C8,项目基本情况!D$18:I$18)</f>
        <v>50</v>
      </c>
      <c r="E8" s="2290">
        <f>IF(B8="","",SUMIF(项目基本情况!D$15:I$15,C8,项目基本情况!D$17:I$17))</f>
        <v>56206</v>
      </c>
      <c r="F8" s="174">
        <f>SUMIF(项目基本情况!D$15:I$15,C8,项目基本情况!D$19:I$19)</f>
        <v>33.94</v>
      </c>
      <c r="G8" s="175">
        <f t="shared" si="2"/>
        <v>0.872</v>
      </c>
      <c r="H8" s="2974">
        <v>4.4999999999999998E-2</v>
      </c>
      <c r="I8" s="2974">
        <v>0.05</v>
      </c>
      <c r="J8" s="2974">
        <v>8.5000000000000006E-2</v>
      </c>
      <c r="K8" s="179">
        <f>SUMIF('数据-汇总表'!C$19:C$33,'数据-取费表'!A8,'数据-汇总表'!E$19:E$33)</f>
        <v>3440.91</v>
      </c>
      <c r="L8" s="2975">
        <v>3000</v>
      </c>
      <c r="M8" s="177">
        <f>ROUND(K8*L8/10000,0)</f>
        <v>1032</v>
      </c>
      <c r="N8" s="2976">
        <v>0</v>
      </c>
      <c r="O8" s="177">
        <f t="shared" si="3"/>
        <v>0</v>
      </c>
      <c r="P8" s="178">
        <f t="shared" si="4"/>
        <v>1032</v>
      </c>
      <c r="Q8" s="2977">
        <v>0.03</v>
      </c>
      <c r="R8" s="179">
        <f>SUMIF('数据-汇总表'!C$19:C$33,A8,'数据-汇总表'!R$19:R$33)</f>
        <v>1243.3700000000001</v>
      </c>
      <c r="S8" s="132">
        <f>IF('数据-汇总表'!$I$17="按面积比例",SUMIF('数据-汇总表'!C$19:C$33,A8,'数据-汇总表'!K$19:K$33),SUMIF('数据-汇总表'!C$19:C$33,A8,'数据-汇总表'!N$19:N$33))</f>
        <v>446.24</v>
      </c>
      <c r="T8" s="2215">
        <f t="shared" si="5"/>
        <v>134</v>
      </c>
      <c r="U8" s="180">
        <v>1.5</v>
      </c>
      <c r="V8" s="181">
        <v>0.03</v>
      </c>
      <c r="W8" s="181">
        <v>0.1</v>
      </c>
      <c r="X8" s="2302"/>
      <c r="Y8" s="182">
        <v>1</v>
      </c>
      <c r="Z8" s="183"/>
      <c r="AA8" s="176"/>
      <c r="AB8" s="176"/>
      <c r="AC8" s="2305"/>
      <c r="AD8" s="184"/>
      <c r="AE8" s="970">
        <f t="shared" ca="1" si="6"/>
        <v>31.439999999999998</v>
      </c>
      <c r="AF8" s="141"/>
      <c r="AG8" s="1207">
        <f t="shared" si="7"/>
        <v>0</v>
      </c>
      <c r="AH8" s="141"/>
      <c r="AI8" s="187">
        <v>365</v>
      </c>
      <c r="AJ8" s="188"/>
      <c r="AK8" s="189">
        <v>1.4999999999999999E-2</v>
      </c>
      <c r="AL8" s="190">
        <v>1.5E-3</v>
      </c>
      <c r="AM8" s="2988">
        <v>0.01</v>
      </c>
      <c r="AN8" s="2352" t="s">
        <v>3043</v>
      </c>
      <c r="AO8" s="1981"/>
      <c r="AP8" s="1198">
        <f t="shared" si="8"/>
        <v>0.77600000000000002</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地下车库</v>
      </c>
      <c r="B9" s="2318" t="str">
        <f t="shared" si="1"/>
        <v>经营性</v>
      </c>
      <c r="C9" s="173" t="s">
        <v>2989</v>
      </c>
      <c r="D9" s="2289">
        <f>SUMIF(项目基本情况!D$15:I$15,C9,项目基本情况!D$18:I$18)</f>
        <v>50</v>
      </c>
      <c r="E9" s="2290">
        <f>IF(B9="","",SUMIF(项目基本情况!D$15:I$15,C9,项目基本情况!D$17:I$17))</f>
        <v>56206</v>
      </c>
      <c r="F9" s="174">
        <f>SUMIF(项目基本情况!D$15:I$15,C9,项目基本情况!D$19:I$19)</f>
        <v>33.94</v>
      </c>
      <c r="G9" s="175">
        <f t="shared" si="2"/>
        <v>0.872</v>
      </c>
      <c r="H9" s="2974">
        <v>4.4999999999999998E-2</v>
      </c>
      <c r="I9" s="2974">
        <v>0.05</v>
      </c>
      <c r="J9" s="2974">
        <v>8.5000000000000006E-2</v>
      </c>
      <c r="K9" s="179">
        <f>SUMIF('数据-汇总表'!C$19:C$33,'数据-取费表'!A9,'数据-汇总表'!E$19:E$33)</f>
        <v>29687.75</v>
      </c>
      <c r="L9" s="2975">
        <v>3000</v>
      </c>
      <c r="M9" s="177">
        <f t="shared" si="0"/>
        <v>8906</v>
      </c>
      <c r="N9" s="2976">
        <v>0</v>
      </c>
      <c r="O9" s="177">
        <f t="shared" si="3"/>
        <v>0</v>
      </c>
      <c r="P9" s="178">
        <f t="shared" si="4"/>
        <v>8906</v>
      </c>
      <c r="Q9" s="2977">
        <v>0.03</v>
      </c>
      <c r="R9" s="179">
        <f>SUMIF('数据-汇总表'!C$19:C$33,A9,'数据-汇总表'!R$19:R$33)</f>
        <v>10727.57</v>
      </c>
      <c r="S9" s="132">
        <f>IF('数据-汇总表'!$I$17="按面积比例",SUMIF('数据-汇总表'!C$19:C$33,A9,'数据-汇总表'!K$19:K$33),SUMIF('数据-汇总表'!C$19:C$33,A9,'数据-汇总表'!N$19:N$33))</f>
        <v>3850.07</v>
      </c>
      <c r="T9" s="2215">
        <f t="shared" si="5"/>
        <v>1155</v>
      </c>
      <c r="U9" s="180">
        <v>900</v>
      </c>
      <c r="V9" s="181">
        <v>0.03</v>
      </c>
      <c r="W9" s="181">
        <v>0.05</v>
      </c>
      <c r="X9" s="2302"/>
      <c r="Y9" s="182">
        <v>1</v>
      </c>
      <c r="Z9" s="183"/>
      <c r="AA9" s="176"/>
      <c r="AB9" s="176"/>
      <c r="AC9" s="2305"/>
      <c r="AD9" s="184"/>
      <c r="AE9" s="970">
        <f t="shared" ca="1" si="6"/>
        <v>31.439999999999998</v>
      </c>
      <c r="AF9" s="141"/>
      <c r="AG9" s="1207">
        <f t="shared" si="7"/>
        <v>0</v>
      </c>
      <c r="AH9" s="141">
        <v>947</v>
      </c>
      <c r="AI9" s="187">
        <v>12</v>
      </c>
      <c r="AJ9" s="188"/>
      <c r="AK9" s="189">
        <v>1.4999999999999999E-2</v>
      </c>
      <c r="AL9" s="190">
        <v>1.5E-3</v>
      </c>
      <c r="AM9" s="2988">
        <v>0.01</v>
      </c>
      <c r="AN9" s="2352" t="s">
        <v>3041</v>
      </c>
      <c r="AO9" s="1981"/>
      <c r="AP9" s="1198">
        <f t="shared" si="8"/>
        <v>0.77600000000000002</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5"/>
      <c r="M10" s="177">
        <f t="shared" si="0"/>
        <v>0</v>
      </c>
      <c r="N10" s="2976"/>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75"/>
      <c r="M11" s="177">
        <f t="shared" si="0"/>
        <v>0</v>
      </c>
      <c r="N11" s="2976"/>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75"/>
      <c r="M12" s="177">
        <f>ROUND(K12*L12/10000,0)</f>
        <v>0</v>
      </c>
      <c r="N12" s="2976"/>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75"/>
      <c r="M13" s="177">
        <f>ROUND(K13*L13/10000,0)</f>
        <v>0</v>
      </c>
      <c r="N13" s="2976"/>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2311</v>
      </c>
      <c r="B14" s="2287" t="s">
        <v>1678</v>
      </c>
      <c r="C14" s="2288" t="s">
        <v>2311</v>
      </c>
      <c r="D14" s="2289"/>
      <c r="E14" s="2290"/>
      <c r="F14" s="174"/>
      <c r="G14" s="175"/>
      <c r="H14" s="2291"/>
      <c r="I14" s="2291"/>
      <c r="J14" s="2291"/>
      <c r="K14" s="179">
        <f>SUMIF('数据-汇总表'!C$19:C$33,'数据-取费表'!A14,'数据-汇总表'!E$19:E$33)</f>
        <v>12527.9</v>
      </c>
      <c r="L14" s="2975">
        <v>3000</v>
      </c>
      <c r="M14" s="177">
        <f t="shared" si="0"/>
        <v>3758</v>
      </c>
      <c r="N14" s="2976">
        <v>0</v>
      </c>
      <c r="O14" s="177">
        <f t="shared" si="3"/>
        <v>0</v>
      </c>
      <c r="P14" s="178">
        <f t="shared" si="4"/>
        <v>3758</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2313</v>
      </c>
      <c r="B15" s="2287" t="s">
        <v>1678</v>
      </c>
      <c r="C15" s="2288" t="s">
        <v>2312</v>
      </c>
      <c r="D15" s="2289"/>
      <c r="E15" s="2290"/>
      <c r="F15" s="174"/>
      <c r="G15" s="175"/>
      <c r="H15" s="2291"/>
      <c r="I15" s="2291"/>
      <c r="J15" s="2291"/>
      <c r="K15" s="179">
        <f>SUMIF('数据-汇总表'!C$19:C$33,'数据-取费表'!A15,'数据-汇总表'!E$19:E$33)</f>
        <v>180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6" t="s">
        <v>262</v>
      </c>
      <c r="B16" s="197"/>
      <c r="C16" s="198"/>
      <c r="D16" s="199"/>
      <c r="E16" s="197"/>
      <c r="F16" s="197"/>
      <c r="G16" s="200">
        <f>ROUND(SUMPRODUCT(G6:G13,K6:K13)/SUMPRODUCT((G6:G13&gt;0)*(K6:K13)),3)</f>
        <v>0.92900000000000005</v>
      </c>
      <c r="H16" s="201">
        <f>ROUND(SUMPRODUCT(H6:H13,K6:K13)/SUMPRODUCT((H6:H13&gt;0)*(K6:K13)),3)</f>
        <v>4.8000000000000001E-2</v>
      </c>
      <c r="I16" s="202"/>
      <c r="J16" s="202"/>
      <c r="K16" s="203">
        <f>SUM(K6:K15)</f>
        <v>109310.18</v>
      </c>
      <c r="L16" s="204">
        <f>ROUND(M16*10000/SUM(K6:K14),0)</f>
        <v>3869</v>
      </c>
      <c r="M16" s="204">
        <f>SUM(M6:M14)</f>
        <v>42225</v>
      </c>
      <c r="N16" s="205">
        <f>ROUND(SUMPRODUCT(M6:M14,N6:N14)/M16,3)</f>
        <v>0</v>
      </c>
      <c r="O16" s="204">
        <f>SUM(O6:O14)</f>
        <v>0</v>
      </c>
      <c r="P16" s="204">
        <f>SUM(P6:P14)</f>
        <v>42225</v>
      </c>
      <c r="Q16" s="206">
        <f>ROUND(SUMPRODUCT(Q6:Q13,K6:K13)/SUMPRODUCT((Q6:Q13&gt;0)*(K6:K13)),2)</f>
        <v>0.08</v>
      </c>
      <c r="R16" s="2292">
        <f>SUM(R6:R13)</f>
        <v>34964.5</v>
      </c>
      <c r="S16" s="207">
        <f>SUM(S6:S13)</f>
        <v>12527.91</v>
      </c>
      <c r="T16" s="208">
        <f>IF(SUMIF(T6:T13,"&lt;9E307")=M14,SUMIF(T6:T13,"&lt;9E307"),"有误，请检查")</f>
        <v>3758</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0.875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4" t="s">
        <v>2335</v>
      </c>
      <c r="B27" s="225">
        <v>160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6" t="s">
        <v>2336</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29" t="s">
        <v>2334</v>
      </c>
      <c r="B29" s="230">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4" t="s">
        <v>278</v>
      </c>
      <c r="B33" s="1371">
        <v>0.05</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231">
        <v>0.05</v>
      </c>
      <c r="C34" s="2325" t="s">
        <v>2891</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2.5000000000000001E-2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0.03</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8">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7.0000000000000007E-2</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2"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3"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3"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1408</v>
      </c>
      <c r="C53" s="3024" t="s">
        <v>2901</v>
      </c>
      <c r="D53" s="3025"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2903</v>
      </c>
      <c r="B54" s="186">
        <v>30</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2904</v>
      </c>
      <c r="B55" s="186">
        <v>24</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2905</v>
      </c>
      <c r="B56" s="186">
        <v>18</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2906</v>
      </c>
      <c r="B57" s="186">
        <v>12</v>
      </c>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2907</v>
      </c>
      <c r="B58" s="186">
        <v>3</v>
      </c>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2908</v>
      </c>
      <c r="B59" s="186">
        <v>1.5</v>
      </c>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84" t="s">
        <v>1662</v>
      </c>
      <c r="B1" s="3285"/>
      <c r="C1" s="3285"/>
      <c r="D1" s="3285"/>
      <c r="E1" s="3285"/>
      <c r="F1" s="3285"/>
      <c r="G1" s="3285"/>
      <c r="H1" s="1983"/>
      <c r="I1" s="1984"/>
      <c r="J1" s="1985"/>
      <c r="K1" s="1983"/>
      <c r="L1" s="1984"/>
      <c r="M1" s="1985"/>
      <c r="N1" s="1983"/>
      <c r="O1" s="1984"/>
      <c r="P1" s="1985"/>
      <c r="Q1" s="1986"/>
      <c r="R1" s="1987"/>
    </row>
    <row r="2" spans="1:18" ht="14.25" thickBot="1">
      <c r="A2" s="1215"/>
      <c r="B2" s="1216"/>
      <c r="C2" s="1217" t="s">
        <v>1663</v>
      </c>
      <c r="D2" s="1218"/>
      <c r="E2" s="1219"/>
      <c r="F2" s="1220"/>
      <c r="G2" s="1217" t="s">
        <v>1664</v>
      </c>
      <c r="H2" s="1989"/>
      <c r="I2" s="1989"/>
      <c r="J2" s="1989"/>
      <c r="K2" s="1989"/>
      <c r="L2" s="1989"/>
      <c r="M2" s="1989"/>
      <c r="N2" s="1989"/>
      <c r="O2" s="1989"/>
      <c r="P2" s="1989"/>
      <c r="Q2" s="1989"/>
      <c r="R2" s="1989"/>
    </row>
    <row r="3" spans="1:18" ht="27">
      <c r="A3" s="1221" t="s">
        <v>1665</v>
      </c>
      <c r="B3" s="1222" t="s">
        <v>1652</v>
      </c>
      <c r="C3" s="3029"/>
      <c r="D3" s="1990"/>
      <c r="E3" s="1223" t="s">
        <v>1665</v>
      </c>
      <c r="F3" s="1224" t="s">
        <v>1653</v>
      </c>
      <c r="G3" s="3033"/>
      <c r="H3" s="1989"/>
      <c r="I3" s="1989"/>
      <c r="J3" s="1989"/>
      <c r="K3" s="1989"/>
      <c r="L3" s="1989"/>
      <c r="M3" s="1989"/>
      <c r="N3" s="1989"/>
      <c r="O3" s="1989"/>
      <c r="P3" s="1989"/>
      <c r="Q3" s="1989"/>
      <c r="R3" s="1989"/>
    </row>
    <row r="4" spans="1:18" ht="14.25">
      <c r="A4" s="1223"/>
      <c r="B4" s="1225" t="s">
        <v>1666</v>
      </c>
      <c r="C4" s="3030"/>
      <c r="D4" s="1990"/>
      <c r="E4" s="1226"/>
      <c r="F4" s="1227" t="s">
        <v>1667</v>
      </c>
      <c r="G4" s="3031"/>
      <c r="H4" s="1989"/>
      <c r="I4" s="1989"/>
      <c r="J4" s="1989"/>
      <c r="K4" s="1989"/>
      <c r="L4" s="1989"/>
      <c r="M4" s="1989"/>
      <c r="N4" s="1989"/>
      <c r="O4" s="1989"/>
      <c r="P4" s="1989"/>
      <c r="Q4" s="1989"/>
      <c r="R4" s="1989"/>
    </row>
    <row r="5" spans="1:18" ht="14.25">
      <c r="A5" s="1223"/>
      <c r="B5" s="1225" t="s">
        <v>1668</v>
      </c>
      <c r="C5" s="3030"/>
      <c r="D5" s="1990"/>
      <c r="E5" s="1226"/>
      <c r="F5" s="1225" t="s">
        <v>2543</v>
      </c>
      <c r="G5" s="3031"/>
      <c r="H5" s="1989"/>
      <c r="I5" s="1989"/>
      <c r="J5" s="1989"/>
      <c r="K5" s="1989"/>
      <c r="L5" s="1989"/>
      <c r="M5" s="1989"/>
      <c r="N5" s="1989"/>
      <c r="O5" s="1989"/>
      <c r="P5" s="1989"/>
      <c r="Q5" s="1989"/>
      <c r="R5" s="1989"/>
    </row>
    <row r="6" spans="1:18" ht="14.25">
      <c r="A6" s="1223"/>
      <c r="B6" s="1225" t="s">
        <v>1654</v>
      </c>
      <c r="C6" s="3031"/>
      <c r="D6" s="1990"/>
      <c r="E6" s="1226"/>
      <c r="F6" s="1225" t="s">
        <v>2544</v>
      </c>
      <c r="G6" s="3031"/>
      <c r="H6" s="1989"/>
      <c r="I6" s="1989"/>
      <c r="J6" s="1989"/>
      <c r="K6" s="1989"/>
      <c r="L6" s="1989"/>
      <c r="M6" s="1989"/>
      <c r="N6" s="1989"/>
      <c r="O6" s="1989"/>
      <c r="P6" s="1989"/>
      <c r="Q6" s="1989"/>
      <c r="R6" s="1989"/>
    </row>
    <row r="7" spans="1:18" ht="15" thickBot="1">
      <c r="A7" s="1223"/>
      <c r="B7" s="1225" t="s">
        <v>2543</v>
      </c>
      <c r="C7" s="3031"/>
      <c r="D7" s="1991"/>
      <c r="E7" s="1228"/>
      <c r="F7" s="1229" t="s">
        <v>1669</v>
      </c>
      <c r="G7" s="3034"/>
      <c r="H7" s="1989"/>
      <c r="I7" s="1989"/>
      <c r="J7" s="1989"/>
      <c r="K7" s="1989"/>
      <c r="L7" s="1989"/>
      <c r="M7" s="1989"/>
      <c r="N7" s="1989"/>
      <c r="O7" s="1989"/>
      <c r="P7" s="1989"/>
      <c r="Q7" s="1989"/>
      <c r="R7" s="1989"/>
    </row>
    <row r="8" spans="1:18" ht="14.25">
      <c r="A8" s="1223"/>
      <c r="B8" s="1225" t="s">
        <v>2544</v>
      </c>
      <c r="C8" s="3031"/>
      <c r="D8" s="1991"/>
      <c r="E8" s="1991"/>
      <c r="F8" s="1536"/>
      <c r="G8" s="1536"/>
      <c r="H8" s="1989"/>
      <c r="I8" s="1989"/>
      <c r="J8" s="1989"/>
      <c r="K8" s="1989"/>
      <c r="L8" s="1989"/>
      <c r="M8" s="1989"/>
      <c r="N8" s="1989"/>
      <c r="O8" s="1989"/>
      <c r="P8" s="1989"/>
      <c r="Q8" s="1989"/>
      <c r="R8" s="1989"/>
    </row>
    <row r="9" spans="1:18" ht="14.25">
      <c r="A9" s="1223"/>
      <c r="B9" s="1225" t="s">
        <v>1655</v>
      </c>
      <c r="C9" s="3030"/>
      <c r="D9" s="1990"/>
      <c r="E9" s="1991"/>
      <c r="F9" s="1536"/>
      <c r="G9" s="1536"/>
      <c r="H9" s="1989"/>
      <c r="I9" s="1989"/>
      <c r="J9" s="1989"/>
      <c r="K9" s="1989"/>
      <c r="L9" s="1989"/>
      <c r="M9" s="1989"/>
      <c r="N9" s="1989"/>
      <c r="O9" s="1989"/>
      <c r="P9" s="1989"/>
      <c r="Q9" s="1989"/>
      <c r="R9" s="1989"/>
    </row>
    <row r="10" spans="1:18" s="1997" customFormat="1" ht="15" thickBot="1">
      <c r="A10" s="1230"/>
      <c r="B10" s="1231" t="s">
        <v>1670</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8"/>
      <c r="E13" s="2538"/>
      <c r="F13" s="2538"/>
      <c r="G13" s="2538"/>
    </row>
    <row r="14" spans="1:18" ht="14.25" thickBot="1">
      <c r="A14" s="1232"/>
      <c r="B14" s="1233"/>
      <c r="C14" s="1234" t="s">
        <v>1663</v>
      </c>
      <c r="D14" s="1990"/>
      <c r="E14" s="1235"/>
      <c r="F14" s="1235"/>
      <c r="G14" s="1217" t="s">
        <v>1664</v>
      </c>
    </row>
    <row r="15" spans="1:18" ht="27">
      <c r="A15" s="2548" t="s">
        <v>1656</v>
      </c>
      <c r="B15" s="1236" t="s">
        <v>1652</v>
      </c>
      <c r="C15" s="1237">
        <f>C3</f>
        <v>0</v>
      </c>
      <c r="D15" s="1990"/>
      <c r="E15" s="2545" t="s">
        <v>1657</v>
      </c>
      <c r="F15" s="1236" t="s">
        <v>1672</v>
      </c>
      <c r="G15" s="1238">
        <f>G3</f>
        <v>0</v>
      </c>
    </row>
    <row r="16" spans="1:18">
      <c r="A16" s="2549"/>
      <c r="B16" s="1239" t="s">
        <v>1666</v>
      </c>
      <c r="C16" s="1240">
        <f>C4</f>
        <v>0</v>
      </c>
      <c r="D16" s="1990"/>
      <c r="E16" s="2546"/>
      <c r="F16" s="1241" t="s">
        <v>1667</v>
      </c>
      <c r="G16" s="1003">
        <f>G4</f>
        <v>0</v>
      </c>
    </row>
    <row r="17" spans="1:7" ht="14.25">
      <c r="A17" s="2549"/>
      <c r="B17" s="1239" t="s">
        <v>1668</v>
      </c>
      <c r="C17" s="1240">
        <f>C5</f>
        <v>0</v>
      </c>
      <c r="D17" s="1991"/>
      <c r="E17" s="2546"/>
      <c r="F17" s="1241" t="s">
        <v>1673</v>
      </c>
      <c r="G17" s="2746"/>
    </row>
    <row r="18" spans="1:7">
      <c r="A18" s="2549"/>
      <c r="B18" s="1241" t="s">
        <v>1654</v>
      </c>
      <c r="C18" s="1003">
        <f>C6</f>
        <v>0</v>
      </c>
      <c r="D18" s="1991"/>
      <c r="E18" s="2546"/>
      <c r="F18" s="1241" t="s">
        <v>1669</v>
      </c>
      <c r="G18" s="1003">
        <f>G7</f>
        <v>0</v>
      </c>
    </row>
    <row r="19" spans="1:7" ht="14.25">
      <c r="A19" s="2549"/>
      <c r="B19" s="1241" t="s">
        <v>1658</v>
      </c>
      <c r="C19" s="2746"/>
      <c r="D19" s="1990"/>
      <c r="E19" s="2546"/>
      <c r="F19" s="1225" t="s">
        <v>2543</v>
      </c>
      <c r="G19" s="1003">
        <f>G5</f>
        <v>0</v>
      </c>
    </row>
    <row r="20" spans="1:7">
      <c r="A20" s="2549"/>
      <c r="B20" s="1241" t="s">
        <v>1659</v>
      </c>
      <c r="C20" s="1240">
        <f>C9</f>
        <v>0</v>
      </c>
      <c r="D20" s="1991"/>
      <c r="E20" s="2546"/>
      <c r="F20" s="1225" t="s">
        <v>2544</v>
      </c>
      <c r="G20" s="1003">
        <f>G6</f>
        <v>0</v>
      </c>
    </row>
    <row r="21" spans="1:7" ht="14.25">
      <c r="A21" s="2549"/>
      <c r="B21" s="1225" t="s">
        <v>2543</v>
      </c>
      <c r="C21" s="1003">
        <f>C7</f>
        <v>0</v>
      </c>
      <c r="D21" s="1990"/>
      <c r="E21" s="2546"/>
      <c r="F21" s="1241" t="s">
        <v>1660</v>
      </c>
      <c r="G21" s="3035"/>
    </row>
    <row r="22" spans="1:7" ht="14.25">
      <c r="A22" s="2549"/>
      <c r="B22" s="1225" t="s">
        <v>2544</v>
      </c>
      <c r="C22" s="1003">
        <f>C8</f>
        <v>0</v>
      </c>
      <c r="D22" s="1990"/>
      <c r="E22" s="2546"/>
      <c r="F22" s="1241" t="s">
        <v>1670</v>
      </c>
      <c r="G22" s="2746"/>
    </row>
    <row r="23" spans="1:7" ht="15" thickBot="1">
      <c r="A23" s="2549"/>
      <c r="B23" s="1241" t="s">
        <v>1660</v>
      </c>
      <c r="C23" s="3035"/>
      <c r="E23" s="2547"/>
      <c r="F23" s="1242" t="s">
        <v>1674</v>
      </c>
      <c r="G23" s="3036"/>
    </row>
    <row r="24" spans="1:7" ht="14.25" thickBot="1">
      <c r="A24" s="2550"/>
      <c r="B24" s="1242" t="s">
        <v>1661</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6" sqref="G6"/>
    </sheetView>
  </sheetViews>
  <sheetFormatPr defaultColWidth="14.625" defaultRowHeight="13.5"/>
  <cols>
    <col min="1" max="1" width="24.375" customWidth="1"/>
  </cols>
  <sheetData>
    <row r="1" spans="1:9" ht="16.5">
      <c r="A1" s="2993" t="s">
        <v>2841</v>
      </c>
      <c r="B1" s="2993">
        <f>SUM(B14:B23)</f>
        <v>142016.5</v>
      </c>
      <c r="C1" s="2994"/>
      <c r="D1" s="2994"/>
      <c r="E1" s="2994"/>
      <c r="F1" s="2994"/>
    </row>
    <row r="2" spans="1:9" ht="16.5">
      <c r="A2" s="2993" t="s">
        <v>2842</v>
      </c>
      <c r="B2" s="2993">
        <f>SUM(C14:C23)</f>
        <v>41724.46</v>
      </c>
      <c r="C2" s="2994"/>
      <c r="D2" s="2994"/>
      <c r="E2" s="2994"/>
      <c r="F2" s="2994"/>
    </row>
    <row r="3" spans="1:9" ht="16.5">
      <c r="A3" s="2993" t="s">
        <v>2843</v>
      </c>
      <c r="B3" s="2995">
        <f>项目基本情况!D3</f>
        <v>43817</v>
      </c>
      <c r="C3" s="2994"/>
      <c r="D3" s="2994"/>
      <c r="E3" s="2994"/>
      <c r="F3" s="2994"/>
    </row>
    <row r="4" spans="1:9" ht="33">
      <c r="A4" s="2993" t="s">
        <v>2844</v>
      </c>
      <c r="B4" s="2993" t="s">
        <v>2845</v>
      </c>
      <c r="C4" s="2993" t="s">
        <v>2846</v>
      </c>
      <c r="D4" s="2993" t="s">
        <v>2847</v>
      </c>
      <c r="E4" s="2994"/>
      <c r="F4" s="2994"/>
    </row>
    <row r="5" spans="1:9" ht="16.5">
      <c r="A5" s="2993" t="s">
        <v>2848</v>
      </c>
      <c r="B5" s="2993">
        <f ca="1">SUM(D14:D23)</f>
        <v>283013</v>
      </c>
      <c r="C5" s="2993">
        <f ca="1">ROUND(B5*10000/$B$1,0)</f>
        <v>19928</v>
      </c>
      <c r="D5" s="2993">
        <f ca="1">ROUND(B5*10000/$B$2,0)</f>
        <v>67829</v>
      </c>
      <c r="E5" s="2994"/>
      <c r="F5" s="2994"/>
    </row>
    <row r="6" spans="1:9" ht="16.5">
      <c r="A6" s="2993" t="s">
        <v>2849</v>
      </c>
      <c r="B6" s="2993">
        <f>SUM(G14:G23)</f>
        <v>0</v>
      </c>
      <c r="C6" s="2993">
        <f t="shared" ref="C6:C8" si="0">ROUND(B6*10000/$B$1,0)</f>
        <v>0</v>
      </c>
      <c r="D6" s="2993">
        <f t="shared" ref="D6:D8" si="1">ROUND(B6*10000/$B$2,0)</f>
        <v>0</v>
      </c>
      <c r="E6" s="2994"/>
      <c r="F6" s="2994"/>
    </row>
    <row r="7" spans="1:9" ht="16.5">
      <c r="A7" s="2993" t="s">
        <v>2850</v>
      </c>
      <c r="B7" s="2993">
        <f ca="1">SUM(H14:H23)</f>
        <v>283013</v>
      </c>
      <c r="C7" s="2993">
        <f t="shared" ca="1" si="0"/>
        <v>19928</v>
      </c>
      <c r="D7" s="2993">
        <f t="shared" ca="1" si="1"/>
        <v>67829</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109310.18</v>
      </c>
      <c r="C14" s="2997">
        <f>结果表!K38</f>
        <v>34964.49</v>
      </c>
      <c r="D14" s="2997">
        <f ca="1">结果表!C42</f>
        <v>255756</v>
      </c>
      <c r="E14" s="2997">
        <f ca="1">ROUND(D14*10000/B14,0)</f>
        <v>23397</v>
      </c>
      <c r="F14" s="2997">
        <f ca="1">ROUND(D14*10000/C14,0)</f>
        <v>73147</v>
      </c>
      <c r="G14" s="2997" t="str">
        <f>结果表!C44</f>
        <v>——</v>
      </c>
      <c r="H14" s="2997">
        <f ca="1">结果表!C45</f>
        <v>255756</v>
      </c>
      <c r="I14" s="2997" t="str">
        <f>结果表!C46</f>
        <v>——</v>
      </c>
    </row>
    <row r="15" spans="1:9" ht="16.5">
      <c r="A15" s="3000" t="s">
        <v>2858</v>
      </c>
      <c r="B15" s="3498">
        <f>[1]系统读取表!$B$14</f>
        <v>32706.320000000003</v>
      </c>
      <c r="C15" s="3498">
        <f>[1]系统读取表!$C$14</f>
        <v>6759.97</v>
      </c>
      <c r="D15" s="3498">
        <f ca="1">[1]系统读取表!$D$14</f>
        <v>27257</v>
      </c>
      <c r="E15" s="3499">
        <f t="shared" ref="E15:E23" ca="1" si="2">ROUND(D15*10000/B15,0)</f>
        <v>8334</v>
      </c>
      <c r="F15" s="3499">
        <f t="shared" ref="F15:F23" ca="1" si="3">ROUND(D15*10000/C15,0)</f>
        <v>40321</v>
      </c>
      <c r="G15" s="3498"/>
      <c r="H15" s="3498">
        <f ca="1">[1]系统读取表!$H$14</f>
        <v>27257</v>
      </c>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3033</v>
      </c>
      <c r="E1" s="1786" t="s">
        <v>2054</v>
      </c>
      <c r="F1" s="1788" t="s">
        <v>3034</v>
      </c>
      <c r="G1" s="309"/>
      <c r="H1" s="309"/>
      <c r="I1" s="309"/>
      <c r="J1" s="2010"/>
      <c r="K1" s="2010"/>
      <c r="L1" s="2010"/>
      <c r="M1" s="2010"/>
      <c r="N1" s="2010"/>
      <c r="O1" s="2010"/>
      <c r="P1" s="2010"/>
      <c r="Q1" s="2010"/>
      <c r="R1" s="2010"/>
      <c r="S1" s="2010"/>
      <c r="T1" s="2010"/>
      <c r="U1" s="2010"/>
      <c r="V1" s="2010"/>
    </row>
    <row r="2" spans="1:22" ht="21.75" customHeight="1" thickBot="1">
      <c r="A2" s="3322" t="str">
        <f>项目基本情况!K2</f>
        <v>出让国有建设用地使用权</v>
      </c>
      <c r="B2" s="3323"/>
      <c r="C2" s="3324"/>
      <c r="D2" s="3324"/>
      <c r="E2" s="3324"/>
      <c r="F2" s="3324"/>
      <c r="G2" s="3323"/>
      <c r="H2" s="3323"/>
      <c r="I2" s="3325"/>
      <c r="J2" s="2011"/>
      <c r="K2" s="2010"/>
      <c r="L2" s="2010"/>
      <c r="M2" s="2010"/>
      <c r="N2" s="2010"/>
      <c r="O2" s="2010"/>
      <c r="P2" s="2010"/>
      <c r="Q2" s="2010"/>
      <c r="R2" s="2010"/>
      <c r="S2" s="2010"/>
      <c r="T2" s="2010"/>
      <c r="U2" s="2010"/>
      <c r="V2" s="2010"/>
    </row>
    <row r="3" spans="1:22" ht="14.25">
      <c r="A3" s="3315" t="s">
        <v>298</v>
      </c>
      <c r="B3" s="3316"/>
      <c r="C3" s="3316"/>
      <c r="D3" s="3316"/>
      <c r="E3" s="3316"/>
      <c r="F3" s="3316"/>
      <c r="G3" s="3316"/>
      <c r="H3" s="3316"/>
      <c r="I3" s="3316"/>
      <c r="J3" s="2011"/>
      <c r="K3" s="2010"/>
      <c r="L3" s="2010"/>
      <c r="M3" s="2010"/>
      <c r="N3" s="2010"/>
      <c r="O3" s="2010"/>
      <c r="P3" s="2010"/>
      <c r="Q3" s="2010"/>
      <c r="R3" s="2010"/>
      <c r="S3" s="2010"/>
      <c r="T3" s="2010"/>
      <c r="U3" s="2010"/>
      <c r="V3" s="2010"/>
    </row>
    <row r="4" spans="1:22" ht="14.25">
      <c r="A4" s="256" t="s">
        <v>299</v>
      </c>
      <c r="B4" s="257" t="s">
        <v>300</v>
      </c>
      <c r="C4" s="258" t="s">
        <v>3031</v>
      </c>
      <c r="D4" s="258" t="s">
        <v>3032</v>
      </c>
      <c r="E4" s="3287" t="s">
        <v>301</v>
      </c>
      <c r="F4" s="3288"/>
      <c r="G4" s="3288"/>
      <c r="H4" s="3288"/>
      <c r="I4" s="3317"/>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286" t="s">
        <v>302</v>
      </c>
      <c r="B5" s="3312">
        <v>25</v>
      </c>
      <c r="C5" s="3310"/>
      <c r="D5" s="3314"/>
      <c r="E5" s="259" t="s">
        <v>303</v>
      </c>
      <c r="F5" s="260"/>
      <c r="G5" s="260"/>
      <c r="H5" s="260"/>
      <c r="I5" s="261"/>
      <c r="J5" s="2011"/>
      <c r="K5" s="2010"/>
      <c r="L5" s="2010"/>
      <c r="M5" s="2010"/>
      <c r="N5" s="2010"/>
      <c r="O5" s="2010"/>
      <c r="P5" s="2010"/>
      <c r="Q5" s="2010"/>
      <c r="R5" s="2010"/>
      <c r="S5" s="2010"/>
      <c r="T5" s="2010"/>
      <c r="U5" s="2010"/>
      <c r="V5" s="2010"/>
    </row>
    <row r="6" spans="1:22" ht="14.25">
      <c r="A6" s="3286"/>
      <c r="B6" s="3312"/>
      <c r="C6" s="3313"/>
      <c r="D6" s="3314"/>
      <c r="E6" s="259" t="s">
        <v>304</v>
      </c>
      <c r="F6" s="260"/>
      <c r="G6" s="260"/>
      <c r="H6" s="260"/>
      <c r="I6" s="261"/>
      <c r="J6" s="2011"/>
      <c r="K6" s="2010"/>
      <c r="L6" s="2010"/>
      <c r="M6" s="2010"/>
      <c r="N6" s="2010"/>
      <c r="O6" s="2010"/>
      <c r="P6" s="2010"/>
      <c r="Q6" s="2010"/>
      <c r="R6" s="2010"/>
      <c r="S6" s="2010"/>
      <c r="T6" s="2010"/>
      <c r="U6" s="2010"/>
      <c r="V6" s="2010"/>
    </row>
    <row r="7" spans="1:22" ht="14.25">
      <c r="A7" s="3286"/>
      <c r="B7" s="3312"/>
      <c r="C7" s="3311"/>
      <c r="D7" s="3314"/>
      <c r="E7" s="259" t="s">
        <v>305</v>
      </c>
      <c r="F7" s="260"/>
      <c r="G7" s="260"/>
      <c r="H7" s="260"/>
      <c r="I7" s="261"/>
      <c r="J7" s="2011"/>
      <c r="K7" s="2010"/>
      <c r="L7" s="2010"/>
      <c r="M7" s="2010"/>
      <c r="N7" s="2010"/>
      <c r="O7" s="2010"/>
      <c r="P7" s="2010"/>
      <c r="Q7" s="2010"/>
      <c r="R7" s="2010"/>
      <c r="S7" s="2010"/>
      <c r="T7" s="2010"/>
      <c r="U7" s="2010"/>
      <c r="V7" s="2010"/>
    </row>
    <row r="8" spans="1:22" ht="14.25">
      <c r="A8" s="3286" t="s">
        <v>306</v>
      </c>
      <c r="B8" s="3312">
        <v>15</v>
      </c>
      <c r="C8" s="3310"/>
      <c r="D8" s="3314"/>
      <c r="E8" s="259" t="s">
        <v>307</v>
      </c>
      <c r="F8" s="260"/>
      <c r="G8" s="260"/>
      <c r="H8" s="260"/>
      <c r="I8" s="261"/>
      <c r="J8" s="2011"/>
      <c r="K8" s="2010"/>
      <c r="L8" s="2010"/>
      <c r="M8" s="2010"/>
      <c r="N8" s="2010"/>
      <c r="O8" s="2010"/>
      <c r="P8" s="2010"/>
      <c r="Q8" s="2010"/>
      <c r="R8" s="2010"/>
      <c r="S8" s="2010"/>
      <c r="T8" s="2010"/>
      <c r="U8" s="2010"/>
      <c r="V8" s="2010"/>
    </row>
    <row r="9" spans="1:22" ht="14.25">
      <c r="A9" s="3286"/>
      <c r="B9" s="3312"/>
      <c r="C9" s="3311"/>
      <c r="D9" s="3314"/>
      <c r="E9" s="259" t="s">
        <v>308</v>
      </c>
      <c r="F9" s="260"/>
      <c r="G9" s="260"/>
      <c r="H9" s="260"/>
      <c r="I9" s="261"/>
      <c r="J9" s="2011"/>
      <c r="K9" s="2010"/>
      <c r="L9" s="2010"/>
      <c r="M9" s="2010"/>
      <c r="N9" s="2010"/>
      <c r="O9" s="2010"/>
      <c r="P9" s="2010"/>
      <c r="Q9" s="2010"/>
      <c r="R9" s="2010"/>
      <c r="S9" s="2010"/>
      <c r="T9" s="2010"/>
      <c r="U9" s="2010"/>
      <c r="V9" s="2010"/>
    </row>
    <row r="10" spans="1:22" ht="14.25">
      <c r="A10" s="3286" t="s">
        <v>309</v>
      </c>
      <c r="B10" s="3312">
        <v>15</v>
      </c>
      <c r="C10" s="3310"/>
      <c r="D10" s="3314"/>
      <c r="E10" s="259" t="s">
        <v>310</v>
      </c>
      <c r="F10" s="260"/>
      <c r="G10" s="260"/>
      <c r="H10" s="260"/>
      <c r="I10" s="261"/>
      <c r="J10" s="2011"/>
      <c r="K10" s="2010"/>
      <c r="L10" s="2010"/>
      <c r="M10" s="2010"/>
      <c r="N10" s="2010"/>
      <c r="O10" s="2010"/>
      <c r="P10" s="2010"/>
      <c r="Q10" s="2010"/>
      <c r="R10" s="2010"/>
      <c r="S10" s="2010"/>
      <c r="T10" s="2010"/>
      <c r="U10" s="2010"/>
      <c r="V10" s="2010"/>
    </row>
    <row r="11" spans="1:22" ht="14.25">
      <c r="A11" s="3286"/>
      <c r="B11" s="3312"/>
      <c r="C11" s="3311"/>
      <c r="D11" s="3314"/>
      <c r="E11" s="259" t="s">
        <v>311</v>
      </c>
      <c r="F11" s="260"/>
      <c r="G11" s="260"/>
      <c r="H11" s="260"/>
      <c r="I11" s="261"/>
      <c r="J11" s="2011"/>
      <c r="K11" s="2010"/>
      <c r="L11" s="2010"/>
      <c r="M11" s="2010"/>
      <c r="N11" s="2010"/>
      <c r="O11" s="2010"/>
      <c r="P11" s="2010"/>
      <c r="Q11" s="2010"/>
      <c r="R11" s="2010"/>
      <c r="S11" s="2010"/>
      <c r="T11" s="2010"/>
      <c r="U11" s="2010"/>
      <c r="V11" s="2010"/>
    </row>
    <row r="12" spans="1:22" ht="14.25">
      <c r="A12" s="3286" t="s">
        <v>312</v>
      </c>
      <c r="B12" s="3312">
        <v>15</v>
      </c>
      <c r="C12" s="3310"/>
      <c r="D12" s="3314"/>
      <c r="E12" s="259" t="s">
        <v>313</v>
      </c>
      <c r="F12" s="260"/>
      <c r="G12" s="260"/>
      <c r="H12" s="260"/>
      <c r="I12" s="261"/>
      <c r="J12" s="2011"/>
      <c r="K12" s="2010"/>
      <c r="L12" s="2010"/>
      <c r="M12" s="2010"/>
      <c r="N12" s="2010"/>
      <c r="O12" s="2010"/>
      <c r="P12" s="2010"/>
      <c r="Q12" s="2010"/>
      <c r="R12" s="2010"/>
      <c r="S12" s="2010"/>
      <c r="T12" s="2010"/>
      <c r="U12" s="2010"/>
      <c r="V12" s="2010"/>
    </row>
    <row r="13" spans="1:22" ht="14.25">
      <c r="A13" s="3286"/>
      <c r="B13" s="3312"/>
      <c r="C13" s="3311"/>
      <c r="D13" s="3314"/>
      <c r="E13" s="259" t="s">
        <v>314</v>
      </c>
      <c r="F13" s="260"/>
      <c r="G13" s="260"/>
      <c r="H13" s="260"/>
      <c r="I13" s="261"/>
      <c r="J13" s="2011"/>
      <c r="K13" s="2010"/>
      <c r="L13" s="2010"/>
      <c r="M13" s="2010"/>
      <c r="N13" s="2010"/>
      <c r="O13" s="2010"/>
      <c r="P13" s="2010"/>
      <c r="Q13" s="2010"/>
      <c r="R13" s="2010"/>
      <c r="S13" s="2010"/>
      <c r="T13" s="2010"/>
      <c r="U13" s="2010"/>
      <c r="V13" s="2010"/>
    </row>
    <row r="14" spans="1:22" ht="14.25">
      <c r="A14" s="3286" t="s">
        <v>315</v>
      </c>
      <c r="B14" s="3312">
        <v>30</v>
      </c>
      <c r="C14" s="3310">
        <v>5</v>
      </c>
      <c r="D14" s="3314">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286"/>
      <c r="B15" s="3312"/>
      <c r="C15" s="3313"/>
      <c r="D15" s="3314"/>
      <c r="E15" s="259" t="s">
        <v>317</v>
      </c>
      <c r="F15" s="260"/>
      <c r="G15" s="260"/>
      <c r="H15" s="260"/>
      <c r="I15" s="261"/>
      <c r="J15" s="2011"/>
      <c r="K15" s="2010"/>
      <c r="L15" s="2010"/>
      <c r="M15" s="2010"/>
      <c r="N15" s="2010"/>
      <c r="O15" s="2010"/>
      <c r="P15" s="2010"/>
      <c r="Q15" s="2010"/>
      <c r="R15" s="2010"/>
      <c r="S15" s="2010"/>
      <c r="T15" s="2010"/>
      <c r="U15" s="2010"/>
      <c r="V15" s="2010"/>
    </row>
    <row r="16" spans="1:22" ht="14.25">
      <c r="A16" s="3286"/>
      <c r="B16" s="3312"/>
      <c r="C16" s="3311"/>
      <c r="D16" s="3314"/>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235893</v>
      </c>
      <c r="D19" s="269">
        <f ca="1">SUMIF(INDIRECT("'"&amp;D4&amp;"'"&amp;"!A:A"),结果表!B19,INDIRECT("'"&amp;D4&amp;"'"&amp;"!B:B"))</f>
        <v>275618</v>
      </c>
      <c r="E19" s="266" t="s">
        <v>323</v>
      </c>
      <c r="F19" s="267" t="s">
        <v>322</v>
      </c>
      <c r="G19" s="270">
        <f ca="1">ROUND(C19*$C$18+D19*$D$18,0)</f>
        <v>255756</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21580</v>
      </c>
      <c r="D20" s="275">
        <f ca="1">SUMIF(INDIRECT("'"&amp;D4&amp;"'"&amp;"!A:A"),结果表!B20,INDIRECT("'"&amp;D4&amp;"'"&amp;"!B:B"))</f>
        <v>25214</v>
      </c>
      <c r="E20" s="272"/>
      <c r="F20" s="273" t="s">
        <v>325</v>
      </c>
      <c r="G20" s="276">
        <f ca="1">ROUND(C20*$C$18+D20*$D$18,0)</f>
        <v>23397</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67466</v>
      </c>
      <c r="D21" s="151">
        <f ca="1">SUMIF(INDIRECT("'"&amp;D4&amp;"'"&amp;"!A:A"),结果表!B21,INDIRECT("'"&amp;D4&amp;"'"&amp;"!B:B"))</f>
        <v>78828</v>
      </c>
      <c r="E21" s="272"/>
      <c r="F21" s="278" t="s">
        <v>327</v>
      </c>
      <c r="G21" s="280">
        <f ca="1">ROUND(C21*$C$18+D21*$D$18,0)</f>
        <v>73147</v>
      </c>
      <c r="H21" s="1245" t="s">
        <v>326</v>
      </c>
      <c r="I21" s="309"/>
      <c r="J21" s="2010"/>
      <c r="K21" s="2010"/>
      <c r="L21" s="2010"/>
      <c r="M21" s="2010"/>
      <c r="N21" s="2010"/>
      <c r="O21" s="2010"/>
      <c r="P21" s="2010"/>
      <c r="Q21" s="2010"/>
      <c r="R21" s="2010"/>
      <c r="S21" s="2010"/>
      <c r="T21" s="2010"/>
      <c r="U21" s="2010"/>
      <c r="V21" s="2010"/>
    </row>
    <row r="22" spans="1:26" ht="15.75" thickBot="1">
      <c r="A22" s="126" t="s">
        <v>328</v>
      </c>
      <c r="B22" s="1246"/>
      <c r="C22" s="1247"/>
      <c r="D22" s="281">
        <f ca="1">IF(C19&lt;D19,D19/C19-1,C19/D19-1)</f>
        <v>0.16840262322324095</v>
      </c>
      <c r="E22" s="282"/>
      <c r="F22" s="283"/>
      <c r="G22" s="284">
        <f ca="1">ROUND(G19/('数据-汇总表'!D3/666.67),0)</f>
        <v>4877</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292"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293"/>
      <c r="B25" s="1315" t="s">
        <v>331</v>
      </c>
      <c r="C25" s="288">
        <f>IF(B30=0,0,C30)</f>
        <v>0</v>
      </c>
      <c r="D25" s="289"/>
      <c r="E25" s="309"/>
      <c r="F25" s="309"/>
      <c r="G25" s="309"/>
      <c r="H25" s="309"/>
      <c r="I25" s="309"/>
      <c r="J25" s="2010"/>
      <c r="K25" s="1249" t="str">
        <f ca="1">项目基本情况!B16&amp;"国有建设用地使用权价格："&amp;O38&amp;"万元"</f>
        <v>出让国有建设用地使用权价格：255756万元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大写金额：人民币贰拾伍亿伍仟柒佰伍拾陆万元整</v>
      </c>
      <c r="L26" s="1246"/>
      <c r="M26" s="1246"/>
      <c r="N26" s="1246"/>
      <c r="O26" s="1245"/>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2" t="str">
        <f ca="1">"单位面积地价："&amp;M38&amp;"元/平方米"</f>
        <v>单位面积地价：73147元/平方米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楼面地价：23397元/平方米</v>
      </c>
      <c r="L28" s="1246"/>
      <c r="M28" s="1246"/>
      <c r="N28" s="1246"/>
      <c r="O28" s="1245"/>
      <c r="P28" s="2010"/>
      <c r="V28" s="2010"/>
    </row>
    <row r="29" spans="1:26" ht="18">
      <c r="A29" s="291"/>
      <c r="B29" s="292"/>
      <c r="C29" s="292"/>
      <c r="D29" s="293"/>
      <c r="E29" s="309"/>
      <c r="F29" s="309"/>
      <c r="G29" s="309"/>
      <c r="H29" s="309"/>
      <c r="I29" s="309"/>
      <c r="J29" s="2010"/>
      <c r="K29" s="1252" t="str">
        <f>IF(OR(项目基本情况!E8="抵押价格",项目基本情况!E8="已注销及未注销"),"抵押价格："&amp;O39&amp;"万元","——")</f>
        <v>——</v>
      </c>
      <c r="L29" s="1246"/>
      <c r="M29" s="1246"/>
      <c r="N29" s="1246"/>
      <c r="O29" s="1245"/>
      <c r="P29" s="2010"/>
      <c r="V29" s="2010"/>
    </row>
    <row r="30" spans="1:26" ht="18.75" thickBot="1">
      <c r="A30" s="3078" t="s">
        <v>336</v>
      </c>
      <c r="B30" s="307"/>
      <c r="C30" s="307"/>
      <c r="D30" s="308"/>
      <c r="E30" s="3079" t="s">
        <v>2956</v>
      </c>
      <c r="F30" s="309"/>
      <c r="G30" s="309"/>
      <c r="H30" s="309"/>
      <c r="I30" s="309"/>
      <c r="J30" s="2010"/>
      <c r="K30" s="1252" t="str">
        <f>IF(K29="——","——","大写金额：人民币"&amp;NUMBERSTRING(INT(O39*10000),2)&amp;"元整")</f>
        <v>——</v>
      </c>
      <c r="L30" s="1246"/>
      <c r="M30" s="1246"/>
      <c r="N30" s="1246"/>
      <c r="O30" s="1245"/>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抵押担保权已注销时的抵押价格：255756万元</v>
      </c>
      <c r="L31" s="2425"/>
      <c r="M31" s="2425"/>
      <c r="N31" s="2425"/>
      <c r="O31" s="2426"/>
      <c r="P31" s="2010"/>
      <c r="V31" s="2010"/>
    </row>
    <row r="32" spans="1:26" ht="18.75" thickBot="1">
      <c r="A32" s="266" t="s">
        <v>337</v>
      </c>
      <c r="B32" s="1374" t="s">
        <v>1687</v>
      </c>
      <c r="C32" s="1375">
        <f ca="1">G19-C24</f>
        <v>255756</v>
      </c>
      <c r="D32" s="1376" t="s">
        <v>1688</v>
      </c>
      <c r="E32" s="309"/>
      <c r="F32" s="309"/>
      <c r="G32" s="309"/>
      <c r="H32" s="309"/>
      <c r="I32" s="309"/>
      <c r="J32" s="2010"/>
      <c r="K32" s="2424" t="str">
        <f ca="1">IF(K31="——","——","大写金额：人民币"&amp;NUMBERSTRING(INT(O40*10000),2)&amp;"元整")</f>
        <v>大写金额：人民币贰拾伍亿伍仟柒佰伍拾陆万元整</v>
      </c>
      <c r="L32" s="2427"/>
      <c r="M32" s="2427"/>
      <c r="N32" s="2427"/>
      <c r="O32" s="2428"/>
      <c r="P32" s="2010"/>
      <c r="V32" s="2010"/>
    </row>
    <row r="33" spans="1:26" ht="18.75" thickBot="1">
      <c r="A33" s="296" t="s">
        <v>340</v>
      </c>
      <c r="B33" s="1377" t="s">
        <v>1689</v>
      </c>
      <c r="C33" s="262">
        <f ca="1">ROUND(C32*10000/'数据-汇总表'!E3,0)</f>
        <v>23397</v>
      </c>
      <c r="D33" s="1378" t="s">
        <v>1690</v>
      </c>
      <c r="E33" s="3292" t="s">
        <v>338</v>
      </c>
      <c r="F33" s="294" t="s">
        <v>339</v>
      </c>
      <c r="G33" s="295"/>
      <c r="H33" s="978"/>
      <c r="I33" s="1253"/>
      <c r="J33" s="2010"/>
      <c r="K33" s="1252" t="str">
        <f>IF(项目基本情况!E9="——","——","抵押净值："&amp;C46&amp;"万元")</f>
        <v>——</v>
      </c>
      <c r="L33" s="1246"/>
      <c r="M33" s="1246"/>
      <c r="N33" s="1246"/>
      <c r="O33" s="1245"/>
      <c r="P33" s="2010"/>
      <c r="V33" s="2010"/>
    </row>
    <row r="34" spans="1:26" s="1248" customFormat="1" ht="18.75" thickBot="1">
      <c r="A34" s="298"/>
      <c r="B34" s="1379" t="s">
        <v>1691</v>
      </c>
      <c r="C34" s="262">
        <f ca="1">ROUND(C32*10000/'数据-汇总表'!D3,0)</f>
        <v>73147</v>
      </c>
      <c r="D34" s="1380" t="s">
        <v>1690</v>
      </c>
      <c r="E34" s="3333"/>
      <c r="F34" s="127" t="s">
        <v>341</v>
      </c>
      <c r="G34" s="297"/>
      <c r="H34" s="105"/>
      <c r="I34" s="309"/>
      <c r="J34" s="2010"/>
      <c r="K34" s="1255" t="str">
        <f>IF(K33="——","——","大写金额：人民币"&amp;NUMBERSTRING(INT(O41*10000),2)&amp;"元整")</f>
        <v>——</v>
      </c>
      <c r="L34" s="1256"/>
      <c r="M34" s="1256"/>
      <c r="N34" s="1256"/>
      <c r="O34" s="1257"/>
      <c r="P34" s="2010"/>
      <c r="Q34" s="290"/>
      <c r="R34" s="290"/>
      <c r="S34" s="290"/>
      <c r="T34" s="290"/>
      <c r="U34" s="290"/>
      <c r="V34" s="2010"/>
      <c r="W34" s="290"/>
      <c r="X34" s="290"/>
      <c r="Y34" s="290"/>
      <c r="Z34" s="290"/>
    </row>
    <row r="35" spans="1:26" ht="15.75" thickBot="1">
      <c r="A35" s="282"/>
      <c r="B35" s="1381"/>
      <c r="C35" s="1382">
        <f ca="1">ROUND(C32/('数据-汇总表'!D3/666.67),0)</f>
        <v>4877</v>
      </c>
      <c r="D35" s="1383" t="s">
        <v>1692</v>
      </c>
      <c r="E35" s="3334"/>
      <c r="F35" s="299" t="s">
        <v>342</v>
      </c>
      <c r="G35" s="980"/>
      <c r="H35" s="979" t="s">
        <v>343</v>
      </c>
      <c r="I35" s="309"/>
      <c r="J35" s="2010"/>
      <c r="K35" s="3307" t="s">
        <v>350</v>
      </c>
      <c r="L35" s="3307" t="s">
        <v>351</v>
      </c>
      <c r="M35" s="1258" t="s">
        <v>352</v>
      </c>
      <c r="N35" s="3307" t="s">
        <v>353</v>
      </c>
      <c r="O35" s="3307" t="s">
        <v>354</v>
      </c>
      <c r="P35" s="2010"/>
      <c r="V35" s="2010"/>
    </row>
    <row r="36" spans="1:26" ht="16.5" customHeight="1">
      <c r="A36" s="301" t="s">
        <v>344</v>
      </c>
      <c r="B36" s="302" t="s">
        <v>333</v>
      </c>
      <c r="C36" s="303" t="s">
        <v>345</v>
      </c>
      <c r="D36" s="303" t="s">
        <v>346</v>
      </c>
      <c r="E36" s="304" t="s">
        <v>347</v>
      </c>
      <c r="F36" s="309"/>
      <c r="G36" s="309"/>
      <c r="H36" s="309"/>
      <c r="I36" s="309"/>
      <c r="J36" s="2012"/>
      <c r="K36" s="3308"/>
      <c r="L36" s="3308"/>
      <c r="M36" s="1260" t="s">
        <v>355</v>
      </c>
      <c r="N36" s="3308"/>
      <c r="O36" s="3308"/>
      <c r="P36" s="2010"/>
      <c r="V36" s="2010"/>
    </row>
    <row r="37" spans="1:26" ht="16.5" customHeight="1" thickBot="1">
      <c r="A37" s="1254" t="s">
        <v>348</v>
      </c>
      <c r="B37" s="305"/>
      <c r="C37" s="292"/>
      <c r="D37" s="292"/>
      <c r="E37" s="293"/>
      <c r="F37" s="309"/>
      <c r="G37" s="309"/>
      <c r="H37" s="309"/>
      <c r="I37" s="309"/>
      <c r="J37" s="2012"/>
      <c r="K37" s="3309"/>
      <c r="L37" s="3309"/>
      <c r="M37" s="1261"/>
      <c r="N37" s="3309"/>
      <c r="O37" s="3309"/>
      <c r="P37" s="2010"/>
      <c r="V37" s="2010"/>
    </row>
    <row r="38" spans="1:26" ht="16.5" customHeight="1" thickBot="1">
      <c r="A38" s="1254" t="s">
        <v>349</v>
      </c>
      <c r="B38" s="305"/>
      <c r="C38" s="292"/>
      <c r="D38" s="292"/>
      <c r="E38" s="293"/>
      <c r="F38" s="309"/>
      <c r="G38" s="309"/>
      <c r="H38" s="309"/>
      <c r="I38" s="309"/>
      <c r="J38" s="2012"/>
      <c r="K38" s="1262">
        <f>'数据-汇总表'!D3</f>
        <v>34964.49</v>
      </c>
      <c r="L38" s="1263">
        <f>'数据-汇总表'!E3</f>
        <v>109310.18</v>
      </c>
      <c r="M38" s="1263">
        <f ca="1">C34</f>
        <v>73147</v>
      </c>
      <c r="N38" s="1263">
        <f ca="1">C33</f>
        <v>23397</v>
      </c>
      <c r="O38" s="1264">
        <f ca="1">C32</f>
        <v>255756</v>
      </c>
      <c r="P38" s="2010"/>
      <c r="V38" s="2010"/>
    </row>
    <row r="39" spans="1:26" ht="16.5" customHeight="1" thickBot="1">
      <c r="A39" s="1259"/>
      <c r="B39" s="306"/>
      <c r="C39" s="307"/>
      <c r="D39" s="307"/>
      <c r="E39" s="308"/>
      <c r="F39" s="309"/>
      <c r="G39" s="309"/>
      <c r="H39" s="309"/>
      <c r="I39" s="309"/>
      <c r="J39" s="2012"/>
      <c r="K39" s="3352" t="str">
        <f>MID(A44,3,LEN(A44)-2)</f>
        <v/>
      </c>
      <c r="L39" s="3353"/>
      <c r="M39" s="3353"/>
      <c r="N39" s="3354"/>
      <c r="O39" s="1385" t="str">
        <f>C44</f>
        <v>——</v>
      </c>
      <c r="P39" s="2010"/>
      <c r="V39" s="2010"/>
    </row>
    <row r="40" spans="1:26" ht="19.5" thickBot="1">
      <c r="A40" s="104" t="s">
        <v>872</v>
      </c>
      <c r="B40" s="309"/>
      <c r="C40" s="309"/>
      <c r="D40" s="309"/>
      <c r="E40" s="309"/>
      <c r="F40" s="309"/>
      <c r="G40" s="309"/>
      <c r="H40" s="309"/>
      <c r="I40" s="309"/>
      <c r="J40" s="2012"/>
      <c r="K40" s="3352" t="str">
        <f t="shared" ref="K40:K41" si="0">MID(A45,3,LEN(A45)-2)</f>
        <v>抵押担保权已注销时的抵押价格</v>
      </c>
      <c r="L40" s="3353"/>
      <c r="M40" s="3353"/>
      <c r="N40" s="3354"/>
      <c r="O40" s="1385">
        <f ca="1">C45</f>
        <v>255756</v>
      </c>
      <c r="P40" s="2010"/>
      <c r="V40" s="2010"/>
    </row>
    <row r="41" spans="1:26" ht="16.5" thickBot="1">
      <c r="A41" s="310" t="s">
        <v>356</v>
      </c>
      <c r="B41" s="311"/>
      <c r="C41" s="312" t="s">
        <v>357</v>
      </c>
      <c r="D41" s="313" t="s">
        <v>358</v>
      </c>
      <c r="E41" s="313" t="s">
        <v>359</v>
      </c>
      <c r="F41" s="314" t="s">
        <v>360</v>
      </c>
      <c r="G41" s="309"/>
      <c r="H41" s="309"/>
      <c r="I41" s="309"/>
      <c r="J41" s="2012"/>
      <c r="K41" s="3352" t="str">
        <f t="shared" si="0"/>
        <v/>
      </c>
      <c r="L41" s="3353"/>
      <c r="M41" s="3353"/>
      <c r="N41" s="3354"/>
      <c r="O41" s="1385" t="str">
        <f>C46</f>
        <v>——</v>
      </c>
      <c r="P41" s="2010"/>
      <c r="V41" s="2010"/>
    </row>
    <row r="42" spans="1:26" ht="29.25">
      <c r="A42" s="3294" t="s">
        <v>2064</v>
      </c>
      <c r="B42" s="3295"/>
      <c r="C42" s="262">
        <f ca="1">C32</f>
        <v>255756</v>
      </c>
      <c r="D42" s="315">
        <f ca="1">C33</f>
        <v>23397</v>
      </c>
      <c r="E42" s="315">
        <f ca="1">C34</f>
        <v>73147</v>
      </c>
      <c r="F42" s="316">
        <f ca="1">C35</f>
        <v>4877</v>
      </c>
      <c r="G42" s="309"/>
      <c r="H42" s="309"/>
      <c r="I42" s="317"/>
      <c r="J42" s="2012"/>
      <c r="K42" s="1265" t="s">
        <v>361</v>
      </c>
      <c r="L42" s="2029" t="s">
        <v>362</v>
      </c>
      <c r="M42" s="1266" t="s">
        <v>363</v>
      </c>
      <c r="N42" s="2030" t="s">
        <v>364</v>
      </c>
      <c r="O42" s="2031" t="s">
        <v>365</v>
      </c>
      <c r="P42" s="2010"/>
      <c r="V42" s="2010"/>
    </row>
    <row r="43" spans="1:26" ht="30">
      <c r="A43" s="3305" t="s">
        <v>2727</v>
      </c>
      <c r="B43" s="3306"/>
      <c r="C43" s="262">
        <f>IF(H33="正常操作",G33+G34+G35,G34+G35)</f>
        <v>0</v>
      </c>
      <c r="D43" s="315" t="s">
        <v>43</v>
      </c>
      <c r="E43" s="315" t="s">
        <v>44</v>
      </c>
      <c r="F43" s="316" t="s">
        <v>44</v>
      </c>
      <c r="G43" s="2818" t="s">
        <v>951</v>
      </c>
      <c r="H43" s="309"/>
      <c r="I43" s="317"/>
      <c r="J43" s="2012"/>
      <c r="K43" s="1267" t="str">
        <f>C4</f>
        <v>比较法-住宅、综合</v>
      </c>
      <c r="L43" s="1268">
        <f ca="1">IF(L42="估价结果/万元",C19,C20)</f>
        <v>235893</v>
      </c>
      <c r="M43" s="1269">
        <f>C18</f>
        <v>0.5</v>
      </c>
      <c r="N43" s="1270">
        <f ca="1">IF(N42="测算结果/万元",G19,G20)</f>
        <v>255756</v>
      </c>
      <c r="O43" s="1271">
        <f ca="1">IF(O42="最终结果/万元",C32,C33)</f>
        <v>255756</v>
      </c>
      <c r="P43" s="2010"/>
      <c r="V43" s="2010"/>
    </row>
    <row r="44" spans="1:26" ht="30.75" thickBot="1">
      <c r="A44" s="3294" t="str">
        <f>IF(OR(项目基本情况!E8="抵押价格",项目基本情况!E8="已注销及未注销"),"3.抵押价格","——")</f>
        <v>——</v>
      </c>
      <c r="B44" s="3295"/>
      <c r="C44" s="262" t="str">
        <f>IF(A44="——","——",C42-C43)</f>
        <v>——</v>
      </c>
      <c r="D44" s="315" t="e">
        <f>ROUND(C44*10000/'数据-汇总表'!E3,0)</f>
        <v>#VALUE!</v>
      </c>
      <c r="E44" s="315" t="e">
        <f>ROUND(C44*10000/'数据-汇总表'!D3,0)</f>
        <v>#VALUE!</v>
      </c>
      <c r="F44" s="316" t="e">
        <f>ROUND(C44/('数据-汇总表'!D3/666.67),0)</f>
        <v>#VALUE!</v>
      </c>
      <c r="G44" s="309"/>
      <c r="H44" s="309"/>
      <c r="I44" s="317"/>
      <c r="J44" s="2012"/>
      <c r="K44" s="1272" t="str">
        <f>D4</f>
        <v>剩余法-待开发</v>
      </c>
      <c r="L44" s="1273">
        <f ca="1">IF(L42="估价结果/万元",D19,D20)</f>
        <v>275618</v>
      </c>
      <c r="M44" s="1274">
        <f>D18</f>
        <v>0.5</v>
      </c>
      <c r="N44" s="1275"/>
      <c r="O44" s="1276"/>
      <c r="P44" s="2010"/>
      <c r="V44" s="2010"/>
    </row>
    <row r="45" spans="1:26" ht="15">
      <c r="A45" s="3300" t="str">
        <f>IF(项目基本情况!E8="已注销及未注销","4.抵押担保权已注销时的抵押价格",IF(项目基本情况!E8="已注销","3.抵押担保权已注销时的抵押价格","——"))</f>
        <v>3.抵押担保权已注销时的抵押价格</v>
      </c>
      <c r="B45" s="3301"/>
      <c r="C45" s="1785">
        <f ca="1">IF(A45="——","——",IF(项目基本情况!E8="抵押价格","——",C32-G34-G35))</f>
        <v>255756</v>
      </c>
      <c r="D45" s="315">
        <f ca="1">ROUND(C45*10000/'数据-汇总表'!E3,0)</f>
        <v>23397</v>
      </c>
      <c r="E45" s="315">
        <f ca="1">ROUND(C45*10000/'数据-汇总表'!D3,0)</f>
        <v>73147</v>
      </c>
      <c r="F45" s="316">
        <f ca="1">ROUND(C45/('数据-汇总表'!D3/666.67),0)</f>
        <v>4877</v>
      </c>
      <c r="G45" s="309"/>
      <c r="H45" s="309"/>
      <c r="I45" s="317"/>
      <c r="J45" s="2012"/>
      <c r="K45" s="2010"/>
      <c r="L45" s="2010"/>
      <c r="M45" s="2010"/>
      <c r="N45" s="2010"/>
      <c r="O45" s="2010"/>
      <c r="P45" s="2010"/>
      <c r="V45" s="2010"/>
    </row>
    <row r="46" spans="1:26" ht="15.75" thickBot="1">
      <c r="A46" s="3296" t="str">
        <f>IF(项目基本情况!E9="抵押净值",IF(A45="——","4.抵押净值","5.抵押净值"),"——")</f>
        <v>——</v>
      </c>
      <c r="B46" s="3297"/>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41" t="s">
        <v>374</v>
      </c>
      <c r="B63" s="3342"/>
      <c r="C63" s="3343"/>
      <c r="D63" s="339">
        <f ca="1">ROUND(C42*F63,0)</f>
        <v>153454</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02" t="s">
        <v>378</v>
      </c>
      <c r="B64" s="3303"/>
      <c r="C64" s="3303"/>
      <c r="D64" s="3303"/>
      <c r="E64" s="3303"/>
      <c r="F64" s="3303"/>
      <c r="G64" s="3304"/>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298" t="s">
        <v>386</v>
      </c>
      <c r="B66" s="3299"/>
      <c r="C66" s="3299"/>
      <c r="D66" s="259">
        <f ca="1">IF(H66="情况1",0,IF(H66="情况2",D70,IF(H66="情况3",D71,IF(H66="情况4",D72))))</f>
        <v>8184</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56" t="s">
        <v>385</v>
      </c>
      <c r="M66" s="3357"/>
      <c r="N66" s="2419"/>
      <c r="O66" s="2420"/>
      <c r="P66" s="2421"/>
      <c r="Q66" s="2010"/>
      <c r="R66" s="2010"/>
      <c r="S66" s="2010"/>
      <c r="T66" s="2010"/>
      <c r="U66" s="2010"/>
      <c r="V66" s="2010"/>
    </row>
    <row r="67" spans="1:22" ht="25.5" customHeight="1">
      <c r="A67" s="350" t="s">
        <v>390</v>
      </c>
      <c r="B67" s="3289" t="s">
        <v>391</v>
      </c>
      <c r="C67" s="3289"/>
      <c r="D67" s="351">
        <v>0</v>
      </c>
      <c r="E67" s="41" t="s">
        <v>392</v>
      </c>
      <c r="F67" s="62" t="s">
        <v>21</v>
      </c>
      <c r="G67" s="3344"/>
      <c r="H67" s="309"/>
      <c r="I67" s="1286"/>
      <c r="J67" s="2017"/>
      <c r="K67" s="1958">
        <v>2</v>
      </c>
      <c r="L67" s="3355" t="s">
        <v>389</v>
      </c>
      <c r="M67" s="3355"/>
      <c r="N67" s="1319">
        <f>'数据-取费表'!B2</f>
        <v>43817</v>
      </c>
      <c r="O67" s="1319"/>
      <c r="P67" s="1319"/>
      <c r="Q67" s="2010"/>
      <c r="R67" s="2010"/>
      <c r="S67" s="2010"/>
      <c r="T67" s="2010"/>
      <c r="U67" s="2010"/>
      <c r="V67" s="2010"/>
    </row>
    <row r="68" spans="1:22" ht="25.5" customHeight="1">
      <c r="A68" s="352"/>
      <c r="B68" s="3289" t="s">
        <v>394</v>
      </c>
      <c r="C68" s="3289"/>
      <c r="D68" s="353"/>
      <c r="E68" s="77"/>
      <c r="F68" s="354"/>
      <c r="G68" s="3345"/>
      <c r="H68" s="309"/>
      <c r="I68" s="1286"/>
      <c r="J68" s="2017"/>
      <c r="K68" s="1958">
        <v>3</v>
      </c>
      <c r="L68" s="3355" t="s">
        <v>393</v>
      </c>
      <c r="M68" s="3355"/>
      <c r="N68" s="1287">
        <f ca="1">C42</f>
        <v>255756</v>
      </c>
      <c r="O68" s="1287"/>
      <c r="P68" s="1287"/>
      <c r="Q68" s="2010"/>
      <c r="R68" s="2010"/>
      <c r="S68" s="2010"/>
      <c r="T68" s="2010"/>
      <c r="U68" s="2010"/>
      <c r="V68" s="2010"/>
    </row>
    <row r="69" spans="1:22" ht="12" customHeight="1">
      <c r="A69" s="355"/>
      <c r="B69" s="3289" t="s">
        <v>395</v>
      </c>
      <c r="C69" s="3289"/>
      <c r="D69" s="356"/>
      <c r="E69" s="73"/>
      <c r="F69" s="354"/>
      <c r="G69" s="3346"/>
      <c r="H69" s="309"/>
      <c r="I69" s="1286"/>
      <c r="J69" s="2017"/>
      <c r="K69" s="1288">
        <v>4</v>
      </c>
      <c r="L69" s="3360" t="s">
        <v>2880</v>
      </c>
      <c r="M69" s="3361"/>
      <c r="N69" s="1289" t="str">
        <f>C44</f>
        <v>——</v>
      </c>
      <c r="O69" s="1289"/>
      <c r="P69" s="1289"/>
      <c r="Q69" s="2010"/>
      <c r="R69" s="2010"/>
      <c r="S69" s="2010"/>
      <c r="T69" s="2010"/>
      <c r="U69" s="2010"/>
      <c r="V69" s="2010"/>
    </row>
    <row r="70" spans="1:22" ht="24" customHeight="1">
      <c r="A70" s="357" t="s">
        <v>396</v>
      </c>
      <c r="B70" s="3289" t="s">
        <v>397</v>
      </c>
      <c r="C70" s="3289"/>
      <c r="D70" s="356">
        <f ca="1">ROUND(D63*'数据-取费表'!B41/(1+'数据-取费表'!C42),0)</f>
        <v>8184</v>
      </c>
      <c r="E70" s="17" t="s">
        <v>398</v>
      </c>
      <c r="F70" s="358">
        <f>'数据-取费表'!B41</f>
        <v>5.6000000000000001E-2</v>
      </c>
      <c r="G70" s="359"/>
      <c r="H70" s="309"/>
      <c r="I70" s="1286"/>
      <c r="J70" s="2017"/>
      <c r="K70" s="3010"/>
      <c r="L70" s="3011"/>
      <c r="M70" s="3011"/>
      <c r="N70" s="3012" t="s">
        <v>2885</v>
      </c>
      <c r="O70" s="3011"/>
      <c r="P70" s="3013"/>
      <c r="Q70" s="2010"/>
      <c r="R70" s="2010"/>
      <c r="S70" s="2010"/>
      <c r="T70" s="2010"/>
      <c r="U70" s="2010"/>
      <c r="V70" s="2010"/>
    </row>
    <row r="71" spans="1:22" ht="12" customHeight="1">
      <c r="A71" s="357" t="s">
        <v>404</v>
      </c>
      <c r="B71" s="3290" t="s">
        <v>405</v>
      </c>
      <c r="C71" s="3291"/>
      <c r="D71" s="356">
        <f ca="1">ROUND(D63*'数据-取费表'!B41/(1+'数据-取费表'!C42),0)</f>
        <v>8184</v>
      </c>
      <c r="E71" s="17" t="s">
        <v>398</v>
      </c>
      <c r="F71" s="358">
        <f>'数据-取费表'!B41</f>
        <v>5.6000000000000001E-2</v>
      </c>
      <c r="G71" s="359"/>
      <c r="H71" s="309"/>
      <c r="I71" s="1286"/>
      <c r="J71" s="2017"/>
      <c r="K71" s="3009" t="s">
        <v>399</v>
      </c>
      <c r="L71" s="3362" t="s">
        <v>400</v>
      </c>
      <c r="M71" s="3362"/>
      <c r="N71" s="3009" t="s">
        <v>401</v>
      </c>
      <c r="O71" s="3009" t="s">
        <v>402</v>
      </c>
      <c r="P71" s="3009" t="s">
        <v>403</v>
      </c>
      <c r="Q71" s="2010"/>
      <c r="R71" s="2010"/>
      <c r="S71" s="2010"/>
      <c r="T71" s="2010"/>
      <c r="U71" s="2010"/>
      <c r="V71" s="2010"/>
    </row>
    <row r="72" spans="1:22" ht="12" customHeight="1">
      <c r="A72" s="357" t="s">
        <v>407</v>
      </c>
      <c r="B72" s="3290" t="s">
        <v>408</v>
      </c>
      <c r="C72" s="3291"/>
      <c r="D72" s="356">
        <f ca="1">C86</f>
        <v>8072</v>
      </c>
      <c r="E72" s="73" t="s">
        <v>409</v>
      </c>
      <c r="F72" s="358">
        <f>'数据-取费表'!B41</f>
        <v>5.6000000000000001E-2</v>
      </c>
      <c r="G72" s="359"/>
      <c r="H72" s="1292"/>
      <c r="I72" s="1286"/>
      <c r="J72" s="2017"/>
      <c r="K72" s="1958">
        <v>1</v>
      </c>
      <c r="L72" s="3337" t="s">
        <v>406</v>
      </c>
      <c r="M72" s="3337"/>
      <c r="N72" s="1290">
        <f ca="1">D66</f>
        <v>8184</v>
      </c>
      <c r="O72" s="1841" t="str">
        <f>E66</f>
        <v>销售额×税（费）率</v>
      </c>
      <c r="P72" s="1291">
        <f>F66</f>
        <v>5.6000000000000001E-2</v>
      </c>
      <c r="Q72" s="2010"/>
      <c r="R72" s="2010"/>
      <c r="S72" s="2010"/>
      <c r="T72" s="2010"/>
      <c r="U72" s="2010"/>
      <c r="V72" s="2010"/>
    </row>
    <row r="73" spans="1:22" ht="24" customHeight="1">
      <c r="A73" s="3331" t="s">
        <v>411</v>
      </c>
      <c r="B73" s="3299"/>
      <c r="C73" s="3299"/>
      <c r="D73" s="360">
        <f>IF(H73="个人住宅",0,ROUND(D63*I73,0))</f>
        <v>0</v>
      </c>
      <c r="E73" s="17" t="s">
        <v>412</v>
      </c>
      <c r="F73" s="358" t="str">
        <f>IF(H73="正常",I73,"免征")</f>
        <v>免征</v>
      </c>
      <c r="G73" s="359"/>
      <c r="H73" s="191" t="s">
        <v>2452</v>
      </c>
      <c r="I73" s="358">
        <f>'数据-取费表'!B49</f>
        <v>5.0000000000000001E-4</v>
      </c>
      <c r="J73" s="2017"/>
      <c r="K73" s="1958">
        <v>2</v>
      </c>
      <c r="L73" s="3337" t="s">
        <v>410</v>
      </c>
      <c r="M73" s="3337"/>
      <c r="N73" s="1290">
        <f t="shared" ref="N73:P74" si="1">D73</f>
        <v>0</v>
      </c>
      <c r="O73" s="1841" t="str">
        <f t="shared" si="1"/>
        <v>销售额×税（费）率</v>
      </c>
      <c r="P73" s="1291" t="str">
        <f t="shared" si="1"/>
        <v>免征</v>
      </c>
      <c r="Q73" s="2010"/>
      <c r="R73" s="2010"/>
      <c r="S73" s="2010"/>
      <c r="T73" s="2010"/>
      <c r="U73" s="2010"/>
      <c r="V73" s="2010"/>
    </row>
    <row r="74" spans="1:22" ht="24.75">
      <c r="A74" s="3331" t="s">
        <v>415</v>
      </c>
      <c r="B74" s="3299"/>
      <c r="C74" s="3299"/>
      <c r="D74" s="360">
        <f ca="1">IF(H74="个人住宅",D75,D76)</f>
        <v>86200</v>
      </c>
      <c r="E74" s="17" t="s">
        <v>416</v>
      </c>
      <c r="F74" s="358" t="str">
        <f>IF(H74="正常",F76,"免征")</f>
        <v>——</v>
      </c>
      <c r="G74" s="981" t="s">
        <v>417</v>
      </c>
      <c r="H74" s="361" t="s">
        <v>413</v>
      </c>
      <c r="I74" s="42"/>
      <c r="J74" s="2017"/>
      <c r="K74" s="1958">
        <v>3</v>
      </c>
      <c r="L74" s="3337" t="s">
        <v>414</v>
      </c>
      <c r="M74" s="3337"/>
      <c r="N74" s="1290">
        <f t="shared" ca="1" si="1"/>
        <v>86200</v>
      </c>
      <c r="O74" s="1841" t="str">
        <f t="shared" si="1"/>
        <v>增值额×税（费）率</v>
      </c>
      <c r="P74" s="1293" t="str">
        <f t="shared" si="1"/>
        <v>——</v>
      </c>
      <c r="Q74" s="2010"/>
      <c r="R74" s="2010"/>
      <c r="S74" s="2010"/>
      <c r="T74" s="2010"/>
      <c r="U74" s="2010"/>
      <c r="V74" s="2010"/>
    </row>
    <row r="75" spans="1:22" ht="24">
      <c r="A75" s="357" t="s">
        <v>418</v>
      </c>
      <c r="B75" s="3287" t="s">
        <v>419</v>
      </c>
      <c r="C75" s="3317"/>
      <c r="D75" s="362">
        <v>0</v>
      </c>
      <c r="E75" s="41" t="s">
        <v>420</v>
      </c>
      <c r="F75" s="363"/>
      <c r="G75" s="359"/>
      <c r="H75" s="42"/>
      <c r="I75" s="42"/>
      <c r="J75" s="2017"/>
      <c r="K75" s="3002">
        <f>IF(H77="非个人房产","",4)</f>
        <v>4</v>
      </c>
      <c r="L75" s="3337" t="str">
        <f>IF(H77="非个人房产","——","个人所得税")</f>
        <v>个人所得税</v>
      </c>
      <c r="M75" s="3337"/>
      <c r="N75" s="1294">
        <f ca="1">D77</f>
        <v>1535</v>
      </c>
      <c r="O75" s="1854" t="str">
        <f>E77</f>
        <v>销售额×税（费）率</v>
      </c>
      <c r="P75" s="1295">
        <f>F77</f>
        <v>0.01</v>
      </c>
      <c r="Q75" s="2010"/>
      <c r="R75" s="2010"/>
      <c r="S75" s="2010"/>
      <c r="T75" s="2010"/>
      <c r="U75" s="2010"/>
      <c r="V75" s="2010"/>
    </row>
    <row r="76" spans="1:22" ht="24.75">
      <c r="A76" s="357" t="s">
        <v>396</v>
      </c>
      <c r="B76" s="3287" t="s">
        <v>422</v>
      </c>
      <c r="C76" s="3288"/>
      <c r="D76" s="360">
        <f ca="1">IF(H76="转让取得",C99,C115)</f>
        <v>86200</v>
      </c>
      <c r="E76" s="17" t="s">
        <v>423</v>
      </c>
      <c r="F76" s="53" t="s">
        <v>21</v>
      </c>
      <c r="G76" s="359"/>
      <c r="H76" s="361" t="s">
        <v>424</v>
      </c>
      <c r="I76" s="42"/>
      <c r="J76" s="2017"/>
      <c r="K76" s="3002" t="str">
        <f>IF(项目基本情况!K6="上海银行",IF(K75="",4,K75+1),"")</f>
        <v/>
      </c>
      <c r="L76" s="3348" t="str">
        <f>IF(项目基本情况!K6="上海银行","其他处置费用","")</f>
        <v/>
      </c>
      <c r="M76" s="3349"/>
      <c r="N76" s="1290" t="str">
        <f>IF(项目基本情况!K6="上海银行",N89,"")</f>
        <v/>
      </c>
      <c r="O76" s="3350" t="str">
        <f>IF(项目基本情况!K6="上海银行","包含处置中涉及的律师、诉讼、拍卖、评估等费用","")</f>
        <v/>
      </c>
      <c r="P76" s="3351"/>
      <c r="Q76" s="2010"/>
      <c r="R76" s="2010"/>
      <c r="S76" s="2010"/>
      <c r="T76" s="2010"/>
      <c r="U76" s="2010"/>
      <c r="V76" s="2010"/>
    </row>
    <row r="77" spans="1:22" ht="26.25" thickBot="1">
      <c r="A77" s="3339" t="s">
        <v>426</v>
      </c>
      <c r="B77" s="3340"/>
      <c r="C77" s="3340"/>
      <c r="D77" s="364">
        <f ca="1">IF(H77="非个人房产","——",IF(H77="个人住宅",0,ROUND(D63*I77,0)))</f>
        <v>1535</v>
      </c>
      <c r="E77" s="365" t="str">
        <f>IF(H77="非个人房产","——","销售额×税（费）率")</f>
        <v>销售额×税（费）率</v>
      </c>
      <c r="F77" s="366">
        <f>IF(H77="非个人房产","——",IF(H77="个人住宅","免征",I77))</f>
        <v>0.01</v>
      </c>
      <c r="G77" s="982" t="s">
        <v>417</v>
      </c>
      <c r="H77" s="361" t="s">
        <v>2881</v>
      </c>
      <c r="I77" s="367">
        <v>0.01</v>
      </c>
      <c r="J77" s="2017"/>
      <c r="K77" s="3338">
        <f>IF(AND(K75="",K76=""),4,IF(项目基本情况!K6="上海银行",K76+1,K75+1))</f>
        <v>5</v>
      </c>
      <c r="L77" s="3337" t="s">
        <v>2882</v>
      </c>
      <c r="M77" s="3008" t="s">
        <v>421</v>
      </c>
      <c r="N77" s="1296"/>
      <c r="O77" s="1297">
        <f ca="1">SUMIF(N72:N76,"&lt;9e307")</f>
        <v>95919</v>
      </c>
      <c r="P77" s="1298"/>
      <c r="Q77" s="3006" t="e">
        <f ca="1">O77/N69</f>
        <v>#VALUE!</v>
      </c>
      <c r="R77" s="2010"/>
      <c r="S77" s="2010"/>
      <c r="T77" s="2010"/>
      <c r="U77" s="2010"/>
      <c r="V77" s="2010"/>
    </row>
    <row r="78" spans="1:22" ht="12" customHeight="1">
      <c r="A78" s="1299"/>
      <c r="B78" s="309"/>
      <c r="C78" s="309"/>
      <c r="D78" s="309"/>
      <c r="E78" s="42"/>
      <c r="F78" s="42"/>
      <c r="G78" s="42"/>
      <c r="H78" s="1001"/>
      <c r="I78" s="309"/>
      <c r="J78" s="2017"/>
      <c r="K78" s="3338"/>
      <c r="L78" s="3337"/>
      <c r="M78" s="3008" t="s">
        <v>425</v>
      </c>
      <c r="N78" s="1296"/>
      <c r="O78" s="1297" t="str">
        <f ca="1">NUMBERSTRING(INT(O77*10000),2)&amp;"元整"</f>
        <v>玖亿伍仟玖佰壹拾玖万元整</v>
      </c>
      <c r="P78" s="1298"/>
      <c r="Q78" s="2010"/>
      <c r="R78" s="2010"/>
      <c r="S78" s="2010"/>
      <c r="T78" s="2010"/>
      <c r="U78" s="2010"/>
      <c r="V78" s="2010"/>
    </row>
    <row r="79" spans="1:22" ht="13.5" thickBot="1">
      <c r="A79" s="3332" t="s">
        <v>427</v>
      </c>
      <c r="B79" s="3332"/>
      <c r="C79" s="3332"/>
      <c r="D79" s="3332"/>
      <c r="E79" s="3332"/>
      <c r="F79" s="42"/>
      <c r="G79" s="42"/>
      <c r="H79" s="1001"/>
      <c r="I79" s="309"/>
      <c r="J79" s="2017"/>
      <c r="K79" s="3358">
        <f>K77+1</f>
        <v>6</v>
      </c>
      <c r="L79" s="3337" t="s">
        <v>2883</v>
      </c>
      <c r="M79" s="3008" t="s">
        <v>421</v>
      </c>
      <c r="N79" s="1296"/>
      <c r="O79" s="1297" t="e">
        <f ca="1">N69-O77</f>
        <v>#VALUE!</v>
      </c>
      <c r="P79" s="1298"/>
      <c r="Q79" s="2010"/>
      <c r="R79" s="2010"/>
      <c r="S79" s="2010"/>
      <c r="T79" s="2010"/>
      <c r="U79" s="2010"/>
      <c r="V79" s="2010"/>
    </row>
    <row r="80" spans="1:22" ht="12.75">
      <c r="A80" s="3327" t="s">
        <v>428</v>
      </c>
      <c r="B80" s="3328"/>
      <c r="C80" s="992"/>
      <c r="D80" s="992" t="s">
        <v>429</v>
      </c>
      <c r="E80" s="368" t="s">
        <v>430</v>
      </c>
      <c r="F80" s="42"/>
      <c r="G80" s="42"/>
      <c r="H80" s="1001"/>
      <c r="I80" s="309"/>
      <c r="J80" s="2010"/>
      <c r="K80" s="3359"/>
      <c r="L80" s="3337"/>
      <c r="M80" s="3008" t="s">
        <v>425</v>
      </c>
      <c r="N80" s="1296"/>
      <c r="O80" s="1297" t="e">
        <f ca="1">NUMBERSTRING(INT(O79*10000),2)&amp;"元整"</f>
        <v>#VALUE!</v>
      </c>
      <c r="P80" s="1298"/>
      <c r="Q80" s="2010"/>
      <c r="R80" s="2010"/>
      <c r="S80" s="2010"/>
      <c r="T80" s="2010"/>
      <c r="U80" s="2010"/>
      <c r="V80" s="2010"/>
    </row>
    <row r="81" spans="1:26" ht="13.5" thickBot="1">
      <c r="A81" s="379" t="s">
        <v>1822</v>
      </c>
      <c r="B81" s="369" t="s">
        <v>431</v>
      </c>
      <c r="C81" s="370">
        <f ca="1">ROUND((C82+C83)/(1+'数据-取费表'!C42),0)</f>
        <v>146147</v>
      </c>
      <c r="D81" s="371"/>
      <c r="E81" s="372"/>
      <c r="F81" s="42"/>
      <c r="G81" s="42"/>
      <c r="H81" s="1001"/>
      <c r="I81" s="309"/>
      <c r="J81" s="2010"/>
      <c r="K81" s="3002">
        <f>K79+1</f>
        <v>7</v>
      </c>
      <c r="L81" s="3335" t="s">
        <v>2884</v>
      </c>
      <c r="M81" s="3336"/>
      <c r="N81" s="1300"/>
      <c r="O81" s="1301" t="e">
        <f ca="1">ROUND(O79*10000/'数据-汇总表'!E3,0)</f>
        <v>#VALUE!</v>
      </c>
      <c r="P81" s="1302"/>
      <c r="Q81" s="2010"/>
      <c r="R81" s="2010"/>
      <c r="S81" s="2010"/>
      <c r="T81" s="2010"/>
      <c r="U81" s="2010"/>
      <c r="V81" s="2010"/>
    </row>
    <row r="82" spans="1:26" ht="13.5" thickTop="1">
      <c r="A82" s="373" t="s">
        <v>1823</v>
      </c>
      <c r="B82" s="374" t="s">
        <v>432</v>
      </c>
      <c r="C82" s="375">
        <f ca="1">D63</f>
        <v>153454</v>
      </c>
      <c r="D82" s="376" t="s">
        <v>19</v>
      </c>
      <c r="E82" s="377"/>
      <c r="F82" s="42"/>
      <c r="G82" s="42"/>
      <c r="H82" s="1001"/>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1"/>
      <c r="I83" s="309"/>
      <c r="J83" s="2010"/>
      <c r="K83" s="3347" t="s">
        <v>2871</v>
      </c>
      <c r="L83" s="3014" t="s">
        <v>2872</v>
      </c>
      <c r="M83" s="3004" t="e">
        <f>IF(N69&gt;10000,N69*0.5%,IF(AND(N69&gt;1000,N69&lt;=10000),N69*1%,IF(AND(N69&gt;100,N69&lt;=1000),N69*3%,IF(AND(N69&gt;10,N69&lt;=100),N69*5%,N69*8%))))</f>
        <v>#VALUE!</v>
      </c>
      <c r="N83" s="53" t="e">
        <f>ROUND(M83,1)</f>
        <v>#VALUE!</v>
      </c>
      <c r="O83" s="3007"/>
      <c r="P83" s="2010"/>
      <c r="Q83" s="2010"/>
      <c r="R83" s="2010"/>
      <c r="S83" s="2010"/>
      <c r="T83" s="2010"/>
      <c r="U83" s="2010"/>
      <c r="V83" s="2010"/>
    </row>
    <row r="84" spans="1:26" ht="12.75">
      <c r="A84" s="379" t="s">
        <v>1825</v>
      </c>
      <c r="B84" s="380" t="s">
        <v>434</v>
      </c>
      <c r="C84" s="381">
        <v>2000</v>
      </c>
      <c r="D84" s="382" t="s">
        <v>19</v>
      </c>
      <c r="E84" s="3049" t="s">
        <v>2929</v>
      </c>
      <c r="F84" s="42"/>
      <c r="G84" s="42"/>
      <c r="H84" s="1001"/>
      <c r="I84" s="309"/>
      <c r="J84" s="2010"/>
      <c r="K84" s="3347"/>
      <c r="L84" s="3014" t="s">
        <v>2873</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2874</v>
      </c>
      <c r="P84" s="2010"/>
      <c r="Q84" s="2010"/>
      <c r="R84" s="2010"/>
      <c r="S84" s="2010"/>
      <c r="T84" s="2010"/>
      <c r="U84" s="2010"/>
      <c r="V84" s="2010"/>
    </row>
    <row r="85" spans="1:26" ht="12.75">
      <c r="A85" s="379" t="s">
        <v>1826</v>
      </c>
      <c r="B85" s="380" t="s">
        <v>435</v>
      </c>
      <c r="C85" s="383">
        <f ca="1">C81-C84</f>
        <v>144147</v>
      </c>
      <c r="D85" s="376" t="s">
        <v>19</v>
      </c>
      <c r="E85" s="377"/>
      <c r="F85" s="42"/>
      <c r="G85" s="42"/>
      <c r="H85" s="1001"/>
      <c r="I85" s="309"/>
      <c r="J85" s="2010"/>
      <c r="K85" s="3347"/>
      <c r="L85" s="3014" t="s">
        <v>2875</v>
      </c>
      <c r="M85" s="3004" t="e">
        <f>IF(N69&gt;1000,N69*0.1%,IF(AND(N69&gt;500,N69&lt;=1000),N69*0.5%,IF(AND(N69&gt;50,N69&lt;=500),N69*1%,IF(AND(N69&gt;1,N69&lt;=50),N69*1.5%))))</f>
        <v>#VALUE!</v>
      </c>
      <c r="N85" s="53" t="e">
        <f t="shared" si="2"/>
        <v>#VALUE!</v>
      </c>
      <c r="O85" s="2010" t="s">
        <v>2874</v>
      </c>
      <c r="P85" s="2010"/>
      <c r="Q85" s="2010"/>
      <c r="R85" s="2010"/>
      <c r="S85" s="2010"/>
      <c r="T85" s="2010"/>
      <c r="U85" s="2010"/>
      <c r="V85" s="2010"/>
    </row>
    <row r="86" spans="1:26" ht="13.5" thickBot="1">
      <c r="A86" s="384" t="s">
        <v>1827</v>
      </c>
      <c r="B86" s="385" t="s">
        <v>436</v>
      </c>
      <c r="C86" s="386">
        <f ca="1">IF(C85&lt;=0,0,ROUND(C85*D86,0))</f>
        <v>8072</v>
      </c>
      <c r="D86" s="387">
        <f>'数据-取费表'!B41</f>
        <v>5.6000000000000001E-2</v>
      </c>
      <c r="E86" s="388"/>
      <c r="F86" s="42"/>
      <c r="G86" s="42"/>
      <c r="H86" s="1001"/>
      <c r="I86" s="309"/>
      <c r="J86" s="2010"/>
      <c r="K86" s="3347"/>
      <c r="L86" s="3014" t="s">
        <v>2876</v>
      </c>
      <c r="M86" s="3004" t="e">
        <f>N69*0.5%</f>
        <v>#VALUE!</v>
      </c>
      <c r="N86" s="53" t="e">
        <f>IF(M86&gt;0.5,0.5,ROUND(M86,0))</f>
        <v>#VALUE!</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47"/>
      <c r="L87" s="3014" t="s">
        <v>2878</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09"/>
      <c r="Q87" s="2010"/>
      <c r="R87" s="2010"/>
      <c r="S87" s="2010"/>
      <c r="T87" s="2010"/>
      <c r="U87" s="2010"/>
      <c r="V87" s="2010"/>
      <c r="W87" s="290"/>
      <c r="X87" s="290"/>
      <c r="Y87" s="290"/>
      <c r="Z87" s="290"/>
    </row>
    <row r="88" spans="1:26" s="1308" customFormat="1" ht="15" thickBot="1">
      <c r="A88" s="3329" t="s">
        <v>437</v>
      </c>
      <c r="B88" s="3330"/>
      <c r="C88" s="3330"/>
      <c r="D88" s="3330"/>
      <c r="E88" s="3330"/>
      <c r="F88" s="3330"/>
      <c r="G88" s="3330"/>
      <c r="H88" s="3330"/>
      <c r="I88" s="1309"/>
      <c r="J88" s="2018"/>
      <c r="K88" s="3347"/>
      <c r="L88" s="3014" t="s">
        <v>2879</v>
      </c>
      <c r="M88" s="3004" t="e">
        <f>IF(N69&gt;10000,N69*0.5%,IF(AND(N69&gt;5000,N69&lt;=10000),N69*1%,IF(AND(N69&gt;1000,N69&lt;=5000),N69*2%,IF(AND(N69&gt;200,N69&lt;=1000),N69*3%,N69*5%))))</f>
        <v>#VALUE!</v>
      </c>
      <c r="N88" s="53" t="e">
        <f>ROUND(M88,1)</f>
        <v>#VALUE!</v>
      </c>
      <c r="O88" s="3007"/>
      <c r="P88" s="11"/>
      <c r="Q88" s="2015"/>
      <c r="R88" s="2015"/>
      <c r="S88" s="2015"/>
      <c r="T88" s="2015"/>
      <c r="U88" s="2015"/>
      <c r="V88" s="2015"/>
      <c r="W88" s="2019"/>
      <c r="X88" s="2019"/>
      <c r="Y88" s="2019"/>
      <c r="Z88" s="2019"/>
    </row>
    <row r="89" spans="1:26" s="1308" customFormat="1" ht="14.25">
      <c r="A89" s="3327" t="s">
        <v>428</v>
      </c>
      <c r="B89" s="3328"/>
      <c r="C89" s="992"/>
      <c r="D89" s="992" t="s">
        <v>429</v>
      </c>
      <c r="E89" s="389" t="s">
        <v>438</v>
      </c>
      <c r="F89" s="390"/>
      <c r="G89" s="390"/>
      <c r="H89" s="391"/>
      <c r="I89" s="1310"/>
      <c r="J89" s="2020"/>
      <c r="K89" s="3347"/>
      <c r="L89" s="3014" t="s">
        <v>27</v>
      </c>
      <c r="M89" s="3005"/>
      <c r="N89" s="53" t="e">
        <f>ROUND(SUM(N83:N88),0)</f>
        <v>#VALUE!</v>
      </c>
      <c r="O89" s="3015" t="e">
        <f>N89/N69</f>
        <v>#VALUE!</v>
      </c>
      <c r="P89" s="2015"/>
      <c r="Q89" s="2015"/>
      <c r="R89" s="2015"/>
      <c r="S89" s="2015"/>
      <c r="T89" s="2015"/>
      <c r="U89" s="2015"/>
      <c r="V89" s="2015"/>
      <c r="W89" s="2019"/>
      <c r="X89" s="2019"/>
      <c r="Y89" s="2019"/>
      <c r="Z89" s="2019"/>
    </row>
    <row r="90" spans="1:26" s="1308" customFormat="1" ht="14.25">
      <c r="A90" s="379" t="s">
        <v>1822</v>
      </c>
      <c r="B90" s="380" t="s">
        <v>439</v>
      </c>
      <c r="C90" s="383">
        <f ca="1">ROUND(D63/(1+'数据-取费表'!C42),0)</f>
        <v>146147</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1828</v>
      </c>
      <c r="B91" s="346" t="s">
        <v>440</v>
      </c>
      <c r="C91" s="383">
        <f ca="1">C92+C96</f>
        <v>3438</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1829</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1831</v>
      </c>
      <c r="B94" s="398" t="s">
        <v>446</v>
      </c>
      <c r="C94" s="376">
        <f>IF(F93="购房发票",ROUND(C93*H93*5%,0),0)</f>
        <v>500</v>
      </c>
      <c r="D94" s="399">
        <v>0.05</v>
      </c>
      <c r="E94" s="3290" t="s">
        <v>447</v>
      </c>
      <c r="F94" s="3289"/>
      <c r="G94" s="3289"/>
      <c r="H94" s="3326"/>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1833</v>
      </c>
      <c r="B96" s="374" t="s">
        <v>450</v>
      </c>
      <c r="C96" s="403">
        <f ca="1">ROUND(D63*D96/(1+'数据-取费表'!C42),0)</f>
        <v>877</v>
      </c>
      <c r="D96" s="404">
        <f>'数据-取费表'!B43</f>
        <v>6.000000000000001E-3</v>
      </c>
      <c r="E96" s="3318" t="s">
        <v>2425</v>
      </c>
      <c r="F96" s="3319"/>
      <c r="G96" s="3319"/>
      <c r="H96" s="3320"/>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1834</v>
      </c>
      <c r="B97" s="380" t="s">
        <v>451</v>
      </c>
      <c r="C97" s="383">
        <f ca="1">C90-C91</f>
        <v>142709</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1835</v>
      </c>
      <c r="B98" s="380" t="s">
        <v>452</v>
      </c>
      <c r="C98" s="405">
        <f ca="1">IF(C97&lt;=0,0,C97/C91)</f>
        <v>41.509307737056432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1836</v>
      </c>
      <c r="B99" s="385" t="s">
        <v>453</v>
      </c>
      <c r="C99" s="406">
        <f ca="1">ROUND(IF(C97&lt;=0,0,IF(C98&gt;=200%,C97*60%-C91*35%,IF(C98&gt;=100%,C97*50%-C91*15%,IF(C98&gt;=50%,C97*40%-C91*5%,IF(C98&lt;50%,C97*30%,0))))),0)</f>
        <v>84422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29" t="s">
        <v>454</v>
      </c>
      <c r="B101" s="3330"/>
      <c r="C101" s="3330"/>
      <c r="D101" s="3330"/>
      <c r="E101" s="3330"/>
      <c r="F101" s="3330"/>
      <c r="G101" s="3330"/>
      <c r="H101" s="3330"/>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27" t="s">
        <v>428</v>
      </c>
      <c r="B102" s="3328"/>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1822</v>
      </c>
      <c r="B103" s="380" t="s">
        <v>439</v>
      </c>
      <c r="C103" s="383">
        <f ca="1">ROUND(D63/(1+'数据-取费表'!C42),0)</f>
        <v>146147</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1828</v>
      </c>
      <c r="B104" s="346" t="s">
        <v>440</v>
      </c>
      <c r="C104" s="383">
        <f ca="1">IF(H106="仅含出让金",C105+C108+C109+C110+C111+C112,C105+C109+C110+C111+C112)</f>
        <v>1567</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1829</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1830</v>
      </c>
      <c r="B106" s="374" t="s">
        <v>456</v>
      </c>
      <c r="C106" s="414">
        <v>555</v>
      </c>
      <c r="D106" s="404"/>
      <c r="E106" s="415" t="s">
        <v>457</v>
      </c>
      <c r="F106" s="984"/>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1831</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1833</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1837</v>
      </c>
      <c r="B109" s="374" t="s">
        <v>461</v>
      </c>
      <c r="C109" s="403">
        <f>IF(H109="——",IF(F1="现房",'剩余法-现房'!C18,'剩余法-待开发'!C18),I109)</f>
        <v>55</v>
      </c>
      <c r="D109" s="404"/>
      <c r="E109" s="3321" t="s">
        <v>462</v>
      </c>
      <c r="F109" s="3319"/>
      <c r="G109" s="3319"/>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1838</v>
      </c>
      <c r="B110" s="374" t="s">
        <v>463</v>
      </c>
      <c r="C110" s="403">
        <f>ROUND((C105+C108+C109)*D110,0)</f>
        <v>63</v>
      </c>
      <c r="D110" s="404">
        <v>0.1</v>
      </c>
      <c r="E110" s="3321" t="s">
        <v>464</v>
      </c>
      <c r="F110" s="3319"/>
      <c r="G110" s="3319"/>
      <c r="H110" s="3320"/>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1839</v>
      </c>
      <c r="B111" s="374" t="s">
        <v>450</v>
      </c>
      <c r="C111" s="403">
        <f ca="1">ROUND(D63*D111/(1+'数据-取费表'!C42),0)</f>
        <v>877</v>
      </c>
      <c r="D111" s="404">
        <f>'数据-取费表'!B43</f>
        <v>6.000000000000001E-3</v>
      </c>
      <c r="E111" s="3318" t="s">
        <v>2425</v>
      </c>
      <c r="F111" s="3319"/>
      <c r="G111" s="3319"/>
      <c r="H111" s="3320"/>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1840</v>
      </c>
      <c r="B112" s="374" t="s">
        <v>465</v>
      </c>
      <c r="C112" s="403">
        <f>ROUND(C108*D112,0)</f>
        <v>0</v>
      </c>
      <c r="D112" s="404">
        <v>0.2</v>
      </c>
      <c r="E112" s="3321" t="s">
        <v>2450</v>
      </c>
      <c r="F112" s="3319"/>
      <c r="G112" s="3319"/>
      <c r="H112" s="3320"/>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1834</v>
      </c>
      <c r="B113" s="380" t="s">
        <v>451</v>
      </c>
      <c r="C113" s="383">
        <f ca="1">ROUND(C103-C104,0)</f>
        <v>144580</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1835</v>
      </c>
      <c r="B114" s="380" t="s">
        <v>452</v>
      </c>
      <c r="C114" s="405">
        <f ca="1">IF(C113&lt;=0,0,C113/C104)</f>
        <v>92.265475430759409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1836</v>
      </c>
      <c r="B115" s="385" t="s">
        <v>453</v>
      </c>
      <c r="C115" s="406">
        <f ca="1">ROUND(IF(C113&lt;=0,0,IF(C114&gt;=200%,C113*60%-C104*35%,IF(C114&gt;=100%,C113*50%-C104*15%,IF(C114&gt;=50%,C113*40%-C104*5%,IF(C114&lt;50%,C113*30%,0))))),0)</f>
        <v>86200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2" sqref="M1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235893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1683</v>
      </c>
      <c r="B3" s="508">
        <f>ROUND(B2*10000/'数据-汇总表'!E3,0)</f>
        <v>21580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67466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4498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72" t="s">
        <v>522</v>
      </c>
      <c r="D6" s="3373"/>
      <c r="E6" s="3372" t="s">
        <v>523</v>
      </c>
      <c r="F6" s="3373"/>
      <c r="G6" s="3372" t="s">
        <v>524</v>
      </c>
      <c r="H6" s="3373"/>
      <c r="I6" s="3372" t="s">
        <v>525</v>
      </c>
      <c r="J6" s="3373"/>
      <c r="K6" s="512" t="s">
        <v>526</v>
      </c>
      <c r="L6" s="2115"/>
      <c r="M6" s="2114"/>
      <c r="N6" s="2114"/>
      <c r="O6" s="2116"/>
      <c r="P6" s="3374" t="s">
        <v>527</v>
      </c>
      <c r="Q6" s="3375"/>
      <c r="R6" s="3380" t="s">
        <v>523</v>
      </c>
      <c r="S6" s="3381"/>
      <c r="T6" s="3380" t="s">
        <v>524</v>
      </c>
      <c r="U6" s="3381"/>
      <c r="V6" s="3367" t="s">
        <v>525</v>
      </c>
      <c r="W6" s="3367"/>
      <c r="X6" s="1550"/>
      <c r="Y6" s="3380" t="s">
        <v>527</v>
      </c>
      <c r="Z6" s="3381"/>
      <c r="AA6" s="3369" t="s">
        <v>523</v>
      </c>
      <c r="AB6" s="3370" t="s">
        <v>524</v>
      </c>
      <c r="AC6" s="3369" t="s">
        <v>525</v>
      </c>
    </row>
    <row r="7" spans="1:30" ht="64.5" customHeight="1">
      <c r="A7" s="513"/>
      <c r="B7" s="514"/>
      <c r="C7" s="3388" t="s">
        <v>2918</v>
      </c>
      <c r="D7" s="3389"/>
      <c r="E7" s="3393" t="s">
        <v>2999</v>
      </c>
      <c r="F7" s="3394"/>
      <c r="G7" s="3388" t="s">
        <v>3000</v>
      </c>
      <c r="H7" s="3389"/>
      <c r="I7" s="3388" t="s">
        <v>3001</v>
      </c>
      <c r="J7" s="3389"/>
      <c r="K7" s="512"/>
      <c r="L7" s="2115"/>
      <c r="M7" s="2114"/>
      <c r="N7" s="2114"/>
      <c r="O7" s="2116"/>
      <c r="P7" s="3376"/>
      <c r="Q7" s="3377"/>
      <c r="R7" s="3382"/>
      <c r="S7" s="3383"/>
      <c r="T7" s="3382"/>
      <c r="U7" s="3383"/>
      <c r="V7" s="3367"/>
      <c r="W7" s="3367"/>
      <c r="X7" s="1550"/>
      <c r="Y7" s="3382"/>
      <c r="Z7" s="3383"/>
      <c r="AA7" s="3370"/>
      <c r="AB7" s="3370"/>
      <c r="AC7" s="3370"/>
    </row>
    <row r="8" spans="1:30" ht="21" thickBot="1">
      <c r="A8" s="513"/>
      <c r="B8" s="514"/>
      <c r="C8" s="3390" t="s">
        <v>2922</v>
      </c>
      <c r="D8" s="3391"/>
      <c r="E8" s="3386" t="s">
        <v>3002</v>
      </c>
      <c r="F8" s="3387"/>
      <c r="G8" s="3392" t="s">
        <v>3003</v>
      </c>
      <c r="H8" s="3387"/>
      <c r="I8" s="3386" t="s">
        <v>3004</v>
      </c>
      <c r="J8" s="3387"/>
      <c r="K8" s="512" t="s">
        <v>528</v>
      </c>
      <c r="L8" s="2115"/>
      <c r="M8" s="2114"/>
      <c r="N8" s="2114"/>
      <c r="O8" s="2116"/>
      <c r="P8" s="3378"/>
      <c r="Q8" s="3379"/>
      <c r="R8" s="3382"/>
      <c r="S8" s="3383"/>
      <c r="T8" s="3384"/>
      <c r="U8" s="3385"/>
      <c r="V8" s="3367"/>
      <c r="W8" s="3367"/>
      <c r="X8" s="1550"/>
      <c r="Y8" s="3384"/>
      <c r="Z8" s="3385"/>
      <c r="AA8" s="3371"/>
      <c r="AB8" s="3371"/>
      <c r="AC8" s="3371"/>
    </row>
    <row r="9" spans="1:30" s="1214" customFormat="1" ht="21" thickBot="1">
      <c r="A9" s="2864"/>
      <c r="B9" s="2871" t="s">
        <v>529</v>
      </c>
      <c r="C9" s="2863">
        <f>'数据-取费表'!B2</f>
        <v>43817</v>
      </c>
      <c r="D9" s="518">
        <v>100</v>
      </c>
      <c r="E9" s="519">
        <v>43498</v>
      </c>
      <c r="F9" s="520">
        <f>SUMIF(72:72,YEAR(E9)&amp;"-"&amp;INT((MONTH(E9)+2)/3),73:73)</f>
        <v>98.5</v>
      </c>
      <c r="G9" s="521">
        <v>43430</v>
      </c>
      <c r="H9" s="518">
        <f>SUMIF(72:72,YEAR(G9)&amp;"-"&amp;INT((MONTH(G9)+2)/3),73:73)</f>
        <v>98</v>
      </c>
      <c r="I9" s="521">
        <v>43392</v>
      </c>
      <c r="J9" s="518">
        <f>SUMIF(72:72,YEAR(I9)&amp;"-"&amp;INT((MONTH(I9)+2)/3),73:73)</f>
        <v>98</v>
      </c>
      <c r="K9" s="522"/>
      <c r="L9" s="2117"/>
      <c r="M9" s="2114"/>
      <c r="N9" s="2114"/>
      <c r="O9" s="2118"/>
      <c r="P9" s="3400" t="s">
        <v>530</v>
      </c>
      <c r="Q9" s="3402"/>
      <c r="R9" s="1551" t="s">
        <v>8</v>
      </c>
      <c r="S9" s="1552">
        <f t="shared" ref="S9:S17" si="0">F9</f>
        <v>98.5</v>
      </c>
      <c r="T9" s="1551" t="s">
        <v>8</v>
      </c>
      <c r="U9" s="1552">
        <f t="shared" ref="U9:U17" si="1">H9</f>
        <v>98</v>
      </c>
      <c r="V9" s="1551" t="s">
        <v>8</v>
      </c>
      <c r="W9" s="1552">
        <f t="shared" ref="W9:W17" si="2">J9</f>
        <v>98</v>
      </c>
      <c r="X9" s="1553"/>
      <c r="Y9" s="3400" t="s">
        <v>530</v>
      </c>
      <c r="Z9" s="3401"/>
      <c r="AA9" s="1554">
        <f>D9/F9</f>
        <v>1.015228426395939</v>
      </c>
      <c r="AB9" s="1554">
        <f>D9/H9</f>
        <v>1.0204081632653061</v>
      </c>
      <c r="AC9" s="1554">
        <f>D9/J9</f>
        <v>1.0204081632653061</v>
      </c>
    </row>
    <row r="10" spans="1:30" s="1214" customFormat="1" ht="21" thickBot="1">
      <c r="A10" s="2865"/>
      <c r="B10" s="2872" t="s">
        <v>531</v>
      </c>
      <c r="C10" s="854" t="s">
        <v>532</v>
      </c>
      <c r="D10" s="518">
        <v>100</v>
      </c>
      <c r="E10" s="523" t="s">
        <v>3005</v>
      </c>
      <c r="F10" s="520">
        <f>SUMIF(75:75,E10,76:76)-SUMIF(75:75,C10,76:76)+100</f>
        <v>100</v>
      </c>
      <c r="G10" s="523" t="s">
        <v>3005</v>
      </c>
      <c r="H10" s="518">
        <f>SUMIF(75:75,G10,76:76)-SUMIF(75:75,C10,76:76)+100</f>
        <v>100</v>
      </c>
      <c r="I10" s="523" t="s">
        <v>3005</v>
      </c>
      <c r="J10" s="518">
        <f>SUMIF(75:75,I10,76:76)-SUMIF(75:75,C10,76:76)+100</f>
        <v>100</v>
      </c>
      <c r="K10" s="522"/>
      <c r="L10" s="2117"/>
      <c r="M10" s="2114"/>
      <c r="N10" s="2114"/>
      <c r="O10" s="2118"/>
      <c r="P10" s="3400" t="s">
        <v>533</v>
      </c>
      <c r="Q10" s="3401"/>
      <c r="R10" s="1551" t="s">
        <v>8</v>
      </c>
      <c r="S10" s="1552">
        <f t="shared" si="0"/>
        <v>100</v>
      </c>
      <c r="T10" s="1551" t="s">
        <v>8</v>
      </c>
      <c r="U10" s="1552">
        <f t="shared" si="1"/>
        <v>100</v>
      </c>
      <c r="V10" s="1551" t="s">
        <v>8</v>
      </c>
      <c r="W10" s="1552">
        <f t="shared" si="2"/>
        <v>100</v>
      </c>
      <c r="X10" s="1553"/>
      <c r="Y10" s="3400" t="s">
        <v>533</v>
      </c>
      <c r="Z10" s="3401"/>
      <c r="AA10" s="1554">
        <f t="shared" ref="AA10:AA47" si="3">D10/F10</f>
        <v>1</v>
      </c>
      <c r="AB10" s="1554">
        <f t="shared" ref="AB10:AB47" si="4">D10/H10</f>
        <v>1</v>
      </c>
      <c r="AC10" s="1554">
        <f t="shared" ref="AC10:AC47" si="5">D10/J10</f>
        <v>1</v>
      </c>
    </row>
    <row r="11" spans="1:30" s="1214" customFormat="1" ht="20.25">
      <c r="A11" s="2866"/>
      <c r="B11" s="2873" t="s">
        <v>2753</v>
      </c>
      <c r="C11" s="2860" t="s">
        <v>922</v>
      </c>
      <c r="D11" s="252">
        <v>100</v>
      </c>
      <c r="E11" s="3185" t="s">
        <v>3017</v>
      </c>
      <c r="F11" s="252">
        <f>SUMIF(77:77,E11,78:78)-SUMIF(77:77,C11,78:78)+100</f>
        <v>90</v>
      </c>
      <c r="G11" s="524" t="s">
        <v>922</v>
      </c>
      <c r="H11" s="252">
        <f>SUMIF(77:77,G11,78:78)-SUMIF(77:77,C11,78:78)+100</f>
        <v>100</v>
      </c>
      <c r="I11" s="524" t="s">
        <v>922</v>
      </c>
      <c r="J11" s="252">
        <f>SUMIF(77:77,I11,78:78)-SUMIF(77:77,C11,78:78)+100</f>
        <v>100</v>
      </c>
      <c r="K11" s="522"/>
      <c r="L11" s="2117"/>
      <c r="M11" s="2114"/>
      <c r="N11" s="2114"/>
      <c r="O11" s="2119"/>
      <c r="P11" s="3366" t="s">
        <v>535</v>
      </c>
      <c r="Q11" s="1145" t="str">
        <f t="shared" ref="Q11:Q17" si="6">B11</f>
        <v>用途</v>
      </c>
      <c r="R11" s="1551" t="s">
        <v>8</v>
      </c>
      <c r="S11" s="1552">
        <f t="shared" si="0"/>
        <v>90</v>
      </c>
      <c r="T11" s="1551" t="s">
        <v>8</v>
      </c>
      <c r="U11" s="1552">
        <f t="shared" si="1"/>
        <v>100</v>
      </c>
      <c r="V11" s="1551" t="s">
        <v>8</v>
      </c>
      <c r="W11" s="1552">
        <f t="shared" si="2"/>
        <v>100</v>
      </c>
      <c r="X11" s="1553"/>
      <c r="Y11" s="3312" t="s">
        <v>536</v>
      </c>
      <c r="Z11" s="1144" t="str">
        <f t="shared" ref="Z11:Z17" si="7">Q11</f>
        <v>用途</v>
      </c>
      <c r="AA11" s="1554">
        <f t="shared" si="3"/>
        <v>1.1111111111111112</v>
      </c>
      <c r="AB11" s="1554">
        <f t="shared" si="4"/>
        <v>1</v>
      </c>
      <c r="AC11" s="1554">
        <f t="shared" si="5"/>
        <v>1</v>
      </c>
    </row>
    <row r="12" spans="1:30" s="1332" customFormat="1" ht="27">
      <c r="A12" s="2867"/>
      <c r="B12" s="2872" t="s">
        <v>2754</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366"/>
      <c r="Q12" s="1145" t="str">
        <f t="shared" si="6"/>
        <v>土地使用年限（年）</v>
      </c>
      <c r="R12" s="1551" t="s">
        <v>8</v>
      </c>
      <c r="S12" s="1552">
        <f t="shared" si="0"/>
        <v>108</v>
      </c>
      <c r="T12" s="1551" t="s">
        <v>8</v>
      </c>
      <c r="U12" s="1552">
        <f t="shared" si="1"/>
        <v>108</v>
      </c>
      <c r="V12" s="1551" t="s">
        <v>8</v>
      </c>
      <c r="W12" s="1552">
        <f t="shared" si="2"/>
        <v>108</v>
      </c>
      <c r="X12" s="1553"/>
      <c r="Y12" s="3312"/>
      <c r="Z12" s="1144" t="str">
        <f t="shared" si="7"/>
        <v>土地使用年限（年）</v>
      </c>
      <c r="AA12" s="1554">
        <f t="shared" si="3"/>
        <v>0.92592592592592593</v>
      </c>
      <c r="AB12" s="1554">
        <f t="shared" si="4"/>
        <v>0.92592592592592593</v>
      </c>
      <c r="AC12" s="1554">
        <f t="shared" si="5"/>
        <v>0.92592592592592593</v>
      </c>
    </row>
    <row r="13" spans="1:30" ht="20.25">
      <c r="A13" s="2868"/>
      <c r="B13" s="2872" t="s">
        <v>2755</v>
      </c>
      <c r="C13" s="532">
        <v>2</v>
      </c>
      <c r="D13" s="253">
        <v>100</v>
      </c>
      <c r="E13" s="531">
        <v>1.6</v>
      </c>
      <c r="F13" s="253">
        <f>LOOKUP(E13,82:82,83:83)-LOOKUP(C13,82:82,83:83)+100</f>
        <v>105</v>
      </c>
      <c r="G13" s="532">
        <v>2</v>
      </c>
      <c r="H13" s="253">
        <f>LOOKUP(G13,82:82,83:83)-LOOKUP(C13,82:82,83:83)+100</f>
        <v>100</v>
      </c>
      <c r="I13" s="531">
        <v>2.5</v>
      </c>
      <c r="J13" s="253">
        <f>LOOKUP(I13,82:82,83:83)-LOOKUP(C13,82:82,83:83)+100</f>
        <v>95</v>
      </c>
      <c r="K13" s="533">
        <v>5</v>
      </c>
      <c r="L13" s="2122"/>
      <c r="M13" s="2114"/>
      <c r="N13" s="2114"/>
      <c r="O13" s="2123"/>
      <c r="P13" s="3366"/>
      <c r="Q13" s="1145" t="str">
        <f t="shared" si="6"/>
        <v>容积率</v>
      </c>
      <c r="R13" s="1551" t="s">
        <v>8</v>
      </c>
      <c r="S13" s="1552">
        <f t="shared" si="0"/>
        <v>105</v>
      </c>
      <c r="T13" s="1551" t="s">
        <v>8</v>
      </c>
      <c r="U13" s="1552">
        <f t="shared" si="1"/>
        <v>100</v>
      </c>
      <c r="V13" s="1551" t="s">
        <v>8</v>
      </c>
      <c r="W13" s="1552">
        <f t="shared" si="2"/>
        <v>95</v>
      </c>
      <c r="X13" s="1553"/>
      <c r="Y13" s="3312"/>
      <c r="Z13" s="1144" t="str">
        <f t="shared" si="7"/>
        <v>容积率</v>
      </c>
      <c r="AA13" s="1554">
        <f t="shared" si="3"/>
        <v>0.95238095238095233</v>
      </c>
      <c r="AB13" s="1554">
        <f t="shared" si="4"/>
        <v>1</v>
      </c>
      <c r="AC13" s="1554">
        <f t="shared" si="5"/>
        <v>1.0526315789473684</v>
      </c>
    </row>
    <row r="14" spans="1:30" s="1214" customFormat="1" ht="20.25">
      <c r="A14" s="2865"/>
      <c r="B14" s="2874" t="s">
        <v>2756</v>
      </c>
      <c r="C14" s="2861" t="s">
        <v>3019</v>
      </c>
      <c r="D14" s="536">
        <v>100</v>
      </c>
      <c r="E14" s="1367" t="s">
        <v>3006</v>
      </c>
      <c r="F14" s="253">
        <f>SUMIF(84:84,E14,85:85)-SUMIF(84:84,C14,85:85)+100</f>
        <v>95</v>
      </c>
      <c r="G14" s="528" t="s">
        <v>2993</v>
      </c>
      <c r="H14" s="253">
        <f>SUMIF(84:84,G14,85:85)-SUMIF(84:84,C14,85:85)+100</f>
        <v>100</v>
      </c>
      <c r="I14" s="527" t="s">
        <v>2993</v>
      </c>
      <c r="J14" s="253">
        <f>SUMIF(84:84,I14,85:85)-SUMIF(84:84,C14,85:85)+100</f>
        <v>100</v>
      </c>
      <c r="K14" s="529"/>
      <c r="L14" s="2117"/>
      <c r="M14" s="2114"/>
      <c r="N14" s="2114"/>
      <c r="O14" s="2119"/>
      <c r="P14" s="3366"/>
      <c r="Q14" s="1145" t="str">
        <f t="shared" si="6"/>
        <v>配建</v>
      </c>
      <c r="R14" s="1551" t="s">
        <v>8</v>
      </c>
      <c r="S14" s="1552">
        <f t="shared" si="0"/>
        <v>95</v>
      </c>
      <c r="T14" s="1551" t="s">
        <v>8</v>
      </c>
      <c r="U14" s="1552">
        <f t="shared" si="1"/>
        <v>100</v>
      </c>
      <c r="V14" s="1551" t="s">
        <v>8</v>
      </c>
      <c r="W14" s="1552">
        <f t="shared" si="2"/>
        <v>100</v>
      </c>
      <c r="X14" s="1553"/>
      <c r="Y14" s="3312"/>
      <c r="Z14" s="1144" t="str">
        <f t="shared" si="7"/>
        <v>配建</v>
      </c>
      <c r="AA14" s="1554">
        <f>D14/F14</f>
        <v>1.0526315789473684</v>
      </c>
      <c r="AB14" s="1554">
        <f>D14/H14</f>
        <v>1</v>
      </c>
      <c r="AC14" s="1554">
        <f>D14/J14</f>
        <v>1</v>
      </c>
    </row>
    <row r="15" spans="1:30" ht="21" thickBot="1">
      <c r="A15" s="2869"/>
      <c r="B15" s="3188" t="s">
        <v>3106</v>
      </c>
      <c r="C15" s="3187" t="s">
        <v>2993</v>
      </c>
      <c r="D15" s="538">
        <v>100</v>
      </c>
      <c r="E15" s="539" t="s">
        <v>3007</v>
      </c>
      <c r="F15" s="253">
        <f>SUMIF(86:86,E15,87:87)-SUMIF(86:86,C15,87:87)+100</f>
        <v>95</v>
      </c>
      <c r="G15" s="540" t="s">
        <v>3013</v>
      </c>
      <c r="H15" s="538">
        <f>SUMIF(86:86,G15,87:87)-SUMIF(86:86,C15,87:87)+100</f>
        <v>95</v>
      </c>
      <c r="I15" s="540" t="s">
        <v>3015</v>
      </c>
      <c r="J15" s="538">
        <f>SUMIF(86:86,I15,87:87)-SUMIF(86:86,C15,87:87)+100</f>
        <v>95</v>
      </c>
      <c r="K15" s="529"/>
      <c r="L15" s="2124"/>
      <c r="M15" s="2114"/>
      <c r="N15" s="2114"/>
      <c r="O15" s="2123"/>
      <c r="P15" s="3366"/>
      <c r="Q15" s="1145" t="str">
        <f t="shared" si="6"/>
        <v>限价</v>
      </c>
      <c r="R15" s="1551" t="s">
        <v>8</v>
      </c>
      <c r="S15" s="1552">
        <f t="shared" si="0"/>
        <v>95</v>
      </c>
      <c r="T15" s="1551" t="s">
        <v>8</v>
      </c>
      <c r="U15" s="1552">
        <f t="shared" si="1"/>
        <v>95</v>
      </c>
      <c r="V15" s="1551" t="s">
        <v>8</v>
      </c>
      <c r="W15" s="1552">
        <f t="shared" si="2"/>
        <v>95</v>
      </c>
      <c r="X15" s="1553"/>
      <c r="Y15" s="3312"/>
      <c r="Z15" s="1144" t="str">
        <f t="shared" si="7"/>
        <v>限价</v>
      </c>
      <c r="AA15" s="1554">
        <f>D15/F15</f>
        <v>1.0526315789473684</v>
      </c>
      <c r="AB15" s="1554">
        <f>D15/H15</f>
        <v>1.0526315789473684</v>
      </c>
      <c r="AC15" s="1554">
        <f>D15/J15</f>
        <v>1.0526315789473684</v>
      </c>
    </row>
    <row r="16" spans="1:30" ht="21" hidden="1" thickBot="1">
      <c r="A16" s="2870"/>
      <c r="B16" s="2876"/>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66"/>
      <c r="Q16" s="1145">
        <f t="shared" si="6"/>
        <v>0</v>
      </c>
      <c r="R16" s="1551" t="s">
        <v>8</v>
      </c>
      <c r="S16" s="1552">
        <f t="shared" si="0"/>
        <v>100</v>
      </c>
      <c r="T16" s="1551" t="s">
        <v>8</v>
      </c>
      <c r="U16" s="1552">
        <f t="shared" si="1"/>
        <v>100</v>
      </c>
      <c r="V16" s="1551" t="s">
        <v>8</v>
      </c>
      <c r="W16" s="1552">
        <f t="shared" si="2"/>
        <v>100</v>
      </c>
      <c r="X16" s="1553"/>
      <c r="Y16" s="3312"/>
      <c r="Z16" s="1144">
        <f t="shared" si="7"/>
        <v>0</v>
      </c>
      <c r="AA16" s="1554">
        <f>D16/F16</f>
        <v>1</v>
      </c>
      <c r="AB16" s="1554">
        <f>D16/H16</f>
        <v>1</v>
      </c>
      <c r="AC16" s="1554">
        <f>D16/J16</f>
        <v>1</v>
      </c>
    </row>
    <row r="17" spans="1:29" ht="20.25">
      <c r="A17" s="2862" t="s">
        <v>2751</v>
      </c>
      <c r="B17" s="576" t="s">
        <v>295</v>
      </c>
      <c r="C17" s="546">
        <f>估价对象房地状况!C15</f>
        <v>0</v>
      </c>
      <c r="D17" s="549">
        <v>100</v>
      </c>
      <c r="E17" s="550"/>
      <c r="F17" s="547">
        <f>SUMIF(90:90,E18,91:91)-SUMIF(90:90,C18,91:91)+100</f>
        <v>100</v>
      </c>
      <c r="G17" s="548"/>
      <c r="H17" s="547">
        <f>SUMIF(90:90,G18,91:91)-SUMIF(90:90,C18,91:91)+100</f>
        <v>96</v>
      </c>
      <c r="I17" s="550"/>
      <c r="J17" s="547">
        <f>SUMIF(90:90,I18,91:91)-SUMIF(90:90,C18,91:91)+100</f>
        <v>96</v>
      </c>
      <c r="K17" s="533">
        <v>4</v>
      </c>
      <c r="L17" s="2124"/>
      <c r="M17" s="2114"/>
      <c r="N17" s="2114"/>
      <c r="O17" s="2123"/>
      <c r="P17" s="3403" t="s">
        <v>540</v>
      </c>
      <c r="Q17" s="1555" t="str">
        <f t="shared" si="6"/>
        <v>居住社区成熟度</v>
      </c>
      <c r="R17" s="1556" t="s">
        <v>8</v>
      </c>
      <c r="S17" s="1557">
        <f t="shared" si="0"/>
        <v>100</v>
      </c>
      <c r="T17" s="1556" t="s">
        <v>8</v>
      </c>
      <c r="U17" s="1557">
        <f t="shared" si="1"/>
        <v>96</v>
      </c>
      <c r="V17" s="1556" t="s">
        <v>8</v>
      </c>
      <c r="W17" s="1557">
        <f t="shared" si="2"/>
        <v>96</v>
      </c>
      <c r="X17" s="1550"/>
      <c r="Y17" s="3403" t="s">
        <v>540</v>
      </c>
      <c r="Z17" s="1558" t="str">
        <f t="shared" si="7"/>
        <v>居住社区成熟度</v>
      </c>
      <c r="AA17" s="1559">
        <f t="shared" si="3"/>
        <v>1</v>
      </c>
      <c r="AB17" s="1559">
        <f t="shared" si="4"/>
        <v>1.0416666666666667</v>
      </c>
      <c r="AC17" s="1559">
        <f t="shared" si="5"/>
        <v>1.0416666666666667</v>
      </c>
    </row>
    <row r="18" spans="1:29" ht="20.25">
      <c r="A18" s="530"/>
      <c r="B18" s="551"/>
      <c r="C18" s="552" t="s">
        <v>3009</v>
      </c>
      <c r="D18" s="555"/>
      <c r="E18" s="556" t="s">
        <v>3009</v>
      </c>
      <c r="F18" s="553"/>
      <c r="G18" s="554" t="s">
        <v>3008</v>
      </c>
      <c r="H18" s="557"/>
      <c r="I18" s="556" t="s">
        <v>3008</v>
      </c>
      <c r="J18" s="553"/>
      <c r="K18" s="529"/>
      <c r="L18" s="2124"/>
      <c r="M18" s="2114"/>
      <c r="N18" s="2114"/>
      <c r="O18" s="2123"/>
      <c r="P18" s="3404"/>
      <c r="Q18" s="1555"/>
      <c r="R18" s="1556"/>
      <c r="S18" s="1557"/>
      <c r="T18" s="1556"/>
      <c r="U18" s="1557"/>
      <c r="V18" s="1556"/>
      <c r="W18" s="1557"/>
      <c r="X18" s="1550"/>
      <c r="Y18" s="3404"/>
      <c r="Z18" s="1558"/>
      <c r="AA18" s="1559">
        <v>1</v>
      </c>
      <c r="AB18" s="1559">
        <v>1</v>
      </c>
      <c r="AC18" s="1559">
        <v>1</v>
      </c>
    </row>
    <row r="19" spans="1:29" ht="20.25">
      <c r="A19" s="530"/>
      <c r="B19" s="558" t="s">
        <v>541</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2</v>
      </c>
      <c r="L19" s="2124"/>
      <c r="M19" s="2114"/>
      <c r="N19" s="2114"/>
      <c r="O19" s="2123"/>
      <c r="P19" s="3404"/>
      <c r="Q19" s="1555" t="str">
        <f>B19</f>
        <v>商业繁华度</v>
      </c>
      <c r="R19" s="1556" t="s">
        <v>8</v>
      </c>
      <c r="S19" s="1557">
        <f>F19</f>
        <v>100</v>
      </c>
      <c r="T19" s="1556" t="s">
        <v>8</v>
      </c>
      <c r="U19" s="1557">
        <f>H19</f>
        <v>100</v>
      </c>
      <c r="V19" s="1556" t="s">
        <v>8</v>
      </c>
      <c r="W19" s="1557">
        <f>J19</f>
        <v>100</v>
      </c>
      <c r="X19" s="1550"/>
      <c r="Y19" s="3404"/>
      <c r="Z19" s="1558" t="str">
        <f>Q19</f>
        <v>商业繁华度</v>
      </c>
      <c r="AA19" s="1559">
        <f t="shared" si="3"/>
        <v>1</v>
      </c>
      <c r="AB19" s="1559">
        <f t="shared" si="4"/>
        <v>1</v>
      </c>
      <c r="AC19" s="1559">
        <f t="shared" si="5"/>
        <v>1</v>
      </c>
    </row>
    <row r="20" spans="1:29" ht="20.25">
      <c r="A20" s="530"/>
      <c r="B20" s="564"/>
      <c r="C20" s="565" t="s">
        <v>3008</v>
      </c>
      <c r="D20" s="561"/>
      <c r="E20" s="567" t="s">
        <v>3008</v>
      </c>
      <c r="F20" s="557"/>
      <c r="G20" s="566" t="s">
        <v>3008</v>
      </c>
      <c r="H20" s="553"/>
      <c r="I20" s="567" t="s">
        <v>3008</v>
      </c>
      <c r="J20" s="553"/>
      <c r="K20" s="529"/>
      <c r="L20" s="2124"/>
      <c r="M20" s="2114"/>
      <c r="N20" s="2114"/>
      <c r="O20" s="2123"/>
      <c r="P20" s="3404"/>
      <c r="Q20" s="1555"/>
      <c r="R20" s="1556"/>
      <c r="S20" s="1557"/>
      <c r="T20" s="1556"/>
      <c r="U20" s="1557"/>
      <c r="V20" s="1556"/>
      <c r="W20" s="1557"/>
      <c r="X20" s="1550"/>
      <c r="Y20" s="3404"/>
      <c r="Z20" s="1558"/>
      <c r="AA20" s="1559">
        <v>1</v>
      </c>
      <c r="AB20" s="1559">
        <v>1</v>
      </c>
      <c r="AC20" s="1559">
        <v>1</v>
      </c>
    </row>
    <row r="21" spans="1:29" ht="20.25" hidden="1">
      <c r="A21" s="530"/>
      <c r="B21" s="558" t="s">
        <v>542</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c r="L21" s="2124"/>
      <c r="M21" s="2114"/>
      <c r="N21" s="2114"/>
      <c r="O21" s="2123"/>
      <c r="P21" s="3404"/>
      <c r="Q21" s="1555" t="str">
        <f>B21</f>
        <v>办公集聚程度</v>
      </c>
      <c r="R21" s="1556" t="s">
        <v>8</v>
      </c>
      <c r="S21" s="1557">
        <f>F21</f>
        <v>100</v>
      </c>
      <c r="T21" s="1556" t="s">
        <v>8</v>
      </c>
      <c r="U21" s="1557">
        <f>H21</f>
        <v>100</v>
      </c>
      <c r="V21" s="1556" t="s">
        <v>8</v>
      </c>
      <c r="W21" s="1557">
        <f>J21</f>
        <v>100</v>
      </c>
      <c r="X21" s="1550"/>
      <c r="Y21" s="3404"/>
      <c r="Z21" s="1558" t="str">
        <f>Q21</f>
        <v>办公集聚程度</v>
      </c>
      <c r="AA21" s="1559">
        <f t="shared" si="3"/>
        <v>1</v>
      </c>
      <c r="AB21" s="1559">
        <f t="shared" si="4"/>
        <v>1</v>
      </c>
      <c r="AC21" s="1559">
        <f t="shared" si="5"/>
        <v>1</v>
      </c>
    </row>
    <row r="22" spans="1:29" ht="20.25" hidden="1">
      <c r="A22" s="530"/>
      <c r="B22" s="564"/>
      <c r="C22" s="552" t="s">
        <v>3008</v>
      </c>
      <c r="D22" s="555"/>
      <c r="E22" s="556" t="s">
        <v>3008</v>
      </c>
      <c r="F22" s="553"/>
      <c r="G22" s="554" t="s">
        <v>3008</v>
      </c>
      <c r="H22" s="553"/>
      <c r="I22" s="556" t="s">
        <v>3008</v>
      </c>
      <c r="J22" s="553"/>
      <c r="K22" s="529"/>
      <c r="L22" s="2124"/>
      <c r="M22" s="2114"/>
      <c r="N22" s="2114"/>
      <c r="O22" s="2123"/>
      <c r="P22" s="3404"/>
      <c r="Q22" s="1555"/>
      <c r="R22" s="1556"/>
      <c r="S22" s="1557"/>
      <c r="T22" s="1556"/>
      <c r="U22" s="1557"/>
      <c r="V22" s="1556"/>
      <c r="W22" s="1557"/>
      <c r="X22" s="1550"/>
      <c r="Y22" s="3404"/>
      <c r="Z22" s="1558"/>
      <c r="AA22" s="1559">
        <v>1</v>
      </c>
      <c r="AB22" s="1559">
        <v>1</v>
      </c>
      <c r="AC22" s="1559">
        <v>1</v>
      </c>
    </row>
    <row r="23" spans="1:29" ht="20.25">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04"/>
      <c r="Q23" s="1555" t="str">
        <f>B23</f>
        <v>交通便捷度</v>
      </c>
      <c r="R23" s="1556" t="s">
        <v>8</v>
      </c>
      <c r="S23" s="1557">
        <f>F23</f>
        <v>100</v>
      </c>
      <c r="T23" s="1556" t="s">
        <v>8</v>
      </c>
      <c r="U23" s="1557">
        <f>H23</f>
        <v>100</v>
      </c>
      <c r="V23" s="1556" t="s">
        <v>8</v>
      </c>
      <c r="W23" s="1557">
        <f>J23</f>
        <v>100</v>
      </c>
      <c r="X23" s="1550"/>
      <c r="Y23" s="3404"/>
      <c r="Z23" s="1558" t="str">
        <f>Q23</f>
        <v>交通便捷度</v>
      </c>
      <c r="AA23" s="1559">
        <f t="shared" si="3"/>
        <v>1</v>
      </c>
      <c r="AB23" s="1559">
        <f t="shared" si="4"/>
        <v>1</v>
      </c>
      <c r="AC23" s="1559">
        <f t="shared" si="5"/>
        <v>1</v>
      </c>
    </row>
    <row r="24" spans="1:29" ht="20.25">
      <c r="A24" s="530"/>
      <c r="B24" s="576"/>
      <c r="C24" s="552" t="s">
        <v>3008</v>
      </c>
      <c r="D24" s="555"/>
      <c r="E24" s="556" t="s">
        <v>3008</v>
      </c>
      <c r="F24" s="553"/>
      <c r="G24" s="554" t="s">
        <v>3008</v>
      </c>
      <c r="H24" s="553"/>
      <c r="I24" s="556" t="s">
        <v>3008</v>
      </c>
      <c r="J24" s="553"/>
      <c r="K24" s="529"/>
      <c r="L24" s="2124"/>
      <c r="M24" s="2114"/>
      <c r="N24" s="2114"/>
      <c r="O24" s="2123"/>
      <c r="P24" s="3404"/>
      <c r="Q24" s="1555"/>
      <c r="R24" s="1556"/>
      <c r="S24" s="1557"/>
      <c r="T24" s="1556"/>
      <c r="U24" s="1557"/>
      <c r="V24" s="1556"/>
      <c r="W24" s="1557"/>
      <c r="X24" s="1550"/>
      <c r="Y24" s="3404"/>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24"/>
      <c r="M25" s="2114"/>
      <c r="N25" s="2114"/>
      <c r="O25" s="2123"/>
      <c r="P25" s="3404"/>
      <c r="Q25" s="1555" t="str">
        <f t="shared" ref="Q25:Q39" si="8">B25</f>
        <v>区域土地利用方向</v>
      </c>
      <c r="R25" s="1556" t="s">
        <v>8</v>
      </c>
      <c r="S25" s="1557">
        <f>F25</f>
        <v>100</v>
      </c>
      <c r="T25" s="1556" t="s">
        <v>8</v>
      </c>
      <c r="U25" s="1557">
        <f>H25</f>
        <v>100</v>
      </c>
      <c r="V25" s="1556" t="s">
        <v>8</v>
      </c>
      <c r="W25" s="1557">
        <f>J25</f>
        <v>100</v>
      </c>
      <c r="X25" s="1550"/>
      <c r="Y25" s="3404"/>
      <c r="Z25" s="1558" t="str">
        <f>Q25</f>
        <v>区域土地利用方向</v>
      </c>
      <c r="AA25" s="1559">
        <f t="shared" si="3"/>
        <v>1</v>
      </c>
      <c r="AB25" s="1559">
        <f t="shared" si="4"/>
        <v>1</v>
      </c>
      <c r="AC25" s="1559">
        <f t="shared" si="5"/>
        <v>1</v>
      </c>
    </row>
    <row r="26" spans="1:29" ht="20.25">
      <c r="A26" s="513"/>
      <c r="B26" s="1005"/>
      <c r="C26" s="552" t="s">
        <v>3009</v>
      </c>
      <c r="D26" s="555"/>
      <c r="E26" s="556" t="s">
        <v>3009</v>
      </c>
      <c r="F26" s="553"/>
      <c r="G26" s="554" t="s">
        <v>3009</v>
      </c>
      <c r="H26" s="553"/>
      <c r="I26" s="556" t="s">
        <v>3009</v>
      </c>
      <c r="J26" s="553"/>
      <c r="K26" s="529"/>
      <c r="L26" s="2124"/>
      <c r="M26" s="2114"/>
      <c r="N26" s="2114"/>
      <c r="O26" s="2123"/>
      <c r="P26" s="3404"/>
      <c r="Q26" s="1555"/>
      <c r="R26" s="1556"/>
      <c r="S26" s="1557"/>
      <c r="T26" s="1556"/>
      <c r="U26" s="1557"/>
      <c r="V26" s="1556"/>
      <c r="W26" s="1557"/>
      <c r="X26" s="1550"/>
      <c r="Y26" s="3404"/>
      <c r="Z26" s="1558"/>
      <c r="AA26" s="1559"/>
      <c r="AB26" s="1559"/>
      <c r="AC26" s="1559"/>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404"/>
      <c r="Q27" s="1555" t="str">
        <f t="shared" si="8"/>
        <v>自然及人文环境状况</v>
      </c>
      <c r="R27" s="1556" t="s">
        <v>8</v>
      </c>
      <c r="S27" s="1557">
        <f>F27</f>
        <v>100</v>
      </c>
      <c r="T27" s="1556" t="s">
        <v>8</v>
      </c>
      <c r="U27" s="1557">
        <f>H27</f>
        <v>100</v>
      </c>
      <c r="V27" s="1556" t="s">
        <v>8</v>
      </c>
      <c r="W27" s="1557">
        <f>J27</f>
        <v>100</v>
      </c>
      <c r="X27" s="1550"/>
      <c r="Y27" s="3404"/>
      <c r="Z27" s="1558" t="str">
        <f>Q27</f>
        <v>自然及人文环境状况</v>
      </c>
      <c r="AA27" s="1559">
        <f t="shared" si="3"/>
        <v>1</v>
      </c>
      <c r="AB27" s="1559">
        <f t="shared" si="4"/>
        <v>1</v>
      </c>
      <c r="AC27" s="1559">
        <f t="shared" si="5"/>
        <v>1</v>
      </c>
    </row>
    <row r="28" spans="1:29" ht="20.25">
      <c r="A28" s="513"/>
      <c r="B28" s="564"/>
      <c r="C28" s="552" t="s">
        <v>3008</v>
      </c>
      <c r="D28" s="555"/>
      <c r="E28" s="574" t="s">
        <v>3008</v>
      </c>
      <c r="F28" s="553"/>
      <c r="G28" s="552" t="s">
        <v>3008</v>
      </c>
      <c r="H28" s="553"/>
      <c r="I28" s="574" t="s">
        <v>3008</v>
      </c>
      <c r="J28" s="553"/>
      <c r="K28" s="529"/>
      <c r="L28" s="2124"/>
      <c r="M28" s="2114"/>
      <c r="N28" s="2114"/>
      <c r="O28" s="2123"/>
      <c r="P28" s="3404"/>
      <c r="Q28" s="1555"/>
      <c r="R28" s="1556"/>
      <c r="S28" s="1557"/>
      <c r="T28" s="1556"/>
      <c r="U28" s="1557"/>
      <c r="V28" s="1556"/>
      <c r="W28" s="1557"/>
      <c r="X28" s="1550"/>
      <c r="Y28" s="3404"/>
      <c r="Z28" s="1558"/>
      <c r="AA28" s="1559">
        <v>1</v>
      </c>
      <c r="AB28" s="1559">
        <v>1</v>
      </c>
      <c r="AC28" s="1559">
        <v>1</v>
      </c>
    </row>
    <row r="29" spans="1:29" s="1214" customFormat="1" ht="20.25">
      <c r="A29" s="575"/>
      <c r="B29" s="2552" t="s">
        <v>2545</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96</v>
      </c>
      <c r="K29" s="533">
        <v>4</v>
      </c>
      <c r="L29" s="2117"/>
      <c r="M29" s="2114"/>
      <c r="N29" s="2114"/>
      <c r="O29" s="2119"/>
      <c r="P29" s="3404"/>
      <c r="Q29" s="1145" t="str">
        <f t="shared" si="8"/>
        <v>公共配套设施</v>
      </c>
      <c r="R29" s="1551" t="s">
        <v>8</v>
      </c>
      <c r="S29" s="1552">
        <f>F29</f>
        <v>100</v>
      </c>
      <c r="T29" s="1551" t="s">
        <v>8</v>
      </c>
      <c r="U29" s="1552">
        <f>H29</f>
        <v>100</v>
      </c>
      <c r="V29" s="1551" t="s">
        <v>8</v>
      </c>
      <c r="W29" s="1552">
        <f>J29</f>
        <v>96</v>
      </c>
      <c r="X29" s="1553"/>
      <c r="Y29" s="3404"/>
      <c r="Z29" s="1144" t="str">
        <f>Q29</f>
        <v>公共配套设施</v>
      </c>
      <c r="AA29" s="1559">
        <f>D29/F29</f>
        <v>1</v>
      </c>
      <c r="AB29" s="1559">
        <f>D29/H29</f>
        <v>1</v>
      </c>
      <c r="AC29" s="1559">
        <f>D29/J29</f>
        <v>1.0416666666666667</v>
      </c>
    </row>
    <row r="30" spans="1:29" s="1214" customFormat="1" ht="20.25">
      <c r="A30" s="575"/>
      <c r="B30" s="564"/>
      <c r="C30" s="577" t="s">
        <v>3009</v>
      </c>
      <c r="D30" s="555"/>
      <c r="E30" s="574" t="s">
        <v>3009</v>
      </c>
      <c r="F30" s="553"/>
      <c r="G30" s="552" t="s">
        <v>3009</v>
      </c>
      <c r="H30" s="553"/>
      <c r="I30" s="574" t="s">
        <v>3008</v>
      </c>
      <c r="J30" s="553"/>
      <c r="K30" s="529"/>
      <c r="L30" s="2117"/>
      <c r="M30" s="2114"/>
      <c r="N30" s="2114"/>
      <c r="O30" s="2119"/>
      <c r="P30" s="3404"/>
      <c r="Q30" s="1145"/>
      <c r="R30" s="1551"/>
      <c r="S30" s="1552"/>
      <c r="T30" s="1551"/>
      <c r="U30" s="1552"/>
      <c r="V30" s="1551"/>
      <c r="W30" s="1552"/>
      <c r="X30" s="1553"/>
      <c r="Y30" s="3404"/>
      <c r="Z30" s="1144"/>
      <c r="AA30" s="1559">
        <v>1</v>
      </c>
      <c r="AB30" s="1559">
        <v>1</v>
      </c>
      <c r="AC30" s="1559">
        <v>1</v>
      </c>
    </row>
    <row r="31" spans="1:29" s="1214" customFormat="1" ht="20.25">
      <c r="A31" s="575"/>
      <c r="B31" s="2552" t="s">
        <v>2546</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04"/>
      <c r="Q31" s="2539" t="str">
        <f t="shared" ref="Q31" si="9">B31</f>
        <v>基础设施水平</v>
      </c>
      <c r="R31" s="1551" t="s">
        <v>8</v>
      </c>
      <c r="S31" s="1552">
        <f>F31</f>
        <v>100</v>
      </c>
      <c r="T31" s="1551" t="s">
        <v>8</v>
      </c>
      <c r="U31" s="1552">
        <f>H31</f>
        <v>100</v>
      </c>
      <c r="V31" s="1551" t="s">
        <v>8</v>
      </c>
      <c r="W31" s="1552">
        <f>J31</f>
        <v>100</v>
      </c>
      <c r="X31" s="1553"/>
      <c r="Y31" s="3404"/>
      <c r="Z31" s="2536" t="str">
        <f>Q31</f>
        <v>基础设施水平</v>
      </c>
      <c r="AA31" s="1559">
        <f>D31/F31</f>
        <v>1</v>
      </c>
      <c r="AB31" s="1559">
        <f>D31/H31</f>
        <v>1</v>
      </c>
      <c r="AC31" s="1559">
        <f>D31/J31</f>
        <v>1</v>
      </c>
    </row>
    <row r="32" spans="1:29" s="1214" customFormat="1" ht="21" thickBot="1">
      <c r="A32" s="575"/>
      <c r="B32" s="564"/>
      <c r="C32" s="577" t="s">
        <v>3010</v>
      </c>
      <c r="D32" s="555"/>
      <c r="E32" s="2553" t="s">
        <v>3010</v>
      </c>
      <c r="F32" s="553"/>
      <c r="G32" s="577" t="s">
        <v>3010</v>
      </c>
      <c r="H32" s="553"/>
      <c r="I32" s="577" t="s">
        <v>3010</v>
      </c>
      <c r="J32" s="553"/>
      <c r="K32" s="529"/>
      <c r="L32" s="2117"/>
      <c r="M32" s="2114"/>
      <c r="N32" s="2114"/>
      <c r="O32" s="2119"/>
      <c r="P32" s="3404"/>
      <c r="Q32" s="2539"/>
      <c r="R32" s="1551"/>
      <c r="S32" s="1552"/>
      <c r="T32" s="1551"/>
      <c r="U32" s="1552"/>
      <c r="V32" s="1551"/>
      <c r="W32" s="1552"/>
      <c r="X32" s="1553"/>
      <c r="Y32" s="3404"/>
      <c r="Z32" s="2536"/>
      <c r="AA32" s="1559">
        <v>1</v>
      </c>
      <c r="AB32" s="1559">
        <v>1</v>
      </c>
      <c r="AC32" s="1559">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04"/>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4"/>
      <c r="Z33" s="1558" t="str">
        <f t="shared" ref="Z33:Z47" si="13">Q33</f>
        <v>临街状况</v>
      </c>
      <c r="AA33" s="1559">
        <f t="shared" si="3"/>
        <v>1</v>
      </c>
      <c r="AB33" s="1559">
        <f t="shared" si="4"/>
        <v>1</v>
      </c>
      <c r="AC33" s="1559">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24"/>
      <c r="M34" s="2114"/>
      <c r="N34" s="2114"/>
      <c r="O34" s="2123"/>
      <c r="P34" s="3404"/>
      <c r="Q34" s="1555" t="str">
        <f t="shared" si="8"/>
        <v>毗邻道路的类型与等级</v>
      </c>
      <c r="R34" s="1556" t="s">
        <v>8</v>
      </c>
      <c r="S34" s="1557">
        <f t="shared" si="10"/>
        <v>100</v>
      </c>
      <c r="T34" s="1556" t="s">
        <v>8</v>
      </c>
      <c r="U34" s="1557">
        <f t="shared" si="11"/>
        <v>100</v>
      </c>
      <c r="V34" s="1556" t="s">
        <v>8</v>
      </c>
      <c r="W34" s="1557">
        <f t="shared" si="12"/>
        <v>100</v>
      </c>
      <c r="X34" s="1550"/>
      <c r="Y34" s="3404"/>
      <c r="Z34" s="1558" t="str">
        <f t="shared" si="13"/>
        <v>毗邻道路的类型与等级</v>
      </c>
      <c r="AA34" s="1559">
        <f t="shared" si="3"/>
        <v>1</v>
      </c>
      <c r="AB34" s="1559">
        <f t="shared" si="4"/>
        <v>1</v>
      </c>
      <c r="AC34" s="1559">
        <f t="shared" si="5"/>
        <v>1</v>
      </c>
    </row>
    <row r="35" spans="1:29" ht="21" hidden="1" thickBot="1">
      <c r="A35" s="530"/>
      <c r="B35" s="564"/>
      <c r="C35" s="574"/>
      <c r="D35" s="555"/>
      <c r="E35" s="574"/>
      <c r="F35" s="553"/>
      <c r="G35" s="552"/>
      <c r="H35" s="553"/>
      <c r="I35" s="574"/>
      <c r="J35" s="553"/>
      <c r="K35" s="579"/>
      <c r="L35" s="2124"/>
      <c r="M35" s="2114"/>
      <c r="N35" s="2114"/>
      <c r="O35" s="2123"/>
      <c r="P35" s="3404"/>
      <c r="Q35" s="1555"/>
      <c r="R35" s="1556"/>
      <c r="S35" s="1557"/>
      <c r="T35" s="1556"/>
      <c r="U35" s="1557"/>
      <c r="V35" s="1556"/>
      <c r="W35" s="1557"/>
      <c r="X35" s="1550"/>
      <c r="Y35" s="3404"/>
      <c r="Z35" s="1558"/>
      <c r="AA35" s="1559">
        <v>1</v>
      </c>
      <c r="AB35" s="1559">
        <v>1</v>
      </c>
      <c r="AC35" s="1559">
        <v>1</v>
      </c>
    </row>
    <row r="36" spans="1:29" ht="20.25" hidden="1">
      <c r="A36" s="530"/>
      <c r="B36" s="580" t="s">
        <v>549</v>
      </c>
      <c r="C36" s="578"/>
      <c r="D36" s="573">
        <v>100</v>
      </c>
      <c r="E36" s="581" t="s">
        <v>951</v>
      </c>
      <c r="F36" s="538">
        <f>SUMIF(110:110,E36,111:111)-SUMIF(110:110,C36,111:111)+100</f>
        <v>100</v>
      </c>
      <c r="G36" s="578" t="s">
        <v>951</v>
      </c>
      <c r="H36" s="538">
        <f>SUMIF(110:110,G36,111:111)-SUMIF(110:110,C36,111:111)+100</f>
        <v>100</v>
      </c>
      <c r="I36" s="581" t="s">
        <v>951</v>
      </c>
      <c r="J36" s="538">
        <f>SUMIF(110:110,I36,111:111)-SUMIF(110:110,C36,111:111)+100</f>
        <v>100</v>
      </c>
      <c r="K36" s="582"/>
      <c r="L36" s="2124"/>
      <c r="M36" s="2114"/>
      <c r="N36" s="2114"/>
      <c r="O36" s="2123"/>
      <c r="P36" s="3404"/>
      <c r="Q36" s="1555" t="str">
        <f t="shared" si="8"/>
        <v>土地级别</v>
      </c>
      <c r="R36" s="1556" t="s">
        <v>8</v>
      </c>
      <c r="S36" s="1557">
        <f t="shared" si="10"/>
        <v>100</v>
      </c>
      <c r="T36" s="1556" t="s">
        <v>8</v>
      </c>
      <c r="U36" s="1557">
        <f t="shared" si="11"/>
        <v>100</v>
      </c>
      <c r="V36" s="1556" t="s">
        <v>8</v>
      </c>
      <c r="W36" s="1557">
        <f t="shared" si="12"/>
        <v>100</v>
      </c>
      <c r="X36" s="1550"/>
      <c r="Y36" s="3404"/>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04"/>
      <c r="Q37" s="1555">
        <f t="shared" si="8"/>
        <v>111</v>
      </c>
      <c r="R37" s="1556" t="s">
        <v>8</v>
      </c>
      <c r="S37" s="1557">
        <f t="shared" si="10"/>
        <v>100</v>
      </c>
      <c r="T37" s="1556" t="s">
        <v>8</v>
      </c>
      <c r="U37" s="1557">
        <f t="shared" si="11"/>
        <v>100</v>
      </c>
      <c r="V37" s="1556" t="s">
        <v>8</v>
      </c>
      <c r="W37" s="1557">
        <f t="shared" si="12"/>
        <v>100</v>
      </c>
      <c r="X37" s="1550"/>
      <c r="Y37" s="3404"/>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05" t="s">
        <v>550</v>
      </c>
      <c r="Q38" s="1555">
        <f t="shared" si="8"/>
        <v>111</v>
      </c>
      <c r="R38" s="1556" t="s">
        <v>8</v>
      </c>
      <c r="S38" s="1557">
        <f t="shared" si="10"/>
        <v>100</v>
      </c>
      <c r="T38" s="1556" t="s">
        <v>8</v>
      </c>
      <c r="U38" s="1557">
        <f t="shared" si="11"/>
        <v>100</v>
      </c>
      <c r="V38" s="1556" t="s">
        <v>8</v>
      </c>
      <c r="W38" s="1557">
        <f t="shared" si="12"/>
        <v>100</v>
      </c>
      <c r="X38" s="1550"/>
      <c r="Y38" s="3406" t="s">
        <v>550</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06"/>
      <c r="Q39" s="1555">
        <f t="shared" si="8"/>
        <v>111</v>
      </c>
      <c r="R39" s="1560" t="s">
        <v>8</v>
      </c>
      <c r="S39" s="1561">
        <f t="shared" si="10"/>
        <v>100</v>
      </c>
      <c r="T39" s="1560" t="s">
        <v>8</v>
      </c>
      <c r="U39" s="1561">
        <f t="shared" si="11"/>
        <v>100</v>
      </c>
      <c r="V39" s="1560" t="s">
        <v>8</v>
      </c>
      <c r="W39" s="1561">
        <f t="shared" si="12"/>
        <v>100</v>
      </c>
      <c r="X39" s="1562"/>
      <c r="Y39" s="3406"/>
      <c r="Z39" s="1563">
        <f t="shared" si="13"/>
        <v>111</v>
      </c>
      <c r="AA39" s="1559">
        <f t="shared" si="3"/>
        <v>1</v>
      </c>
      <c r="AB39" s="1559">
        <f t="shared" si="4"/>
        <v>1</v>
      </c>
      <c r="AC39" s="1559">
        <f t="shared" si="5"/>
        <v>1</v>
      </c>
    </row>
    <row r="40" spans="1:29" ht="20.25">
      <c r="A40" s="2859" t="s">
        <v>2752</v>
      </c>
      <c r="B40" s="593" t="s">
        <v>552</v>
      </c>
      <c r="C40" s="594">
        <f>'数据-汇总表'!D3</f>
        <v>34964.49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406"/>
      <c r="Q40" s="1555" t="str">
        <f>B40</f>
        <v>宗地面积</v>
      </c>
      <c r="R40" s="1556" t="s">
        <v>8</v>
      </c>
      <c r="S40" s="1557">
        <f t="shared" si="10"/>
        <v>100</v>
      </c>
      <c r="T40" s="1556" t="s">
        <v>8</v>
      </c>
      <c r="U40" s="1557">
        <f t="shared" si="11"/>
        <v>101</v>
      </c>
      <c r="V40" s="1556" t="s">
        <v>8</v>
      </c>
      <c r="W40" s="1557">
        <f t="shared" si="12"/>
        <v>100</v>
      </c>
      <c r="X40" s="1550"/>
      <c r="Y40" s="3406"/>
      <c r="Z40" s="1558" t="str">
        <f t="shared" si="13"/>
        <v>宗地面积</v>
      </c>
      <c r="AA40" s="1559">
        <f t="shared" si="3"/>
        <v>1</v>
      </c>
      <c r="AB40" s="1559">
        <f t="shared" si="4"/>
        <v>0.99009900990099009</v>
      </c>
      <c r="AC40" s="1559">
        <f t="shared" si="5"/>
        <v>1</v>
      </c>
    </row>
    <row r="41" spans="1:29" ht="20.25">
      <c r="A41" s="592"/>
      <c r="B41" s="525" t="s">
        <v>553</v>
      </c>
      <c r="C41" s="597" t="s">
        <v>3011</v>
      </c>
      <c r="D41" s="538">
        <v>100</v>
      </c>
      <c r="E41" s="597" t="s">
        <v>3011</v>
      </c>
      <c r="F41" s="538">
        <f>SUMIF(121:121,E41,122:122)-SUMIF(121:121,C41,122:122)+100</f>
        <v>100</v>
      </c>
      <c r="G41" s="597" t="s">
        <v>3011</v>
      </c>
      <c r="H41" s="538">
        <f>SUMIF(121:121,G41,122:122)-SUMIF(121:121,C41,122:122)+100</f>
        <v>100</v>
      </c>
      <c r="I41" s="597" t="s">
        <v>3011</v>
      </c>
      <c r="J41" s="538">
        <f>SUMIF(121:121,I41,122:122)-SUMIF(121:121,C41,122:122)+100</f>
        <v>100</v>
      </c>
      <c r="K41" s="582">
        <v>1</v>
      </c>
      <c r="L41" s="2124"/>
      <c r="M41" s="2114"/>
      <c r="N41" s="2114"/>
      <c r="O41" s="2123"/>
      <c r="P41" s="3406"/>
      <c r="Q41" s="1555" t="str">
        <f t="shared" ref="Q41:Q47" si="14">B41</f>
        <v>宗地形状</v>
      </c>
      <c r="R41" s="1556" t="s">
        <v>8</v>
      </c>
      <c r="S41" s="1557">
        <f t="shared" si="10"/>
        <v>100</v>
      </c>
      <c r="T41" s="1556" t="s">
        <v>8</v>
      </c>
      <c r="U41" s="1557">
        <f t="shared" si="11"/>
        <v>100</v>
      </c>
      <c r="V41" s="1556" t="s">
        <v>8</v>
      </c>
      <c r="W41" s="1557">
        <f t="shared" si="12"/>
        <v>100</v>
      </c>
      <c r="X41" s="1550"/>
      <c r="Y41" s="3406"/>
      <c r="Z41" s="1558" t="str">
        <f t="shared" si="13"/>
        <v>宗地形状</v>
      </c>
      <c r="AA41" s="1559">
        <f t="shared" si="3"/>
        <v>1</v>
      </c>
      <c r="AB41" s="1559">
        <f t="shared" si="4"/>
        <v>1</v>
      </c>
      <c r="AC41" s="1559">
        <f t="shared" si="5"/>
        <v>1</v>
      </c>
    </row>
    <row r="42" spans="1:29" ht="20.25">
      <c r="A42" s="592"/>
      <c r="B42" s="525" t="s">
        <v>554</v>
      </c>
      <c r="C42" s="597" t="s">
        <v>3009</v>
      </c>
      <c r="D42" s="538">
        <v>100</v>
      </c>
      <c r="E42" s="597" t="s">
        <v>3009</v>
      </c>
      <c r="F42" s="538">
        <f>SUMIF(123:123,E42,124:124)-SUMIF(123:123,C42,124:124)+100</f>
        <v>100</v>
      </c>
      <c r="G42" s="597" t="s">
        <v>3009</v>
      </c>
      <c r="H42" s="538">
        <f>SUMIF(123:123,G42,124:124)-SUMIF(123:123,C42,124:124)+100</f>
        <v>100</v>
      </c>
      <c r="I42" s="597" t="s">
        <v>3009</v>
      </c>
      <c r="J42" s="538">
        <f>SUMIF(123:123,I42,124:124)-SUMIF(123:123,C42,124:124)+100</f>
        <v>100</v>
      </c>
      <c r="K42" s="582">
        <v>1</v>
      </c>
      <c r="L42" s="2124"/>
      <c r="M42" s="2114"/>
      <c r="N42" s="2114"/>
      <c r="O42" s="2123"/>
      <c r="P42" s="3406"/>
      <c r="Q42" s="1555" t="str">
        <f t="shared" si="14"/>
        <v>临街宽度及深度</v>
      </c>
      <c r="R42" s="1556" t="s">
        <v>8</v>
      </c>
      <c r="S42" s="1557">
        <f t="shared" si="10"/>
        <v>100</v>
      </c>
      <c r="T42" s="1556" t="s">
        <v>8</v>
      </c>
      <c r="U42" s="1557">
        <f t="shared" si="11"/>
        <v>100</v>
      </c>
      <c r="V42" s="1556" t="s">
        <v>8</v>
      </c>
      <c r="W42" s="1557">
        <f t="shared" si="12"/>
        <v>100</v>
      </c>
      <c r="X42" s="1550"/>
      <c r="Y42" s="3406"/>
      <c r="Z42" s="1558" t="str">
        <f t="shared" si="13"/>
        <v>临街宽度及深度</v>
      </c>
      <c r="AA42" s="1559">
        <f t="shared" si="3"/>
        <v>1</v>
      </c>
      <c r="AB42" s="1559">
        <f t="shared" si="4"/>
        <v>1</v>
      </c>
      <c r="AC42" s="1559">
        <f t="shared" si="5"/>
        <v>1</v>
      </c>
    </row>
    <row r="43" spans="1:29" s="1214" customFormat="1" ht="20.25">
      <c r="A43" s="598"/>
      <c r="B43" s="1877" t="s">
        <v>2421</v>
      </c>
      <c r="C43" s="3189" t="s">
        <v>3020</v>
      </c>
      <c r="D43" s="253">
        <v>100</v>
      </c>
      <c r="E43" s="599" t="s">
        <v>3012</v>
      </c>
      <c r="F43" s="538">
        <f>SUMIF(125:125,E43,126:126)-SUMIF(125:125,C43,126:126)+100</f>
        <v>99.5</v>
      </c>
      <c r="G43" s="599" t="s">
        <v>3014</v>
      </c>
      <c r="H43" s="538">
        <f>SUMIF(125:125,G43,126:126)-SUMIF(125:125,C43,126:126)+100</f>
        <v>98</v>
      </c>
      <c r="I43" s="599" t="s">
        <v>3012</v>
      </c>
      <c r="J43" s="538">
        <f>SUMIF(125:125,I43,126:126)-SUMIF(125:125,C43,126:126)+100</f>
        <v>99.5</v>
      </c>
      <c r="K43" s="582">
        <v>0.5</v>
      </c>
      <c r="L43" s="2117"/>
      <c r="M43" s="2114"/>
      <c r="N43" s="2114"/>
      <c r="O43" s="2119"/>
      <c r="P43" s="3406"/>
      <c r="Q43" s="1555" t="str">
        <f t="shared" si="14"/>
        <v>宗地开发程度</v>
      </c>
      <c r="R43" s="1551" t="s">
        <v>8</v>
      </c>
      <c r="S43" s="1552">
        <f t="shared" si="10"/>
        <v>99.5</v>
      </c>
      <c r="T43" s="1551" t="s">
        <v>8</v>
      </c>
      <c r="U43" s="1552">
        <f t="shared" si="11"/>
        <v>98</v>
      </c>
      <c r="V43" s="1551" t="s">
        <v>8</v>
      </c>
      <c r="W43" s="1552">
        <f t="shared" si="12"/>
        <v>99.5</v>
      </c>
      <c r="X43" s="1553"/>
      <c r="Y43" s="3406"/>
      <c r="Z43" s="1144" t="str">
        <f t="shared" si="13"/>
        <v>宗地开发程度</v>
      </c>
      <c r="AA43" s="1554">
        <f t="shared" si="3"/>
        <v>1.0050251256281406</v>
      </c>
      <c r="AB43" s="1554">
        <f t="shared" si="4"/>
        <v>1.0204081632653061</v>
      </c>
      <c r="AC43" s="1554">
        <f t="shared" si="5"/>
        <v>1.0050251256281406</v>
      </c>
    </row>
    <row r="44" spans="1:29" ht="21" thickBot="1">
      <c r="A44" s="592"/>
      <c r="B44" s="525" t="s">
        <v>555</v>
      </c>
      <c r="C44" s="597" t="s">
        <v>3009</v>
      </c>
      <c r="D44" s="538">
        <v>100</v>
      </c>
      <c r="E44" s="597" t="s">
        <v>3009</v>
      </c>
      <c r="F44" s="538">
        <f>SUMIF(127:127,E44,128:128)-SUMIF(127:127,C44,128:128)+100</f>
        <v>100</v>
      </c>
      <c r="G44" s="597" t="s">
        <v>3009</v>
      </c>
      <c r="H44" s="538">
        <f>SUMIF(127:127,G44,128:128)-SUMIF(127:127,C44,128:128)+100</f>
        <v>100</v>
      </c>
      <c r="I44" s="597" t="s">
        <v>3009</v>
      </c>
      <c r="J44" s="538">
        <f>SUMIF(127:127,I44,128:128)-SUMIF(127:127,C44,128:128)+100</f>
        <v>100</v>
      </c>
      <c r="K44" s="582">
        <v>1</v>
      </c>
      <c r="L44" s="2124"/>
      <c r="M44" s="2114"/>
      <c r="N44" s="2114"/>
      <c r="O44" s="2123"/>
      <c r="P44" s="3406" t="s">
        <v>550</v>
      </c>
      <c r="Q44" s="1555" t="str">
        <f t="shared" si="14"/>
        <v>工程地质条件</v>
      </c>
      <c r="R44" s="1556" t="s">
        <v>8</v>
      </c>
      <c r="S44" s="1557">
        <f t="shared" si="10"/>
        <v>100</v>
      </c>
      <c r="T44" s="1556" t="s">
        <v>8</v>
      </c>
      <c r="U44" s="1557">
        <f t="shared" si="11"/>
        <v>100</v>
      </c>
      <c r="V44" s="1556" t="s">
        <v>8</v>
      </c>
      <c r="W44" s="1557">
        <f t="shared" si="12"/>
        <v>100</v>
      </c>
      <c r="X44" s="1550"/>
      <c r="Y44" s="3406" t="s">
        <v>550</v>
      </c>
      <c r="Z44" s="1558" t="str">
        <f t="shared" si="13"/>
        <v>工程地质条件</v>
      </c>
      <c r="AA44" s="1559">
        <f t="shared" si="3"/>
        <v>1</v>
      </c>
      <c r="AB44" s="1559">
        <f t="shared" si="4"/>
        <v>1</v>
      </c>
      <c r="AC44" s="1559">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06"/>
      <c r="Q45" s="1555">
        <f t="shared" si="14"/>
        <v>0</v>
      </c>
      <c r="R45" s="1556" t="s">
        <v>8</v>
      </c>
      <c r="S45" s="1557">
        <f t="shared" si="10"/>
        <v>100</v>
      </c>
      <c r="T45" s="1556" t="s">
        <v>8</v>
      </c>
      <c r="U45" s="1557">
        <f t="shared" si="11"/>
        <v>100</v>
      </c>
      <c r="V45" s="1556" t="s">
        <v>8</v>
      </c>
      <c r="W45" s="1557">
        <f t="shared" si="12"/>
        <v>100</v>
      </c>
      <c r="X45" s="1550"/>
      <c r="Y45" s="3406"/>
      <c r="Z45" s="1558">
        <f t="shared" si="13"/>
        <v>0</v>
      </c>
      <c r="AA45" s="1559">
        <f t="shared" si="3"/>
        <v>1</v>
      </c>
      <c r="AB45" s="1559">
        <f t="shared" si="4"/>
        <v>1</v>
      </c>
      <c r="AC45" s="1559">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06"/>
      <c r="Q46" s="1555">
        <f t="shared" si="14"/>
        <v>0</v>
      </c>
      <c r="R46" s="1556" t="s">
        <v>8</v>
      </c>
      <c r="S46" s="1557">
        <f t="shared" si="10"/>
        <v>100</v>
      </c>
      <c r="T46" s="1556" t="s">
        <v>8</v>
      </c>
      <c r="U46" s="1557">
        <f t="shared" si="11"/>
        <v>100</v>
      </c>
      <c r="V46" s="1556" t="s">
        <v>8</v>
      </c>
      <c r="W46" s="1557">
        <f t="shared" si="12"/>
        <v>100</v>
      </c>
      <c r="X46" s="1550"/>
      <c r="Y46" s="3406"/>
      <c r="Z46" s="1558">
        <f t="shared" si="13"/>
        <v>0</v>
      </c>
      <c r="AA46" s="1559">
        <f t="shared" si="3"/>
        <v>1</v>
      </c>
      <c r="AB46" s="1559">
        <f t="shared" si="4"/>
        <v>1</v>
      </c>
      <c r="AC46" s="1559">
        <f t="shared" si="5"/>
        <v>1</v>
      </c>
    </row>
    <row r="47" spans="1:29" s="1333"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06"/>
      <c r="Q47" s="1555">
        <f t="shared" si="14"/>
        <v>0</v>
      </c>
      <c r="R47" s="1560" t="s">
        <v>8</v>
      </c>
      <c r="S47" s="1561">
        <f t="shared" si="10"/>
        <v>100</v>
      </c>
      <c r="T47" s="1560" t="s">
        <v>8</v>
      </c>
      <c r="U47" s="1561">
        <f t="shared" si="11"/>
        <v>100</v>
      </c>
      <c r="V47" s="1560" t="s">
        <v>8</v>
      </c>
      <c r="W47" s="1561">
        <f t="shared" si="12"/>
        <v>100</v>
      </c>
      <c r="X47" s="1562"/>
      <c r="Y47" s="3406"/>
      <c r="Z47" s="1563">
        <f t="shared" si="13"/>
        <v>0</v>
      </c>
      <c r="AA47" s="1559">
        <f t="shared" si="3"/>
        <v>1</v>
      </c>
      <c r="AB47" s="1559">
        <f t="shared" si="4"/>
        <v>1</v>
      </c>
      <c r="AC47" s="1559">
        <f t="shared" si="5"/>
        <v>1</v>
      </c>
    </row>
    <row r="48" spans="1:29" ht="20.25">
      <c r="A48" s="605" t="s">
        <v>556</v>
      </c>
      <c r="B48" s="606" t="s">
        <v>3021</v>
      </c>
      <c r="C48" s="607" t="s">
        <v>1</v>
      </c>
      <c r="D48" s="608"/>
      <c r="E48" s="609">
        <v>31826</v>
      </c>
      <c r="F48" s="610"/>
      <c r="G48" s="611">
        <v>33847</v>
      </c>
      <c r="H48" s="612"/>
      <c r="I48" s="609">
        <v>32938</v>
      </c>
      <c r="J48" s="612"/>
      <c r="K48" s="1334"/>
      <c r="L48" s="2126"/>
      <c r="M48" s="2114"/>
      <c r="N48" s="2114"/>
      <c r="O48" s="2127"/>
      <c r="P48" s="3366" t="str">
        <f>A48</f>
        <v>成交单价</v>
      </c>
      <c r="Q48" s="3366"/>
      <c r="R48" s="3367">
        <f>E48</f>
        <v>31826</v>
      </c>
      <c r="S48" s="3367"/>
      <c r="T48" s="3367">
        <f>G48</f>
        <v>33847</v>
      </c>
      <c r="U48" s="3367"/>
      <c r="V48" s="3367">
        <f>I48</f>
        <v>32938</v>
      </c>
      <c r="W48" s="3367"/>
      <c r="X48" s="1542"/>
      <c r="Y48" s="1564"/>
      <c r="Z48" s="1542"/>
      <c r="AA48" s="1542"/>
      <c r="AB48" s="1542"/>
      <c r="AC48" s="1542"/>
    </row>
    <row r="49" spans="1:29" ht="21" thickBot="1">
      <c r="A49" s="613" t="s">
        <v>2690</v>
      </c>
      <c r="B49" s="614"/>
      <c r="C49" s="615">
        <f>R50</f>
        <v>36095</v>
      </c>
      <c r="D49" s="616"/>
      <c r="E49" s="615">
        <f>R49</f>
        <v>35255</v>
      </c>
      <c r="F49" s="617"/>
      <c r="G49" s="618">
        <f>T49</f>
        <v>35426</v>
      </c>
      <c r="H49" s="616"/>
      <c r="I49" s="615">
        <f>V49</f>
        <v>37604</v>
      </c>
      <c r="J49" s="616"/>
      <c r="K49" s="1335"/>
      <c r="L49" s="2126"/>
      <c r="M49" s="2114"/>
      <c r="N49" s="2114"/>
      <c r="O49" s="2127"/>
      <c r="P49" s="3366" t="str">
        <f>A49</f>
        <v>比较价格（元/平方米）</v>
      </c>
      <c r="Q49" s="3366"/>
      <c r="R49" s="3368">
        <f>ROUND(PRODUCT(R48,AA9:AA47),0)</f>
        <v>35255</v>
      </c>
      <c r="S49" s="3368"/>
      <c r="T49" s="3368">
        <f>ROUND(PRODUCT(T48,AB9:AB47),0)</f>
        <v>35426</v>
      </c>
      <c r="U49" s="3368"/>
      <c r="V49" s="3368">
        <f>ROUND(PRODUCT(V48,AC9:AC47),0)</f>
        <v>37604</v>
      </c>
      <c r="W49" s="3368"/>
      <c r="X49" s="1542"/>
      <c r="Y49" s="1542"/>
      <c r="Z49" s="1542"/>
      <c r="AA49" s="1542"/>
      <c r="AB49" s="1542"/>
      <c r="AC49" s="1542"/>
    </row>
    <row r="50" spans="1:29" ht="21" thickBot="1">
      <c r="A50" s="619" t="s">
        <v>2924</v>
      </c>
      <c r="B50" s="620"/>
      <c r="C50" s="621">
        <f>R50</f>
        <v>36095</v>
      </c>
      <c r="D50" s="621"/>
      <c r="E50" s="621"/>
      <c r="F50" s="621"/>
      <c r="G50" s="621"/>
      <c r="H50" s="621"/>
      <c r="I50" s="621"/>
      <c r="J50" s="621"/>
      <c r="K50" s="1336"/>
      <c r="L50" s="2126"/>
      <c r="M50" s="2114"/>
      <c r="N50" s="2114"/>
      <c r="O50" s="2127"/>
      <c r="P50" s="3363" t="str">
        <f>A50</f>
        <v>估价对象XX用房的比较价格（楼面单价，元/平方米）</v>
      </c>
      <c r="Q50" s="3364"/>
      <c r="R50" s="3365">
        <f>ROUND(AVERAGE(R49:V49),0)</f>
        <v>36095</v>
      </c>
      <c r="S50" s="3365"/>
      <c r="T50" s="3365"/>
      <c r="U50" s="3365"/>
      <c r="V50" s="3365"/>
      <c r="W50" s="3365"/>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0.10774209765600462</v>
      </c>
      <c r="F53" s="625" t="str">
        <f>IF(OR(E53&gt;=0.3,E53&lt;=-0.3),"超过30%","")</f>
        <v/>
      </c>
      <c r="G53" s="624">
        <f>IF(G48&lt;G49,G49/G48-1,G48/G49-1)</f>
        <v>4.6651106449611568E-2</v>
      </c>
      <c r="H53" s="625" t="str">
        <f>IF(OR(G53&gt;=0.3,G53&lt;=-0.3),"超过30%","")</f>
        <v/>
      </c>
      <c r="I53" s="624">
        <f>IF(I48&lt;I49,I49/I48-1,I48/I49-1)</f>
        <v>0.14166008865140567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4.8503758332152369E-3</v>
      </c>
      <c r="F54" s="625" t="str">
        <f>IF(OR(E54&gt;=0.2,E54&lt;=-0.2),"超过20%","")</f>
        <v/>
      </c>
      <c r="G54" s="624">
        <f>IF(G49&lt;I49,I49/G49-1,G49/I49-1)</f>
        <v>6.1480268729181997E-2</v>
      </c>
      <c r="H54" s="625" t="str">
        <f>IF(OR(G54&gt;=0.2,G54&lt;=-0.2),"超过20%","")</f>
        <v/>
      </c>
      <c r="I54" s="624">
        <f>IF(I49&lt;E49,E49/I49-1,I49/E49-1)</f>
        <v>6.6628846972060618E-2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6.3501539621692915E-2</v>
      </c>
      <c r="F55" s="625" t="str">
        <f>IF(OR(E55&gt;=0.3,E55&lt;=-0.3),"超过30%","")</f>
        <v/>
      </c>
      <c r="G55" s="624">
        <f>IF(G48&lt;I48,I48/G48-1,G48/I48-1)</f>
        <v>2.7597304025745339E-2</v>
      </c>
      <c r="H55" s="625" t="str">
        <f>IF(OR(G55&gt;=0.3,G55&lt;=-0.3),"超过30%","")</f>
        <v/>
      </c>
      <c r="I55" s="624">
        <f>IF(I48&lt;E48,E48/I48-1,I48/E48-1)</f>
        <v>3.4939986174825632E-2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395" t="s">
        <v>2278</v>
      </c>
      <c r="H57" s="3396"/>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564</v>
      </c>
      <c r="B58" s="632">
        <f>C50</f>
        <v>36095</v>
      </c>
      <c r="C58" s="633">
        <v>1</v>
      </c>
      <c r="D58" s="2210">
        <v>1</v>
      </c>
      <c r="E58" s="633">
        <f>'数据-汇总表'!E8+'数据-汇总表'!E9</f>
        <v>63653.62</v>
      </c>
      <c r="F58" s="634">
        <f t="shared" ref="F58:F67" si="15">ROUND(B58*E58/10000,0)</f>
        <v>229758</v>
      </c>
      <c r="G58" s="3397"/>
      <c r="H58" s="3398"/>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565</v>
      </c>
      <c r="B59" s="636">
        <f>ROUND($C$50*C59*D59,0)</f>
        <v>6317</v>
      </c>
      <c r="C59" s="376">
        <f t="shared" ref="C59:C67" si="16">IF($C$57="北京市系数",I59,J59)</f>
        <v>0.7</v>
      </c>
      <c r="D59" s="2211">
        <v>0.25</v>
      </c>
      <c r="E59" s="637">
        <v>0</v>
      </c>
      <c r="F59" s="634">
        <f t="shared" si="15"/>
        <v>0</v>
      </c>
      <c r="G59" s="3399" t="s">
        <v>2279</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566</v>
      </c>
      <c r="B60" s="636">
        <f t="shared" ref="B60:B67" si="17">ROUND($C$50*C60*D60,0)</f>
        <v>3610</v>
      </c>
      <c r="C60" s="376">
        <f t="shared" si="16"/>
        <v>0.4</v>
      </c>
      <c r="D60" s="2211">
        <v>0.25</v>
      </c>
      <c r="E60" s="637">
        <v>0</v>
      </c>
      <c r="F60" s="634">
        <f t="shared" si="15"/>
        <v>0</v>
      </c>
      <c r="G60" s="3399"/>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567</v>
      </c>
      <c r="B61" s="636">
        <f t="shared" si="17"/>
        <v>2527</v>
      </c>
      <c r="C61" s="376">
        <f t="shared" si="16"/>
        <v>0.28000000000000003</v>
      </c>
      <c r="D61" s="2211">
        <v>0.25</v>
      </c>
      <c r="E61" s="637">
        <v>0</v>
      </c>
      <c r="F61" s="634">
        <f t="shared" si="15"/>
        <v>0</v>
      </c>
      <c r="G61" s="3399"/>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568</v>
      </c>
      <c r="B62" s="636">
        <f t="shared" si="17"/>
        <v>2256</v>
      </c>
      <c r="C62" s="376">
        <f t="shared" si="16"/>
        <v>0.25</v>
      </c>
      <c r="D62" s="2211">
        <v>0.25</v>
      </c>
      <c r="E62" s="637">
        <v>0</v>
      </c>
      <c r="F62" s="634">
        <f t="shared" si="15"/>
        <v>0</v>
      </c>
      <c r="G62" s="3399"/>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2325</v>
      </c>
      <c r="B63" s="636">
        <f t="shared" si="17"/>
        <v>2256</v>
      </c>
      <c r="C63" s="376">
        <f t="shared" si="16"/>
        <v>0.25</v>
      </c>
      <c r="D63" s="2211">
        <v>0.25</v>
      </c>
      <c r="E63" s="639">
        <f>'数据-汇总表'!E11</f>
        <v>0</v>
      </c>
      <c r="F63" s="634">
        <f t="shared" si="15"/>
        <v>0</v>
      </c>
      <c r="G63" s="1927" t="s">
        <v>2280</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569</v>
      </c>
      <c r="B64" s="636">
        <f t="shared" si="17"/>
        <v>2256</v>
      </c>
      <c r="C64" s="376">
        <f t="shared" si="16"/>
        <v>0.25</v>
      </c>
      <c r="D64" s="2211">
        <v>0.25</v>
      </c>
      <c r="E64" s="639">
        <f>'数据-汇总表'!E12</f>
        <v>3440.91</v>
      </c>
      <c r="F64" s="634">
        <f t="shared" si="15"/>
        <v>776</v>
      </c>
      <c r="G64" s="1928" t="s">
        <v>922</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570</v>
      </c>
      <c r="B65" s="636">
        <f t="shared" si="17"/>
        <v>1805</v>
      </c>
      <c r="C65" s="376">
        <f t="shared" si="16"/>
        <v>0.2</v>
      </c>
      <c r="D65" s="2211">
        <v>0.25</v>
      </c>
      <c r="E65" s="639">
        <f>'数据-汇总表'!E13</f>
        <v>29687.75</v>
      </c>
      <c r="F65" s="634">
        <f t="shared" si="15"/>
        <v>5359</v>
      </c>
      <c r="G65" s="1928" t="s">
        <v>922</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571</v>
      </c>
      <c r="B66" s="636">
        <f t="shared" si="17"/>
        <v>1805</v>
      </c>
      <c r="C66" s="376">
        <f t="shared" si="16"/>
        <v>0.2</v>
      </c>
      <c r="D66" s="2211">
        <v>0.25</v>
      </c>
      <c r="E66" s="639">
        <f>'数据-汇总表'!E14</f>
        <v>0</v>
      </c>
      <c r="F66" s="634">
        <f t="shared" si="15"/>
        <v>0</v>
      </c>
      <c r="G66" s="1927" t="s">
        <v>2279</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572</v>
      </c>
      <c r="B67" s="636">
        <f t="shared" si="17"/>
        <v>1805</v>
      </c>
      <c r="C67" s="376">
        <f t="shared" si="16"/>
        <v>0.2</v>
      </c>
      <c r="D67" s="2211">
        <v>0.25</v>
      </c>
      <c r="E67" s="639">
        <f>'数据-汇总表'!E15</f>
        <v>0</v>
      </c>
      <c r="F67" s="634">
        <f t="shared" si="15"/>
        <v>0</v>
      </c>
      <c r="G67" s="1929" t="s">
        <v>2280</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573</v>
      </c>
      <c r="B68" s="641" t="s">
        <v>17</v>
      </c>
      <c r="C68" s="641" t="s">
        <v>18</v>
      </c>
      <c r="D68" s="641" t="s">
        <v>2291</v>
      </c>
      <c r="E68" s="641">
        <f>IF(B48="楼面地价",SUM(E58:E67),'数据-汇总表'!D3)</f>
        <v>96782.28</v>
      </c>
      <c r="F68" s="642">
        <f>IF(B48="楼面地价",SUM(F58:F67),ROUND(C50*E68/10000,0))</f>
        <v>235893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2019-12-1</v>
      </c>
      <c r="D70" s="2751">
        <f>EDATE(C70,-3)</f>
        <v>43709</v>
      </c>
      <c r="E70" s="2751">
        <f t="shared" ref="E70:N70" si="18">EDATE(D70,-3)</f>
        <v>43617</v>
      </c>
      <c r="F70" s="2751">
        <f t="shared" si="18"/>
        <v>43525</v>
      </c>
      <c r="G70" s="2751">
        <f t="shared" si="18"/>
        <v>43435</v>
      </c>
      <c r="H70" s="2751">
        <f t="shared" si="18"/>
        <v>43344</v>
      </c>
      <c r="I70" s="2751">
        <f t="shared" si="18"/>
        <v>43252</v>
      </c>
      <c r="J70" s="2751">
        <f t="shared" si="18"/>
        <v>43160</v>
      </c>
      <c r="K70" s="2751">
        <f t="shared" si="18"/>
        <v>43070</v>
      </c>
      <c r="L70" s="2751">
        <f t="shared" si="18"/>
        <v>42979</v>
      </c>
      <c r="M70" s="2751">
        <f t="shared" si="18"/>
        <v>42887</v>
      </c>
      <c r="N70" s="2751">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2529</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7" t="str">
        <f>"北京市平均增长率"&amp;TEXT(SUMIF(基准地价!N21:N25,A73,基准地价!P21:P25),"0.00%")</f>
        <v>北京市平均增长率1.98%</v>
      </c>
      <c r="C73" s="892">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86" t="s">
        <v>3018</v>
      </c>
      <c r="D77" s="3186" t="s">
        <v>3016</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5"/>
      <c r="B84" s="671" t="str">
        <f>B14</f>
        <v>配建</v>
      </c>
      <c r="C84" s="3190" t="s">
        <v>3045</v>
      </c>
      <c r="D84" s="1368" t="s">
        <v>3046</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t="str">
        <f>B15</f>
        <v>限价</v>
      </c>
      <c r="C86" s="3190" t="s">
        <v>3045</v>
      </c>
      <c r="D86" s="539" t="s">
        <v>3007</v>
      </c>
      <c r="E86" s="540" t="s">
        <v>3013</v>
      </c>
      <c r="F86" s="540" t="s">
        <v>3015</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v>100</v>
      </c>
      <c r="D87" s="690">
        <v>95</v>
      </c>
      <c r="E87" s="690">
        <v>95</v>
      </c>
      <c r="F87" s="690">
        <v>95</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99</v>
      </c>
      <c r="E99" s="677">
        <f>D99-$K25</f>
        <v>98</v>
      </c>
      <c r="F99" s="677">
        <f>E99-$K25</f>
        <v>97</v>
      </c>
      <c r="G99" s="677">
        <f>F99-$K25</f>
        <v>96</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t="s">
        <v>3047</v>
      </c>
      <c r="D108" s="3190" t="s">
        <v>3048</v>
      </c>
      <c r="E108" s="3190" t="s">
        <v>3049</v>
      </c>
      <c r="F108" s="3190" t="s">
        <v>3050</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1" t="str">
        <f t="shared" si="25"/>
        <v>(含)-</v>
      </c>
      <c r="K118" s="3041" t="str">
        <f t="shared" si="25"/>
        <v>(含)-</v>
      </c>
      <c r="L118" s="3042" t="str">
        <f t="shared" si="25"/>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2422</v>
      </c>
      <c r="C125" s="1368" t="s">
        <v>3051</v>
      </c>
      <c r="D125" s="1368" t="s">
        <v>3052</v>
      </c>
      <c r="E125" s="1368" t="s">
        <v>3053</v>
      </c>
      <c r="F125" s="1368" t="s">
        <v>3054</v>
      </c>
      <c r="G125" s="1368" t="s">
        <v>3055</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198" t="str">
        <f>项目基本情况!B1</f>
        <v>出让国有建设用地使用权抵押价格预评估</v>
      </c>
      <c r="C37" s="3198"/>
      <c r="D37" s="3198"/>
      <c r="E37" s="3198"/>
      <c r="F37" s="3198"/>
      <c r="G37" s="3198"/>
      <c r="H37" s="3198"/>
      <c r="I37" s="3198"/>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F27" sqref="F27"/>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10</v>
      </c>
    </row>
    <row r="2" spans="1:31" s="2023" customFormat="1" ht="18" customHeight="1">
      <c r="A2" s="2083" t="s">
        <v>467</v>
      </c>
      <c r="B2" s="2087">
        <f ca="1">C36</f>
        <v>275618</v>
      </c>
      <c r="C2" s="2086"/>
      <c r="D2" s="2086"/>
      <c r="E2" s="2086"/>
      <c r="F2" s="2086"/>
      <c r="G2" s="2086"/>
      <c r="H2" s="2086"/>
      <c r="I2" s="2086"/>
      <c r="J2" s="2086"/>
      <c r="K2" s="2086"/>
    </row>
    <row r="3" spans="1:31" s="2023" customFormat="1" ht="18" customHeight="1">
      <c r="A3" s="2088" t="s">
        <v>1683</v>
      </c>
      <c r="B3" s="2089">
        <f ca="1">ROUND(B2*10000/IF(B1="",'数据-汇总表'!E3,INDIRECT("'数据-取费表'!K"&amp;$K$1)),0)</f>
        <v>25214</v>
      </c>
      <c r="C3" s="2086"/>
      <c r="D3" s="2086"/>
      <c r="E3" s="2086"/>
      <c r="F3" s="2086"/>
      <c r="G3" s="2086"/>
      <c r="H3" s="2086"/>
      <c r="I3" s="2086"/>
      <c r="J3" s="2086"/>
      <c r="K3" s="2086"/>
    </row>
    <row r="4" spans="1:31" s="2023" customFormat="1" ht="18" customHeight="1">
      <c r="A4" s="424" t="s">
        <v>468</v>
      </c>
      <c r="B4" s="425">
        <f ca="1">ROUND(B2*10000/IF(B1="",'数据-汇总表'!D3,INDIRECT("'数据-取费表'!R"&amp;$K$1)),0)</f>
        <v>78828</v>
      </c>
      <c r="C4" s="426"/>
      <c r="D4" s="420"/>
      <c r="E4" s="420"/>
      <c r="F4" s="420"/>
      <c r="G4" s="420"/>
      <c r="H4" s="420"/>
      <c r="I4" s="420"/>
      <c r="J4" s="420"/>
      <c r="K4" s="420"/>
    </row>
    <row r="5" spans="1:31" s="2023" customFormat="1" ht="18" customHeight="1" thickBot="1">
      <c r="A5" s="427"/>
      <c r="B5" s="428">
        <f ca="1">ROUND(B2/(IF(B1="",'数据-汇总表'!D3,INDIRECT("'数据-取费表'!R"&amp;$K$1))/666.67),0)</f>
        <v>5255</v>
      </c>
      <c r="C5" s="429" t="s">
        <v>469</v>
      </c>
      <c r="D5" s="420"/>
      <c r="E5" s="420"/>
      <c r="F5" s="420"/>
      <c r="G5" s="420"/>
      <c r="H5" s="420"/>
      <c r="I5" s="420"/>
      <c r="J5" s="420"/>
      <c r="K5" s="420"/>
    </row>
    <row r="6" spans="1:31" s="2093" customFormat="1" ht="16.5" customHeight="1">
      <c r="A6" s="2780" t="s">
        <v>1841</v>
      </c>
      <c r="B6" s="2781"/>
      <c r="C6" s="2782">
        <f ca="1">SUM(C10:K10)</f>
        <v>438580</v>
      </c>
      <c r="D6" s="2781"/>
      <c r="E6" s="2781"/>
      <c r="F6" s="2781"/>
      <c r="G6" s="2781"/>
      <c r="H6" s="2781"/>
      <c r="I6" s="2781"/>
      <c r="J6" s="2781"/>
      <c r="K6" s="2783"/>
    </row>
    <row r="7" spans="1:31" s="2095" customFormat="1" ht="15">
      <c r="A7" s="2784" t="s">
        <v>470</v>
      </c>
      <c r="B7" s="2785" t="s">
        <v>471</v>
      </c>
      <c r="C7" s="434" t="s">
        <v>922</v>
      </c>
      <c r="D7" s="434" t="s">
        <v>2988</v>
      </c>
      <c r="E7" s="434" t="s">
        <v>3022</v>
      </c>
      <c r="F7" s="434" t="s">
        <v>35</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65158</v>
      </c>
      <c r="D8" s="2786">
        <f ca="1">'不动产收益法-商业'!B3</f>
        <v>31678</v>
      </c>
      <c r="E8" s="2786">
        <f ca="1">'不动产收益法-仓储'!B3</f>
        <v>7452</v>
      </c>
      <c r="F8" s="2786">
        <f>'不动产比较法-车位'!B3</f>
        <v>7939</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63135.22</v>
      </c>
      <c r="D9" s="439">
        <f>SUMIF('数据-汇总表'!$C19:$C33,'剩余法-待开发'!D7,'数据-汇总表'!$E19:$E33)</f>
        <v>338.4</v>
      </c>
      <c r="E9" s="439">
        <f>SUMIF('数据-汇总表'!$C19:$C33,'剩余法-待开发'!E7,'数据-汇总表'!$E19:$E33)</f>
        <v>3440.91</v>
      </c>
      <c r="F9" s="439">
        <f>SUMIF('数据-汇总表'!$C19:$C33,'剩余法-待开发'!F7,'数据-汇总表'!$E19:$E33)</f>
        <v>29687.75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8">
        <f>'不动产比较法-住宅'!B2</f>
        <v>411376</v>
      </c>
      <c r="D10" s="2978">
        <f ca="1">'不动产收益法-商业'!B2</f>
        <v>1072</v>
      </c>
      <c r="E10" s="2978">
        <f ca="1">'不动产收益法-仓储'!B2</f>
        <v>2564</v>
      </c>
      <c r="F10" s="2978">
        <f>'不动产比较法-车位'!B2</f>
        <v>23568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42225</v>
      </c>
      <c r="D13" s="2796"/>
      <c r="E13" s="2797"/>
      <c r="F13" s="2798"/>
      <c r="G13" s="2764"/>
      <c r="H13" s="2765"/>
      <c r="I13" s="2765"/>
      <c r="J13" s="2765"/>
      <c r="K13" s="2766"/>
    </row>
    <row r="14" spans="1:31" s="2098" customFormat="1" ht="13.5" customHeight="1">
      <c r="A14" s="2794" t="s">
        <v>1848</v>
      </c>
      <c r="B14" s="2795" t="s">
        <v>480</v>
      </c>
      <c r="C14" s="53">
        <f ca="1">ROUND(C13*F14,0)</f>
        <v>2111</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1421</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2186</v>
      </c>
      <c r="D16" s="2796">
        <f ca="1">IF(B1="",'数据-汇总表'!E3,INDIRECT("'数据-取费表'!K"&amp;$K$1)+INDIRECT("'数据-取费表'!S"&amp;$K$1))</f>
        <v>109310.18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633</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48576</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109310.18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1933</v>
      </c>
      <c r="D20" s="2806"/>
      <c r="E20" s="2760"/>
      <c r="F20" s="2807"/>
      <c r="G20" s="3037"/>
      <c r="H20" s="2762"/>
      <c r="I20" s="2763" t="s">
        <v>2648</v>
      </c>
      <c r="J20" s="2769"/>
      <c r="K20" s="2770"/>
    </row>
    <row r="21" spans="1:14" s="2098" customFormat="1" ht="13.5" customHeight="1">
      <c r="A21" s="2794" t="s">
        <v>1855</v>
      </c>
      <c r="B21" s="2795" t="s">
        <v>491</v>
      </c>
      <c r="C21" s="53">
        <f ca="1">ROUND(D21*E21/10000,0)</f>
        <v>1010</v>
      </c>
      <c r="D21" s="2796">
        <f ca="1">IF(B1="",'数据-汇总表'!E5,IF(INDIRECT("'数据-取费表'!c"&amp;$K$1)="住宅",INDIRECT("'数据-取费表'!k"&amp;$K$1),0))</f>
        <v>63135.22</v>
      </c>
      <c r="E21" s="53">
        <f>'数据-取费表'!B27</f>
        <v>160</v>
      </c>
      <c r="F21" s="2799"/>
      <c r="G21" s="26"/>
      <c r="H21" s="51"/>
      <c r="I21" s="51"/>
      <c r="J21" s="51"/>
      <c r="K21" s="2771"/>
    </row>
    <row r="22" spans="1:14" s="2098" customFormat="1" ht="13.5" customHeight="1">
      <c r="A22" s="2794" t="s">
        <v>1856</v>
      </c>
      <c r="B22" s="2795" t="s">
        <v>492</v>
      </c>
      <c r="C22" s="53">
        <f ca="1">ROUND(D22*E22/10000,0)</f>
        <v>923</v>
      </c>
      <c r="D22" s="2796">
        <f ca="1">IF(B1="",'数据-汇总表'!E6,IF(INDIRECT("'数据-取费表'!c"&amp;$K$1)="住宅",INDIRECT("'数据-取费表'!s"&amp;$K$1),INDIRECT("'数据-取费表'!k"&amp;$K$1)+INDIRECT("'数据-取费表'!s"&amp;$K$1)))</f>
        <v>46174.959999999992</v>
      </c>
      <c r="E22" s="53">
        <f>'数据-取费表'!B28</f>
        <v>200</v>
      </c>
      <c r="F22" s="2799"/>
      <c r="G22" s="26"/>
      <c r="H22" s="51"/>
      <c r="I22" s="51"/>
      <c r="J22" s="51"/>
      <c r="K22" s="2771"/>
    </row>
    <row r="23" spans="1:14" s="2098" customFormat="1" ht="13.5" customHeight="1">
      <c r="A23" s="2802" t="s">
        <v>1857</v>
      </c>
      <c r="B23" s="2984" t="s">
        <v>2831</v>
      </c>
      <c r="C23" s="2804">
        <f ca="1">ROUND((C18+C19+C20)*F23,0)</f>
        <v>1263</v>
      </c>
      <c r="D23" s="466"/>
      <c r="E23" s="466"/>
      <c r="F23" s="2808">
        <f>'数据-取费表'!B37</f>
        <v>2.5000000000000001E-2</v>
      </c>
      <c r="G23" s="2764" t="s">
        <v>2428</v>
      </c>
      <c r="H23" s="2765"/>
      <c r="I23" s="2765"/>
      <c r="J23" s="2765"/>
      <c r="K23" s="2766"/>
      <c r="L23" s="2100"/>
      <c r="M23" s="2100"/>
      <c r="N23" s="2100"/>
    </row>
    <row r="24" spans="1:14" s="2098" customFormat="1" ht="13.5" customHeight="1">
      <c r="A24" s="2802" t="s">
        <v>1858</v>
      </c>
      <c r="B24" s="2984" t="s">
        <v>2834</v>
      </c>
      <c r="C24" s="2804">
        <f ca="1">ROUND(C6*F24,0)</f>
        <v>13157</v>
      </c>
      <c r="D24" s="473"/>
      <c r="E24" s="471"/>
      <c r="F24" s="2808">
        <f>'数据-取费表'!B38</f>
        <v>0.03</v>
      </c>
      <c r="G24" s="2773" t="s">
        <v>499</v>
      </c>
      <c r="H24" s="2767"/>
      <c r="I24" s="2767"/>
      <c r="J24" s="2767"/>
      <c r="K24" s="277"/>
      <c r="L24" s="2100"/>
      <c r="M24" s="2100"/>
      <c r="N24" s="2100"/>
    </row>
    <row r="25" spans="1:14" s="2101" customFormat="1" ht="13.5" customHeight="1">
      <c r="A25" s="2802" t="s">
        <v>1859</v>
      </c>
      <c r="B25" s="2984" t="s">
        <v>2832</v>
      </c>
      <c r="C25" s="465">
        <f>ROUND(F25/(1+'数据-取费表'!C42),4)</f>
        <v>2.9000000000000001E-2</v>
      </c>
      <c r="D25" s="460" t="s">
        <v>2826</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5" t="s">
        <v>2833</v>
      </c>
      <c r="C26" s="2809">
        <f ca="1">C28</f>
        <v>3878</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2835</v>
      </c>
      <c r="C28" s="2812">
        <f ca="1">ROUND(IF('数据-取费表'!B22&lt;=1,(C18+C19+C20+C23+C24)*F26*'数据-取费表'!B24/2,(C18+C19+C20+C23+C24)*(POWER((1+F26),'数据-取费表'!B24/2)-1)),0)</f>
        <v>3878</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23391</v>
      </c>
      <c r="D29" s="466"/>
      <c r="E29" s="466"/>
      <c r="F29" s="2986">
        <f>'数据-取费表'!B41</f>
        <v>5.6000000000000001E-2</v>
      </c>
      <c r="G29" s="2773" t="s">
        <v>498</v>
      </c>
      <c r="H29" s="2765"/>
      <c r="I29" s="2765"/>
      <c r="J29" s="2765"/>
      <c r="K29" s="2766"/>
    </row>
    <row r="30" spans="1:14" s="2103" customFormat="1" ht="13.5" customHeight="1">
      <c r="A30" s="1617" t="s">
        <v>1862</v>
      </c>
      <c r="B30" s="2814" t="s">
        <v>500</v>
      </c>
      <c r="C30" s="2809">
        <f ca="1">C31</f>
        <v>92198</v>
      </c>
      <c r="D30" s="475">
        <f ca="1">C32</f>
        <v>0.15559999999999999</v>
      </c>
      <c r="E30" s="467" t="s">
        <v>495</v>
      </c>
      <c r="F30" s="469"/>
      <c r="G30" s="2772" t="s">
        <v>2960</v>
      </c>
      <c r="H30" s="2765"/>
      <c r="I30" s="2765"/>
      <c r="J30" s="2765"/>
      <c r="K30" s="2766"/>
    </row>
    <row r="31" spans="1:14" s="2102" customFormat="1" ht="13.5" customHeight="1">
      <c r="A31" s="801" t="s">
        <v>1855</v>
      </c>
      <c r="B31" s="2810"/>
      <c r="C31" s="448">
        <f ca="1">C18+C19+C20+C23+C24+C26+C29</f>
        <v>92198</v>
      </c>
      <c r="D31" s="470"/>
      <c r="E31" s="471"/>
      <c r="F31" s="472"/>
      <c r="G31" s="259"/>
      <c r="H31" s="2767"/>
      <c r="I31" s="2767"/>
      <c r="J31" s="2767"/>
      <c r="K31" s="277"/>
    </row>
    <row r="32" spans="1:14" s="2102" customFormat="1" ht="13.5" customHeight="1">
      <c r="A32" s="801" t="s">
        <v>1856</v>
      </c>
      <c r="B32" s="2810"/>
      <c r="C32" s="53">
        <f ca="1">ROUND(C25+D26,4)</f>
        <v>0.15559999999999999</v>
      </c>
      <c r="D32" s="470"/>
      <c r="E32" s="471"/>
      <c r="F32" s="472"/>
      <c r="G32" s="259"/>
      <c r="H32" s="2767"/>
      <c r="I32" s="2767"/>
      <c r="J32" s="2767"/>
      <c r="K32" s="277"/>
    </row>
    <row r="33" spans="1:11" s="2104" customFormat="1" ht="13.5" customHeight="1">
      <c r="A33" s="2983" t="s">
        <v>2830</v>
      </c>
      <c r="B33" s="2981" t="s">
        <v>2828</v>
      </c>
      <c r="C33" s="476">
        <f ca="1">C35</f>
        <v>5194</v>
      </c>
      <c r="D33" s="465">
        <f ca="1">C34</f>
        <v>8.2299999999999998E-2</v>
      </c>
      <c r="E33" s="467" t="s">
        <v>495</v>
      </c>
      <c r="F33" s="477">
        <f ca="1">IF(B1="",'数据-取费表'!Q16,INDIRECT("'数据-取费表'!q"&amp;$K$1))</f>
        <v>0.08</v>
      </c>
      <c r="G33" s="2768"/>
      <c r="H33" s="2769"/>
      <c r="I33" s="2769"/>
      <c r="J33" s="2769"/>
      <c r="K33" s="2770"/>
    </row>
    <row r="34" spans="1:11" s="2105" customFormat="1" ht="13.5" customHeight="1">
      <c r="A34" s="373" t="s">
        <v>1855</v>
      </c>
      <c r="B34" s="2815" t="s">
        <v>501</v>
      </c>
      <c r="C34" s="470">
        <f ca="1">ROUND((1+C25)*F33,4)</f>
        <v>8.2299999999999998E-2</v>
      </c>
      <c r="D34" s="470"/>
      <c r="E34" s="471"/>
      <c r="F34" s="478"/>
      <c r="G34" s="259" t="s">
        <v>2287</v>
      </c>
      <c r="H34" s="2767"/>
      <c r="I34" s="2767"/>
      <c r="J34" s="2767"/>
      <c r="K34" s="277"/>
    </row>
    <row r="35" spans="1:11" s="2105" customFormat="1" ht="13.5" customHeight="1" thickBot="1">
      <c r="A35" s="1618" t="s">
        <v>1856</v>
      </c>
      <c r="B35" s="2982" t="s">
        <v>2836</v>
      </c>
      <c r="C35" s="1610">
        <f ca="1">ROUND((C18+C19+C20+C23+C24)*F33,0)</f>
        <v>5194</v>
      </c>
      <c r="D35" s="1611"/>
      <c r="E35" s="2816"/>
      <c r="F35" s="1612"/>
      <c r="G35" s="2774"/>
      <c r="H35" s="2775"/>
      <c r="I35" s="2775"/>
      <c r="J35" s="2775"/>
      <c r="K35" s="2776"/>
    </row>
    <row r="36" spans="1:11" s="2067" customFormat="1" ht="13.5" customHeight="1" thickBot="1">
      <c r="A36" s="282" t="s">
        <v>1843</v>
      </c>
      <c r="B36" s="2778"/>
      <c r="C36" s="2817">
        <f ca="1">ROUND((C6-C30-C33)/(1+D30+D33),0)</f>
        <v>275618</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10</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2649</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42225</v>
      </c>
      <c r="D13" s="449"/>
      <c r="E13" s="363"/>
      <c r="F13" s="450"/>
      <c r="G13" s="442"/>
      <c r="H13" s="445"/>
      <c r="I13" s="445"/>
      <c r="J13" s="445"/>
      <c r="K13" s="446"/>
    </row>
    <row r="14" spans="1:41" s="2098" customFormat="1" ht="13.5" customHeight="1">
      <c r="A14" s="1615" t="s">
        <v>1848</v>
      </c>
      <c r="B14" s="447" t="s">
        <v>480</v>
      </c>
      <c r="C14" s="53">
        <f ca="1">ROUND(C13*F14,0)</f>
        <v>2111</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1421</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2186</v>
      </c>
      <c r="D16" s="449">
        <f ca="1">IF(B1="",'数据-汇总表'!E3,INDIRECT("'数据-取费表'!K"&amp;$K$1)+INDIRECT("'数据-取费表'!S"&amp;$K$1))</f>
        <v>109310.18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633</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48576</v>
      </c>
      <c r="D18" s="459"/>
      <c r="E18" s="460"/>
      <c r="F18" s="460"/>
      <c r="G18" s="1321" t="s">
        <v>2429</v>
      </c>
      <c r="H18" s="445"/>
      <c r="I18" s="445"/>
      <c r="J18" s="445"/>
      <c r="K18" s="446"/>
    </row>
    <row r="19" spans="1:14" s="2101" customFormat="1" ht="13.5" customHeight="1">
      <c r="A19" s="1616" t="s">
        <v>1853</v>
      </c>
      <c r="B19" s="457" t="s">
        <v>493</v>
      </c>
      <c r="C19" s="458">
        <f ca="1">ROUND(C18*F19,0)</f>
        <v>1214</v>
      </c>
      <c r="D19" s="460"/>
      <c r="E19" s="460"/>
      <c r="F19" s="464">
        <f>'数据-取费表'!B37</f>
        <v>2.5000000000000001E-2</v>
      </c>
      <c r="G19" s="442" t="s">
        <v>503</v>
      </c>
      <c r="H19" s="445"/>
      <c r="I19" s="445"/>
      <c r="J19" s="445"/>
      <c r="K19" s="446"/>
      <c r="L19" s="2103"/>
      <c r="M19" s="2103"/>
      <c r="N19" s="2103"/>
    </row>
    <row r="20" spans="1:14" s="2101" customFormat="1" ht="13.5" customHeight="1">
      <c r="A20" s="1616" t="s">
        <v>1854</v>
      </c>
      <c r="B20" s="457" t="s">
        <v>504</v>
      </c>
      <c r="C20" s="2979">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1857</v>
      </c>
      <c r="B21" s="459" t="s">
        <v>494</v>
      </c>
      <c r="C21" s="468">
        <f ca="1">C22</f>
        <v>2974</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2" t="s">
        <v>2432</v>
      </c>
      <c r="C22" s="485">
        <f ca="1">ROUND(IF('数据-取费表'!B22&lt;=1,(C18+C19)*F21*'数据-取费表'!B20/2,(C18+C19)*(POWER((1+F21),'数据-取费表'!B20/2)-1)),0)</f>
        <v>2974</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2"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1" t="s">
        <v>2829</v>
      </c>
      <c r="C24" s="476">
        <f ca="1">C25</f>
        <v>3983</v>
      </c>
      <c r="D24" s="487">
        <f ca="1">C26</f>
        <v>2.3999999999999998E-3</v>
      </c>
      <c r="E24" s="467" t="s">
        <v>507</v>
      </c>
      <c r="F24" s="477">
        <f ca="1">IF(B1="",'数据-取费表'!Q16,INDIRECT("'数据-取费表'!q"&amp;$K$1))</f>
        <v>0.08</v>
      </c>
      <c r="G24" s="442"/>
      <c r="H24" s="445"/>
      <c r="I24" s="445"/>
      <c r="J24" s="445"/>
      <c r="K24" s="446"/>
    </row>
    <row r="25" spans="1:14" s="2102" customFormat="1" ht="13.5" customHeight="1">
      <c r="A25" s="1615" t="s">
        <v>1847</v>
      </c>
      <c r="B25" s="1322" t="s">
        <v>2433</v>
      </c>
      <c r="C25" s="488">
        <f ca="1">ROUND((C18+C19)*F24,0)</f>
        <v>3983</v>
      </c>
      <c r="D25" s="470"/>
      <c r="E25" s="471"/>
      <c r="F25" s="478"/>
      <c r="G25" s="1320" t="s">
        <v>2430</v>
      </c>
      <c r="H25" s="455"/>
      <c r="I25" s="455"/>
      <c r="J25" s="455"/>
      <c r="K25" s="456"/>
    </row>
    <row r="26" spans="1:14" s="2102" customFormat="1" ht="13.5" customHeight="1">
      <c r="A26" s="1615" t="s">
        <v>1848</v>
      </c>
      <c r="B26" s="1322" t="s">
        <v>509</v>
      </c>
      <c r="C26" s="489">
        <f ca="1">ROUND(F20*F24,4)</f>
        <v>2.3999999999999998E-3</v>
      </c>
      <c r="D26" s="470"/>
      <c r="E26" s="479"/>
      <c r="F26" s="478"/>
      <c r="G26" s="1320" t="s">
        <v>510</v>
      </c>
      <c r="H26" s="455"/>
      <c r="I26" s="455"/>
      <c r="J26" s="455"/>
      <c r="K26" s="456"/>
    </row>
    <row r="27" spans="1:14" s="2102" customFormat="1" ht="13.5" customHeight="1">
      <c r="A27" s="1619" t="s">
        <v>1866</v>
      </c>
      <c r="B27" s="457" t="s">
        <v>511</v>
      </c>
      <c r="C27" s="2980">
        <f>ROUND(F27/(1+'数据-取费表'!C42),4)</f>
        <v>5.33E-2</v>
      </c>
      <c r="D27" s="460" t="s">
        <v>2827</v>
      </c>
      <c r="E27" s="460"/>
      <c r="F27" s="464">
        <f>'数据-取费表'!B41</f>
        <v>5.6000000000000001E-2</v>
      </c>
      <c r="G27" s="1942" t="s">
        <v>2288</v>
      </c>
      <c r="H27" s="445"/>
      <c r="I27" s="445"/>
      <c r="J27" s="445"/>
      <c r="K27" s="446"/>
    </row>
    <row r="28" spans="1:14" s="2103" customFormat="1" ht="13.5" customHeight="1">
      <c r="A28" s="1619" t="s">
        <v>1867</v>
      </c>
      <c r="B28" s="474" t="s">
        <v>512</v>
      </c>
      <c r="C28" s="468">
        <f ca="1">ROUND((C18+C19+C21+C24)/(1-C20-D21-D24-C27),0)</f>
        <v>62188</v>
      </c>
      <c r="D28" s="475"/>
      <c r="E28" s="467"/>
      <c r="F28" s="469"/>
      <c r="G28" s="1321"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1864</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72" t="s">
        <v>522</v>
      </c>
      <c r="D6" s="3373"/>
      <c r="E6" s="3409" t="s">
        <v>523</v>
      </c>
      <c r="F6" s="3410"/>
      <c r="G6" s="3372" t="s">
        <v>524</v>
      </c>
      <c r="H6" s="3373"/>
      <c r="I6" s="3372" t="s">
        <v>525</v>
      </c>
      <c r="J6" s="3373"/>
      <c r="K6" s="512" t="s">
        <v>526</v>
      </c>
      <c r="L6" s="2115"/>
      <c r="M6" s="2116"/>
      <c r="N6" s="2116"/>
      <c r="O6" s="2116"/>
      <c r="P6" s="3374" t="s">
        <v>527</v>
      </c>
      <c r="Q6" s="3375"/>
      <c r="R6" s="3380" t="s">
        <v>523</v>
      </c>
      <c r="S6" s="3381"/>
      <c r="T6" s="3380" t="s">
        <v>524</v>
      </c>
      <c r="U6" s="3381"/>
      <c r="V6" s="3367" t="s">
        <v>525</v>
      </c>
      <c r="W6" s="3367"/>
      <c r="X6" s="1550"/>
      <c r="Y6" s="3380" t="s">
        <v>527</v>
      </c>
      <c r="Z6" s="3381"/>
      <c r="AA6" s="3369" t="s">
        <v>523</v>
      </c>
      <c r="AB6" s="3370" t="s">
        <v>524</v>
      </c>
      <c r="AC6" s="3369" t="s">
        <v>525</v>
      </c>
    </row>
    <row r="7" spans="1:29" ht="15">
      <c r="A7" s="513"/>
      <c r="B7" s="514"/>
      <c r="C7" s="3388" t="s">
        <v>2918</v>
      </c>
      <c r="D7" s="3389"/>
      <c r="E7" s="3393" t="s">
        <v>2919</v>
      </c>
      <c r="F7" s="3394"/>
      <c r="G7" s="3388" t="s">
        <v>2920</v>
      </c>
      <c r="H7" s="3389"/>
      <c r="I7" s="3388" t="s">
        <v>2921</v>
      </c>
      <c r="J7" s="3389"/>
      <c r="K7" s="512"/>
      <c r="L7" s="2115"/>
      <c r="M7" s="2116"/>
      <c r="N7" s="2116"/>
      <c r="O7" s="2116"/>
      <c r="P7" s="3376"/>
      <c r="Q7" s="3377"/>
      <c r="R7" s="3382"/>
      <c r="S7" s="3383"/>
      <c r="T7" s="3382"/>
      <c r="U7" s="3383"/>
      <c r="V7" s="3367"/>
      <c r="W7" s="3367"/>
      <c r="X7" s="1550"/>
      <c r="Y7" s="3382"/>
      <c r="Z7" s="3383"/>
      <c r="AA7" s="3370"/>
      <c r="AB7" s="3370"/>
      <c r="AC7" s="3370"/>
    </row>
    <row r="8" spans="1:29" ht="15.75" thickBot="1">
      <c r="A8" s="515"/>
      <c r="B8" s="516"/>
      <c r="C8" s="3407" t="s">
        <v>2922</v>
      </c>
      <c r="D8" s="3408"/>
      <c r="E8" s="3392" t="s">
        <v>2922</v>
      </c>
      <c r="F8" s="3387"/>
      <c r="G8" s="3407" t="s">
        <v>2922</v>
      </c>
      <c r="H8" s="3408"/>
      <c r="I8" s="3407" t="s">
        <v>2922</v>
      </c>
      <c r="J8" s="3408"/>
      <c r="K8" s="512" t="s">
        <v>528</v>
      </c>
      <c r="L8" s="2115"/>
      <c r="M8" s="2116"/>
      <c r="N8" s="2116"/>
      <c r="O8" s="2116"/>
      <c r="P8" s="3378"/>
      <c r="Q8" s="3379"/>
      <c r="R8" s="3382"/>
      <c r="S8" s="3383"/>
      <c r="T8" s="3384"/>
      <c r="U8" s="3385"/>
      <c r="V8" s="3367"/>
      <c r="W8" s="3367"/>
      <c r="X8" s="1550"/>
      <c r="Y8" s="3384"/>
      <c r="Z8" s="3385"/>
      <c r="AA8" s="3371"/>
      <c r="AB8" s="3371"/>
      <c r="AC8" s="3371"/>
    </row>
    <row r="9" spans="1:29" s="1214" customFormat="1" ht="15.75" thickBot="1">
      <c r="A9" s="2864"/>
      <c r="B9" s="2871" t="s">
        <v>529</v>
      </c>
      <c r="C9" s="517">
        <f>'数据-取费表'!B2</f>
        <v>43817</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00" t="s">
        <v>530</v>
      </c>
      <c r="Q9" s="3402"/>
      <c r="R9" s="1551" t="s">
        <v>8</v>
      </c>
      <c r="S9" s="1552">
        <f t="shared" ref="S9:S17" si="0">F9</f>
        <v>0</v>
      </c>
      <c r="T9" s="1551" t="s">
        <v>8</v>
      </c>
      <c r="U9" s="1552">
        <f t="shared" ref="U9:U17" si="1">H9</f>
        <v>0</v>
      </c>
      <c r="V9" s="1551" t="s">
        <v>8</v>
      </c>
      <c r="W9" s="1552">
        <f t="shared" ref="W9:W17" si="2">J9</f>
        <v>0</v>
      </c>
      <c r="X9" s="1553"/>
      <c r="Y9" s="3400" t="s">
        <v>530</v>
      </c>
      <c r="Z9" s="3401"/>
      <c r="AA9" s="1554" t="e">
        <f>D9/F9</f>
        <v>#DIV/0!</v>
      </c>
      <c r="AB9" s="1554" t="e">
        <f>D9/H9</f>
        <v>#DIV/0!</v>
      </c>
      <c r="AC9" s="1554" t="e">
        <f>D9/J9</f>
        <v>#DIV/0!</v>
      </c>
    </row>
    <row r="10" spans="1:29" s="1214"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00" t="s">
        <v>533</v>
      </c>
      <c r="Q10" s="3401"/>
      <c r="R10" s="1551" t="s">
        <v>8</v>
      </c>
      <c r="S10" s="1552">
        <f t="shared" si="0"/>
        <v>0</v>
      </c>
      <c r="T10" s="1551" t="s">
        <v>8</v>
      </c>
      <c r="U10" s="1552">
        <f t="shared" si="1"/>
        <v>0</v>
      </c>
      <c r="V10" s="1551" t="s">
        <v>8</v>
      </c>
      <c r="W10" s="1552">
        <f t="shared" si="2"/>
        <v>0</v>
      </c>
      <c r="X10" s="1553"/>
      <c r="Y10" s="3400" t="s">
        <v>533</v>
      </c>
      <c r="Z10" s="3401"/>
      <c r="AA10" s="1554" t="e">
        <f t="shared" ref="AA10:AA42" si="3">D10/F10</f>
        <v>#DIV/0!</v>
      </c>
      <c r="AB10" s="1554" t="e">
        <f t="shared" ref="AB10:AB42" si="4">D10/H10</f>
        <v>#DIV/0!</v>
      </c>
      <c r="AC10" s="1554" t="e">
        <f t="shared" ref="AC10:AC42" si="5">D10/J10</f>
        <v>#DIV/0!</v>
      </c>
    </row>
    <row r="11" spans="1:29" s="1214" customFormat="1" ht="15">
      <c r="A11" s="2866"/>
      <c r="B11" s="2873" t="s">
        <v>2753</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66" t="s">
        <v>535</v>
      </c>
      <c r="Q11" s="1145" t="str">
        <f t="shared" ref="Q11:Q17" si="6">B11</f>
        <v>用途</v>
      </c>
      <c r="R11" s="1551" t="s">
        <v>8</v>
      </c>
      <c r="S11" s="1552">
        <f t="shared" si="0"/>
        <v>100</v>
      </c>
      <c r="T11" s="1551" t="s">
        <v>8</v>
      </c>
      <c r="U11" s="1552">
        <f t="shared" si="1"/>
        <v>100</v>
      </c>
      <c r="V11" s="1551" t="s">
        <v>8</v>
      </c>
      <c r="W11" s="1552">
        <f t="shared" si="2"/>
        <v>100</v>
      </c>
      <c r="X11" s="1553"/>
      <c r="Y11" s="3312" t="s">
        <v>536</v>
      </c>
      <c r="Z11" s="1144" t="str">
        <f t="shared" ref="Z11:Z17" si="7">Q11</f>
        <v>用途</v>
      </c>
      <c r="AA11" s="1554">
        <f t="shared" si="3"/>
        <v>1</v>
      </c>
      <c r="AB11" s="1554">
        <f t="shared" si="4"/>
        <v>1</v>
      </c>
      <c r="AC11" s="1554">
        <f t="shared" si="5"/>
        <v>1</v>
      </c>
    </row>
    <row r="12" spans="1:29" s="1332" customFormat="1" ht="27">
      <c r="A12" s="2867"/>
      <c r="B12" s="2872" t="s">
        <v>2754</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366"/>
      <c r="Q12" s="1145" t="str">
        <f t="shared" si="6"/>
        <v>土地使用年限（年）</v>
      </c>
      <c r="R12" s="1551" t="s">
        <v>8</v>
      </c>
      <c r="S12" s="1552">
        <f t="shared" si="0"/>
        <v>108</v>
      </c>
      <c r="T12" s="1551" t="s">
        <v>8</v>
      </c>
      <c r="U12" s="1552">
        <f t="shared" si="1"/>
        <v>108</v>
      </c>
      <c r="V12" s="1551" t="s">
        <v>8</v>
      </c>
      <c r="W12" s="1552">
        <f t="shared" si="2"/>
        <v>108</v>
      </c>
      <c r="X12" s="1553"/>
      <c r="Y12" s="3312"/>
      <c r="Z12" s="1144" t="str">
        <f t="shared" si="7"/>
        <v>土地使用年限（年）</v>
      </c>
      <c r="AA12" s="1554">
        <f t="shared" si="3"/>
        <v>0.92592592592592593</v>
      </c>
      <c r="AB12" s="1554">
        <f t="shared" si="4"/>
        <v>0.92592592592592593</v>
      </c>
      <c r="AC12" s="1554">
        <f t="shared" si="5"/>
        <v>0.92592592592592593</v>
      </c>
    </row>
    <row r="13" spans="1:29" ht="15">
      <c r="A13" s="2868"/>
      <c r="B13" s="2872"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66"/>
      <c r="Q13" s="1145" t="str">
        <f t="shared" si="6"/>
        <v>容积率</v>
      </c>
      <c r="R13" s="1551" t="s">
        <v>8</v>
      </c>
      <c r="S13" s="1552" t="e">
        <f t="shared" si="0"/>
        <v>#N/A</v>
      </c>
      <c r="T13" s="1551" t="s">
        <v>8</v>
      </c>
      <c r="U13" s="1552" t="e">
        <f t="shared" si="1"/>
        <v>#N/A</v>
      </c>
      <c r="V13" s="1551" t="s">
        <v>8</v>
      </c>
      <c r="W13" s="1552" t="e">
        <f t="shared" si="2"/>
        <v>#N/A</v>
      </c>
      <c r="X13" s="1553"/>
      <c r="Y13" s="3312"/>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66"/>
      <c r="Q14" s="1145">
        <f t="shared" si="6"/>
        <v>111</v>
      </c>
      <c r="R14" s="1551" t="s">
        <v>8</v>
      </c>
      <c r="S14" s="1552">
        <f t="shared" si="0"/>
        <v>100</v>
      </c>
      <c r="T14" s="1551" t="s">
        <v>8</v>
      </c>
      <c r="U14" s="1552">
        <f t="shared" si="1"/>
        <v>100</v>
      </c>
      <c r="V14" s="1551" t="s">
        <v>8</v>
      </c>
      <c r="W14" s="1552">
        <f t="shared" si="2"/>
        <v>100</v>
      </c>
      <c r="X14" s="1553"/>
      <c r="Y14" s="3312"/>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66"/>
      <c r="Q15" s="1145">
        <f t="shared" si="6"/>
        <v>111</v>
      </c>
      <c r="R15" s="1551" t="s">
        <v>8</v>
      </c>
      <c r="S15" s="1552">
        <f t="shared" si="0"/>
        <v>100</v>
      </c>
      <c r="T15" s="1551" t="s">
        <v>8</v>
      </c>
      <c r="U15" s="1552">
        <f t="shared" si="1"/>
        <v>100</v>
      </c>
      <c r="V15" s="1551" t="s">
        <v>8</v>
      </c>
      <c r="W15" s="1552">
        <f t="shared" si="2"/>
        <v>100</v>
      </c>
      <c r="X15" s="1553"/>
      <c r="Y15" s="3312"/>
      <c r="Z15" s="1144">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66"/>
      <c r="Q16" s="1145">
        <f t="shared" si="6"/>
        <v>111</v>
      </c>
      <c r="R16" s="1551" t="s">
        <v>8</v>
      </c>
      <c r="S16" s="1552">
        <f t="shared" si="0"/>
        <v>100</v>
      </c>
      <c r="T16" s="1551" t="s">
        <v>8</v>
      </c>
      <c r="U16" s="1552">
        <f t="shared" si="1"/>
        <v>100</v>
      </c>
      <c r="V16" s="1551" t="s">
        <v>8</v>
      </c>
      <c r="W16" s="1552">
        <f t="shared" si="2"/>
        <v>100</v>
      </c>
      <c r="X16" s="1553"/>
      <c r="Y16" s="3312"/>
      <c r="Z16" s="1144">
        <f t="shared" si="7"/>
        <v>111</v>
      </c>
      <c r="AA16" s="1554">
        <f t="shared" si="3"/>
        <v>1</v>
      </c>
      <c r="AB16" s="1554">
        <f t="shared" si="4"/>
        <v>1</v>
      </c>
      <c r="AC16" s="1554">
        <f t="shared" si="5"/>
        <v>1</v>
      </c>
    </row>
    <row r="17" spans="1:29" ht="15">
      <c r="A17" s="2862"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03" t="s">
        <v>540</v>
      </c>
      <c r="Q17" s="1555" t="str">
        <f t="shared" si="6"/>
        <v>产业集聚程度</v>
      </c>
      <c r="R17" s="1556" t="s">
        <v>8</v>
      </c>
      <c r="S17" s="1557">
        <f t="shared" si="0"/>
        <v>100</v>
      </c>
      <c r="T17" s="1556" t="s">
        <v>8</v>
      </c>
      <c r="U17" s="1557">
        <f t="shared" si="1"/>
        <v>100</v>
      </c>
      <c r="V17" s="1556" t="s">
        <v>8</v>
      </c>
      <c r="W17" s="1557">
        <f t="shared" si="2"/>
        <v>100</v>
      </c>
      <c r="X17" s="1550"/>
      <c r="Y17" s="3403"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04"/>
      <c r="Q18" s="1555"/>
      <c r="R18" s="1556"/>
      <c r="S18" s="1557"/>
      <c r="T18" s="1556"/>
      <c r="U18" s="1557"/>
      <c r="V18" s="1556"/>
      <c r="W18" s="1557"/>
      <c r="X18" s="1550"/>
      <c r="Y18" s="3404"/>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04"/>
      <c r="Q19" s="1555" t="str">
        <f>B19</f>
        <v>交通便捷度</v>
      </c>
      <c r="R19" s="1556" t="s">
        <v>8</v>
      </c>
      <c r="S19" s="1557">
        <f>F19</f>
        <v>100</v>
      </c>
      <c r="T19" s="1556" t="s">
        <v>8</v>
      </c>
      <c r="U19" s="1557">
        <f>H19</f>
        <v>100</v>
      </c>
      <c r="V19" s="1556" t="s">
        <v>8</v>
      </c>
      <c r="W19" s="1557">
        <f>J19</f>
        <v>100</v>
      </c>
      <c r="X19" s="1550"/>
      <c r="Y19" s="3404"/>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04"/>
      <c r="Q20" s="1555"/>
      <c r="R20" s="1556"/>
      <c r="S20" s="1557"/>
      <c r="T20" s="1556"/>
      <c r="U20" s="1557"/>
      <c r="V20" s="1556"/>
      <c r="W20" s="1557"/>
      <c r="X20" s="1550"/>
      <c r="Y20" s="3404"/>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404"/>
      <c r="Q21" s="1555" t="str">
        <f t="shared" ref="Q21:Q35" si="8">B21</f>
        <v>区域土地利用方向</v>
      </c>
      <c r="R21" s="1556" t="s">
        <v>8</v>
      </c>
      <c r="S21" s="1557">
        <f>F21</f>
        <v>100</v>
      </c>
      <c r="T21" s="1556" t="s">
        <v>8</v>
      </c>
      <c r="U21" s="1557">
        <f>H21</f>
        <v>100</v>
      </c>
      <c r="V21" s="1556" t="s">
        <v>8</v>
      </c>
      <c r="W21" s="1557">
        <f>J21</f>
        <v>100</v>
      </c>
      <c r="X21" s="1550"/>
      <c r="Y21" s="3404"/>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404"/>
      <c r="Q22" s="1555"/>
      <c r="R22" s="1556"/>
      <c r="S22" s="1557"/>
      <c r="T22" s="1556"/>
      <c r="U22" s="1557"/>
      <c r="V22" s="1556"/>
      <c r="W22" s="1557"/>
      <c r="X22" s="1550"/>
      <c r="Y22" s="3404"/>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04"/>
      <c r="Q23" s="1555" t="str">
        <f t="shared" si="8"/>
        <v>环境状况</v>
      </c>
      <c r="R23" s="1556" t="s">
        <v>8</v>
      </c>
      <c r="S23" s="1557">
        <f>F23</f>
        <v>100</v>
      </c>
      <c r="T23" s="1556" t="s">
        <v>8</v>
      </c>
      <c r="U23" s="1557">
        <f>H23</f>
        <v>100</v>
      </c>
      <c r="V23" s="1556" t="s">
        <v>8</v>
      </c>
      <c r="W23" s="1557">
        <f>J23</f>
        <v>100</v>
      </c>
      <c r="X23" s="1550"/>
      <c r="Y23" s="3404"/>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04"/>
      <c r="Q24" s="1555"/>
      <c r="R24" s="1556"/>
      <c r="S24" s="1557"/>
      <c r="T24" s="1556"/>
      <c r="U24" s="1557"/>
      <c r="V24" s="1556"/>
      <c r="W24" s="1557"/>
      <c r="X24" s="1550"/>
      <c r="Y24" s="3404"/>
      <c r="Z24" s="1558"/>
      <c r="AA24" s="1559">
        <v>1</v>
      </c>
      <c r="AB24" s="1559">
        <v>1</v>
      </c>
      <c r="AC24" s="1559">
        <v>1</v>
      </c>
    </row>
    <row r="25" spans="1:29" s="1214" customFormat="1" ht="15">
      <c r="A25" s="575"/>
      <c r="B25" s="2554"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04"/>
      <c r="Q25" s="1145" t="str">
        <f t="shared" si="8"/>
        <v>公共配套设施</v>
      </c>
      <c r="R25" s="1551" t="s">
        <v>8</v>
      </c>
      <c r="S25" s="1552">
        <f>F25</f>
        <v>100</v>
      </c>
      <c r="T25" s="1551" t="s">
        <v>8</v>
      </c>
      <c r="U25" s="1552">
        <f>H25</f>
        <v>100</v>
      </c>
      <c r="V25" s="1551" t="s">
        <v>8</v>
      </c>
      <c r="W25" s="1552">
        <f>J25</f>
        <v>100</v>
      </c>
      <c r="X25" s="1553"/>
      <c r="Y25" s="3404"/>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404"/>
      <c r="Q26" s="1145"/>
      <c r="R26" s="1551"/>
      <c r="S26" s="1552"/>
      <c r="T26" s="1551"/>
      <c r="U26" s="1552"/>
      <c r="V26" s="1551"/>
      <c r="W26" s="1552"/>
      <c r="X26" s="1553"/>
      <c r="Y26" s="3404"/>
      <c r="Z26" s="1144"/>
      <c r="AA26" s="1554">
        <v>1</v>
      </c>
      <c r="AB26" s="1554">
        <v>1</v>
      </c>
      <c r="AC26" s="1554">
        <v>1</v>
      </c>
    </row>
    <row r="27" spans="1:29" s="1214" customFormat="1" ht="15">
      <c r="A27" s="575"/>
      <c r="B27" s="2554"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04"/>
      <c r="Q27" s="2539" t="str">
        <f t="shared" ref="Q27" si="9">B27</f>
        <v>基础设施水平</v>
      </c>
      <c r="R27" s="1551" t="s">
        <v>8</v>
      </c>
      <c r="S27" s="1552">
        <f>F27</f>
        <v>100</v>
      </c>
      <c r="T27" s="1551" t="s">
        <v>8</v>
      </c>
      <c r="U27" s="1552">
        <f>H27</f>
        <v>100</v>
      </c>
      <c r="V27" s="1551" t="s">
        <v>8</v>
      </c>
      <c r="W27" s="1552">
        <f>J27</f>
        <v>100</v>
      </c>
      <c r="X27" s="1553"/>
      <c r="Y27" s="3404"/>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404"/>
      <c r="Q28" s="2539"/>
      <c r="R28" s="1551"/>
      <c r="S28" s="1552"/>
      <c r="T28" s="1551"/>
      <c r="U28" s="1552"/>
      <c r="V28" s="1551"/>
      <c r="W28" s="1552"/>
      <c r="X28" s="1553"/>
      <c r="Y28" s="3404"/>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04"/>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4"/>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04"/>
      <c r="Q30" s="1555" t="str">
        <f t="shared" si="8"/>
        <v>毗邻道路的类型与等级</v>
      </c>
      <c r="R30" s="1556" t="s">
        <v>8</v>
      </c>
      <c r="S30" s="1557">
        <f t="shared" si="10"/>
        <v>100</v>
      </c>
      <c r="T30" s="1556" t="s">
        <v>8</v>
      </c>
      <c r="U30" s="1557">
        <f t="shared" si="11"/>
        <v>100</v>
      </c>
      <c r="V30" s="1556" t="s">
        <v>8</v>
      </c>
      <c r="W30" s="1557">
        <f t="shared" si="12"/>
        <v>100</v>
      </c>
      <c r="X30" s="1550"/>
      <c r="Y30" s="3404"/>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04"/>
      <c r="Q31" s="1555"/>
      <c r="R31" s="1556"/>
      <c r="S31" s="1557"/>
      <c r="T31" s="1556"/>
      <c r="U31" s="1557"/>
      <c r="V31" s="1556"/>
      <c r="W31" s="1557"/>
      <c r="X31" s="1550"/>
      <c r="Y31" s="3404"/>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04"/>
      <c r="Q32" s="1555" t="str">
        <f t="shared" si="8"/>
        <v>土地级别</v>
      </c>
      <c r="R32" s="1556" t="s">
        <v>8</v>
      </c>
      <c r="S32" s="1557">
        <f t="shared" si="10"/>
        <v>100</v>
      </c>
      <c r="T32" s="1556" t="s">
        <v>8</v>
      </c>
      <c r="U32" s="1557">
        <f t="shared" si="11"/>
        <v>100</v>
      </c>
      <c r="V32" s="1556" t="s">
        <v>8</v>
      </c>
      <c r="W32" s="1557">
        <f t="shared" si="12"/>
        <v>100</v>
      </c>
      <c r="X32" s="1550"/>
      <c r="Y32" s="3404"/>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04"/>
      <c r="Q33" s="1555">
        <f t="shared" si="8"/>
        <v>111</v>
      </c>
      <c r="R33" s="1556" t="s">
        <v>8</v>
      </c>
      <c r="S33" s="1557">
        <f t="shared" si="10"/>
        <v>100</v>
      </c>
      <c r="T33" s="1556" t="s">
        <v>8</v>
      </c>
      <c r="U33" s="1557">
        <f t="shared" si="11"/>
        <v>100</v>
      </c>
      <c r="V33" s="1556" t="s">
        <v>8</v>
      </c>
      <c r="W33" s="1557">
        <f t="shared" si="12"/>
        <v>100</v>
      </c>
      <c r="X33" s="1550"/>
      <c r="Y33" s="3404"/>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05" t="s">
        <v>550</v>
      </c>
      <c r="Q34" s="1555">
        <f t="shared" si="8"/>
        <v>111</v>
      </c>
      <c r="R34" s="1556" t="s">
        <v>8</v>
      </c>
      <c r="S34" s="1557">
        <f t="shared" si="10"/>
        <v>100</v>
      </c>
      <c r="T34" s="1556" t="s">
        <v>8</v>
      </c>
      <c r="U34" s="1557">
        <f t="shared" si="11"/>
        <v>100</v>
      </c>
      <c r="V34" s="1556" t="s">
        <v>8</v>
      </c>
      <c r="W34" s="1557">
        <f t="shared" si="12"/>
        <v>100</v>
      </c>
      <c r="X34" s="1550"/>
      <c r="Y34" s="3406" t="s">
        <v>550</v>
      </c>
      <c r="Z34" s="1558">
        <f t="shared" si="13"/>
        <v>111</v>
      </c>
      <c r="AA34" s="1559">
        <f t="shared" si="3"/>
        <v>1</v>
      </c>
      <c r="AB34" s="1559">
        <f t="shared" si="4"/>
        <v>1</v>
      </c>
      <c r="AC34" s="1559">
        <f t="shared" si="5"/>
        <v>1</v>
      </c>
    </row>
    <row r="35" spans="1:29" s="1333"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06"/>
      <c r="Q35" s="1555">
        <f t="shared" si="8"/>
        <v>111</v>
      </c>
      <c r="R35" s="1560" t="s">
        <v>8</v>
      </c>
      <c r="S35" s="1561">
        <f t="shared" si="10"/>
        <v>100</v>
      </c>
      <c r="T35" s="1560" t="s">
        <v>8</v>
      </c>
      <c r="U35" s="1561">
        <f t="shared" si="11"/>
        <v>100</v>
      </c>
      <c r="V35" s="1560" t="s">
        <v>8</v>
      </c>
      <c r="W35" s="1561">
        <f t="shared" si="12"/>
        <v>100</v>
      </c>
      <c r="X35" s="1562"/>
      <c r="Y35" s="3406"/>
      <c r="Z35" s="1563">
        <f t="shared" si="13"/>
        <v>111</v>
      </c>
      <c r="AA35" s="1559">
        <f t="shared" si="3"/>
        <v>1</v>
      </c>
      <c r="AB35" s="1559">
        <f t="shared" si="4"/>
        <v>1</v>
      </c>
      <c r="AC35" s="1559">
        <f t="shared" si="5"/>
        <v>1</v>
      </c>
    </row>
    <row r="36" spans="1:29" ht="15">
      <c r="A36" s="2859"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06"/>
      <c r="Q36" s="1555" t="str">
        <f>B36</f>
        <v>宗地面积</v>
      </c>
      <c r="R36" s="1556" t="s">
        <v>8</v>
      </c>
      <c r="S36" s="1557" t="e">
        <f t="shared" si="10"/>
        <v>#N/A</v>
      </c>
      <c r="T36" s="1556" t="s">
        <v>8</v>
      </c>
      <c r="U36" s="1557" t="e">
        <f t="shared" si="11"/>
        <v>#N/A</v>
      </c>
      <c r="V36" s="1556" t="s">
        <v>8</v>
      </c>
      <c r="W36" s="1557" t="e">
        <f t="shared" si="12"/>
        <v>#N/A</v>
      </c>
      <c r="X36" s="1550"/>
      <c r="Y36" s="3406"/>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06"/>
      <c r="Q37" s="1555" t="str">
        <f t="shared" ref="Q37:Q42" si="14">B37</f>
        <v>宗地形状</v>
      </c>
      <c r="R37" s="1556" t="s">
        <v>8</v>
      </c>
      <c r="S37" s="1557">
        <f t="shared" si="10"/>
        <v>100</v>
      </c>
      <c r="T37" s="1556" t="s">
        <v>8</v>
      </c>
      <c r="U37" s="1557">
        <f t="shared" si="11"/>
        <v>100</v>
      </c>
      <c r="V37" s="1556" t="s">
        <v>8</v>
      </c>
      <c r="W37" s="1557">
        <f t="shared" si="12"/>
        <v>100</v>
      </c>
      <c r="X37" s="1550"/>
      <c r="Y37" s="3406"/>
      <c r="Z37" s="1558" t="str">
        <f t="shared" si="13"/>
        <v>宗地形状</v>
      </c>
      <c r="AA37" s="1559">
        <f t="shared" si="3"/>
        <v>1</v>
      </c>
      <c r="AB37" s="1559">
        <f t="shared" si="4"/>
        <v>1</v>
      </c>
      <c r="AC37" s="1559">
        <f t="shared" si="5"/>
        <v>1</v>
      </c>
    </row>
    <row r="38" spans="1:29" s="1214"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06"/>
      <c r="Q38" s="1555" t="str">
        <f t="shared" si="14"/>
        <v>宗地开发程度</v>
      </c>
      <c r="R38" s="1551" t="s">
        <v>8</v>
      </c>
      <c r="S38" s="1552">
        <f t="shared" si="10"/>
        <v>100</v>
      </c>
      <c r="T38" s="1551" t="s">
        <v>8</v>
      </c>
      <c r="U38" s="1552">
        <f t="shared" si="11"/>
        <v>100</v>
      </c>
      <c r="V38" s="1551" t="s">
        <v>8</v>
      </c>
      <c r="W38" s="1552">
        <f t="shared" si="12"/>
        <v>100</v>
      </c>
      <c r="X38" s="1553"/>
      <c r="Y38" s="3406"/>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6" t="s">
        <v>601</v>
      </c>
      <c r="Q39" s="1555" t="str">
        <f t="shared" si="14"/>
        <v>工程地质条件</v>
      </c>
      <c r="R39" s="1556" t="s">
        <v>8</v>
      </c>
      <c r="S39" s="1557">
        <f t="shared" si="10"/>
        <v>100</v>
      </c>
      <c r="T39" s="1556" t="s">
        <v>8</v>
      </c>
      <c r="U39" s="1557">
        <f t="shared" si="11"/>
        <v>100</v>
      </c>
      <c r="V39" s="1556" t="s">
        <v>8</v>
      </c>
      <c r="W39" s="1557">
        <f t="shared" si="12"/>
        <v>100</v>
      </c>
      <c r="X39" s="1550"/>
      <c r="Y39" s="3406"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06"/>
      <c r="Q40" s="1555">
        <f t="shared" si="14"/>
        <v>111</v>
      </c>
      <c r="R40" s="1556" t="s">
        <v>8</v>
      </c>
      <c r="S40" s="1557">
        <f t="shared" si="10"/>
        <v>100</v>
      </c>
      <c r="T40" s="1556" t="s">
        <v>8</v>
      </c>
      <c r="U40" s="1557">
        <f t="shared" si="11"/>
        <v>100</v>
      </c>
      <c r="V40" s="1556" t="s">
        <v>8</v>
      </c>
      <c r="W40" s="1557">
        <f t="shared" si="12"/>
        <v>100</v>
      </c>
      <c r="X40" s="1550"/>
      <c r="Y40" s="3406"/>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06"/>
      <c r="Q41" s="1555">
        <f t="shared" si="14"/>
        <v>111</v>
      </c>
      <c r="R41" s="1556" t="s">
        <v>8</v>
      </c>
      <c r="S41" s="1557">
        <f t="shared" si="10"/>
        <v>100</v>
      </c>
      <c r="T41" s="1556" t="s">
        <v>8</v>
      </c>
      <c r="U41" s="1557">
        <f t="shared" si="11"/>
        <v>100</v>
      </c>
      <c r="V41" s="1556" t="s">
        <v>8</v>
      </c>
      <c r="W41" s="1557">
        <f t="shared" si="12"/>
        <v>100</v>
      </c>
      <c r="X41" s="1550"/>
      <c r="Y41" s="3406"/>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06"/>
      <c r="Q42" s="1555">
        <f t="shared" si="14"/>
        <v>111</v>
      </c>
      <c r="R42" s="1560" t="s">
        <v>8</v>
      </c>
      <c r="S42" s="1561">
        <f t="shared" si="10"/>
        <v>100</v>
      </c>
      <c r="T42" s="1560" t="s">
        <v>8</v>
      </c>
      <c r="U42" s="1561">
        <f t="shared" si="11"/>
        <v>100</v>
      </c>
      <c r="V42" s="1560" t="s">
        <v>8</v>
      </c>
      <c r="W42" s="1561">
        <f t="shared" si="12"/>
        <v>100</v>
      </c>
      <c r="X42" s="1562"/>
      <c r="Y42" s="3406"/>
      <c r="Z42" s="1563">
        <f t="shared" si="13"/>
        <v>111</v>
      </c>
      <c r="AA42" s="1559">
        <f t="shared" si="3"/>
        <v>1</v>
      </c>
      <c r="AB42" s="1559">
        <f t="shared" si="4"/>
        <v>1</v>
      </c>
      <c r="AC42" s="1559">
        <f t="shared" si="5"/>
        <v>1</v>
      </c>
    </row>
    <row r="43" spans="1:29" ht="15">
      <c r="A43" s="605" t="s">
        <v>556</v>
      </c>
      <c r="B43" s="606" t="s">
        <v>2923</v>
      </c>
      <c r="C43" s="607" t="s">
        <v>1</v>
      </c>
      <c r="D43" s="608"/>
      <c r="E43" s="609"/>
      <c r="F43" s="610"/>
      <c r="G43" s="611"/>
      <c r="H43" s="612"/>
      <c r="I43" s="609"/>
      <c r="J43" s="612"/>
      <c r="K43" s="1334"/>
      <c r="L43" s="2126"/>
      <c r="M43" s="2116"/>
      <c r="N43" s="2116"/>
      <c r="O43" s="2127"/>
      <c r="P43" s="3366" t="str">
        <f>A43</f>
        <v>成交单价</v>
      </c>
      <c r="Q43" s="3366"/>
      <c r="R43" s="3367">
        <f>E43</f>
        <v>0</v>
      </c>
      <c r="S43" s="3367"/>
      <c r="T43" s="3367">
        <f>G43</f>
        <v>0</v>
      </c>
      <c r="U43" s="3367"/>
      <c r="V43" s="3367">
        <f>I43</f>
        <v>0</v>
      </c>
      <c r="W43" s="3367"/>
      <c r="X43" s="1542"/>
      <c r="Y43" s="1564"/>
      <c r="Z43" s="1542"/>
      <c r="AA43" s="1542"/>
      <c r="AB43" s="1542"/>
      <c r="AC43" s="1542"/>
    </row>
    <row r="44" spans="1:29" ht="15.75" thickBot="1">
      <c r="A44" s="613" t="s">
        <v>2690</v>
      </c>
      <c r="B44" s="614"/>
      <c r="C44" s="615" t="e">
        <f>R45</f>
        <v>#DIV/0!</v>
      </c>
      <c r="D44" s="616"/>
      <c r="E44" s="615" t="e">
        <f>R44</f>
        <v>#DIV/0!</v>
      </c>
      <c r="F44" s="617"/>
      <c r="G44" s="618" t="e">
        <f>T44</f>
        <v>#DIV/0!</v>
      </c>
      <c r="H44" s="616"/>
      <c r="I44" s="615" t="e">
        <f>V44</f>
        <v>#DIV/0!</v>
      </c>
      <c r="J44" s="616"/>
      <c r="K44" s="1335"/>
      <c r="L44" s="2126"/>
      <c r="M44" s="2116"/>
      <c r="N44" s="2116"/>
      <c r="O44" s="2127"/>
      <c r="P44" s="3366" t="str">
        <f>A44</f>
        <v>比较价格（元/平方米）</v>
      </c>
      <c r="Q44" s="3366"/>
      <c r="R44" s="3368" t="e">
        <f>ROUND(PRODUCT(R43,AA9:AA42),0)</f>
        <v>#DIV/0!</v>
      </c>
      <c r="S44" s="3368"/>
      <c r="T44" s="3368" t="e">
        <f>ROUND(PRODUCT(T43,AB9:AB42),0)</f>
        <v>#DIV/0!</v>
      </c>
      <c r="U44" s="3368"/>
      <c r="V44" s="3368" t="e">
        <f>ROUND(PRODUCT(V43,AC9:AC42),0)</f>
        <v>#DIV/0!</v>
      </c>
      <c r="W44" s="3368"/>
      <c r="X44" s="1542"/>
      <c r="Y44" s="1542"/>
      <c r="Z44" s="1542"/>
      <c r="AA44" s="1542"/>
      <c r="AB44" s="1542"/>
      <c r="AC44" s="1542"/>
    </row>
    <row r="45" spans="1:29" ht="15.75" thickBot="1">
      <c r="A45" s="619" t="s">
        <v>2924</v>
      </c>
      <c r="B45" s="620"/>
      <c r="C45" s="621" t="e">
        <f>R45</f>
        <v>#DIV/0!</v>
      </c>
      <c r="D45" s="621"/>
      <c r="E45" s="621"/>
      <c r="F45" s="621"/>
      <c r="G45" s="621"/>
      <c r="H45" s="621"/>
      <c r="I45" s="621"/>
      <c r="J45" s="621"/>
      <c r="K45" s="1336"/>
      <c r="L45" s="2126"/>
      <c r="M45" s="2116"/>
      <c r="N45" s="2116"/>
      <c r="O45" s="2127"/>
      <c r="P45" s="3363" t="str">
        <f>A45</f>
        <v>估价对象XX用房的比较价格（楼面单价，元/平方米）</v>
      </c>
      <c r="Q45" s="3364"/>
      <c r="R45" s="3365" t="e">
        <f>ROUND(AVERAGE(R44:V44),0)</f>
        <v>#DIV/0!</v>
      </c>
      <c r="S45" s="3365"/>
      <c r="T45" s="3365"/>
      <c r="U45" s="3365"/>
      <c r="V45" s="3365"/>
      <c r="W45" s="3365"/>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11" t="s">
        <v>2281</v>
      </c>
      <c r="H52" s="3412"/>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564</v>
      </c>
      <c r="B53" s="632" t="e">
        <f>C45</f>
        <v>#DIV/0!</v>
      </c>
      <c r="C53" s="633">
        <v>1</v>
      </c>
      <c r="D53" s="2210">
        <v>1</v>
      </c>
      <c r="E53" s="633">
        <f>'数据-汇总表'!E8+'数据-汇总表'!E9</f>
        <v>63653.62</v>
      </c>
      <c r="F53" s="1932" t="e">
        <f t="shared" ref="F53:F62" si="15">ROUND(B53*E53/10000,0)</f>
        <v>#DIV/0!</v>
      </c>
      <c r="G53" s="3413"/>
      <c r="H53" s="3414"/>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565</v>
      </c>
      <c r="B54" s="636" t="e">
        <f>ROUND($C$45*C54*D54,0)</f>
        <v>#DIV/0!</v>
      </c>
      <c r="C54" s="376">
        <f t="shared" ref="C54:C62" si="16">IF($C$52="北京市系数",I54,J54)</f>
        <v>0.7</v>
      </c>
      <c r="D54" s="2211">
        <v>0.25</v>
      </c>
      <c r="E54" s="637"/>
      <c r="F54" s="1932" t="e">
        <f t="shared" si="15"/>
        <v>#DIV/0!</v>
      </c>
      <c r="G54" s="3415" t="s">
        <v>2282</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566</v>
      </c>
      <c r="B55" s="636" t="e">
        <f t="shared" ref="B55:B62" si="17">ROUND($C$45*C55*D55,0)</f>
        <v>#DIV/0!</v>
      </c>
      <c r="C55" s="376">
        <f t="shared" si="16"/>
        <v>0.4</v>
      </c>
      <c r="D55" s="2211">
        <v>0.25</v>
      </c>
      <c r="E55" s="637"/>
      <c r="F55" s="1932" t="e">
        <f t="shared" si="15"/>
        <v>#DIV/0!</v>
      </c>
      <c r="G55" s="3415"/>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567</v>
      </c>
      <c r="B56" s="636" t="e">
        <f t="shared" si="17"/>
        <v>#DIV/0!</v>
      </c>
      <c r="C56" s="376">
        <f t="shared" si="16"/>
        <v>0.28000000000000003</v>
      </c>
      <c r="D56" s="2211">
        <v>0.25</v>
      </c>
      <c r="E56" s="637"/>
      <c r="F56" s="1932" t="e">
        <f t="shared" si="15"/>
        <v>#DIV/0!</v>
      </c>
      <c r="G56" s="3415"/>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568</v>
      </c>
      <c r="B57" s="636" t="e">
        <f t="shared" si="17"/>
        <v>#DIV/0!</v>
      </c>
      <c r="C57" s="376">
        <f t="shared" si="16"/>
        <v>0.25</v>
      </c>
      <c r="D57" s="2211">
        <v>0.25</v>
      </c>
      <c r="E57" s="637"/>
      <c r="F57" s="1932" t="e">
        <f t="shared" si="15"/>
        <v>#DIV/0!</v>
      </c>
      <c r="G57" s="3415"/>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2325</v>
      </c>
      <c r="B58" s="636" t="e">
        <f t="shared" si="17"/>
        <v>#DIV/0!</v>
      </c>
      <c r="C58" s="376">
        <f t="shared" si="16"/>
        <v>0.25</v>
      </c>
      <c r="D58" s="2211">
        <v>0.25</v>
      </c>
      <c r="E58" s="639">
        <f>'数据-汇总表'!E11</f>
        <v>0</v>
      </c>
      <c r="F58" s="1932" t="e">
        <f t="shared" si="15"/>
        <v>#DIV/0!</v>
      </c>
      <c r="G58" s="1938" t="s">
        <v>2283</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569</v>
      </c>
      <c r="B59" s="636" t="e">
        <f t="shared" si="17"/>
        <v>#DIV/0!</v>
      </c>
      <c r="C59" s="376">
        <f t="shared" si="16"/>
        <v>0.25</v>
      </c>
      <c r="D59" s="2211">
        <v>0.25</v>
      </c>
      <c r="E59" s="639">
        <f>'数据-汇总表'!E12</f>
        <v>3440.91</v>
      </c>
      <c r="F59" s="1932" t="e">
        <f t="shared" si="15"/>
        <v>#DIV/0!</v>
      </c>
      <c r="G59" s="1928" t="s">
        <v>1676</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570</v>
      </c>
      <c r="B60" s="636" t="e">
        <f t="shared" si="17"/>
        <v>#DIV/0!</v>
      </c>
      <c r="C60" s="376">
        <f t="shared" si="16"/>
        <v>0.2</v>
      </c>
      <c r="D60" s="2211">
        <v>0.25</v>
      </c>
      <c r="E60" s="639">
        <f>'数据-汇总表'!E13</f>
        <v>29687.75</v>
      </c>
      <c r="F60" s="1932" t="e">
        <f t="shared" si="15"/>
        <v>#DIV/0!</v>
      </c>
      <c r="G60" s="1928" t="s">
        <v>922</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571</v>
      </c>
      <c r="B61" s="636" t="e">
        <f t="shared" si="17"/>
        <v>#DIV/0!</v>
      </c>
      <c r="C61" s="376">
        <f t="shared" si="16"/>
        <v>0.2</v>
      </c>
      <c r="D61" s="2211">
        <v>0.25</v>
      </c>
      <c r="E61" s="639">
        <f>'数据-汇总表'!E14</f>
        <v>0</v>
      </c>
      <c r="F61" s="1932" t="e">
        <f t="shared" si="15"/>
        <v>#DIV/0!</v>
      </c>
      <c r="G61" s="1938" t="s">
        <v>2282</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572</v>
      </c>
      <c r="B62" s="636" t="e">
        <f t="shared" si="17"/>
        <v>#DIV/0!</v>
      </c>
      <c r="C62" s="376">
        <f t="shared" si="16"/>
        <v>0.2</v>
      </c>
      <c r="D62" s="2211">
        <v>0.25</v>
      </c>
      <c r="E62" s="639">
        <f>'数据-汇总表'!E15</f>
        <v>0</v>
      </c>
      <c r="F62" s="1932" t="e">
        <f t="shared" si="15"/>
        <v>#DIV/0!</v>
      </c>
      <c r="G62" s="1939" t="s">
        <v>2283</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573</v>
      </c>
      <c r="B63" s="641" t="s">
        <v>17</v>
      </c>
      <c r="C63" s="641" t="s">
        <v>18</v>
      </c>
      <c r="D63" s="641" t="s">
        <v>2291</v>
      </c>
      <c r="E63" s="641">
        <f>IF(B43="楼面地价",SUM(E53:E62),'数据-汇总表'!D3)</f>
        <v>34964.49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2019-12-1</v>
      </c>
      <c r="D65" s="2751">
        <f>EDATE(C65,-3)</f>
        <v>43709</v>
      </c>
      <c r="E65" s="2751">
        <f t="shared" ref="E65:N65" si="18">EDATE(D65,-3)</f>
        <v>43617</v>
      </c>
      <c r="F65" s="2751">
        <f t="shared" si="18"/>
        <v>43525</v>
      </c>
      <c r="G65" s="2751">
        <f t="shared" si="18"/>
        <v>43435</v>
      </c>
      <c r="H65" s="2751">
        <f t="shared" si="18"/>
        <v>43344</v>
      </c>
      <c r="I65" s="2751">
        <f t="shared" si="18"/>
        <v>43252</v>
      </c>
      <c r="J65" s="2751">
        <f t="shared" si="18"/>
        <v>43160</v>
      </c>
      <c r="K65" s="2751">
        <f t="shared" si="18"/>
        <v>43070</v>
      </c>
      <c r="L65" s="2751">
        <f t="shared" si="18"/>
        <v>42979</v>
      </c>
      <c r="M65" s="2751">
        <f t="shared" si="18"/>
        <v>42887</v>
      </c>
      <c r="N65" s="2751">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2530</v>
      </c>
      <c r="B67" s="644"/>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7" t="str">
        <f>"北京市平均增长率"&amp;TEXT(基准地价!P24,"0.00%")</f>
        <v>北京市平均增长率1.38%</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2422</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75">
      <c r="A2" s="1399" t="s">
        <v>919</v>
      </c>
      <c r="B2" s="1036"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1686</v>
      </c>
      <c r="B3" s="1036" t="e">
        <f>ROUND(B2*10000/D1,0)</f>
        <v>#DIV/0!</v>
      </c>
      <c r="C3" s="1400" t="s">
        <v>926</v>
      </c>
      <c r="D3" s="1401" t="s">
        <v>927</v>
      </c>
      <c r="E3" s="1405"/>
      <c r="F3" s="1406"/>
      <c r="G3" s="1037">
        <f>IF(F3="宗地容积率",'数据-汇总表'!I4,IF(F3="估价对象容积率",'数据-汇总表'!I6,'数据-汇总表'!I7))</f>
        <v>4</v>
      </c>
      <c r="H3" s="1407" t="s">
        <v>928</v>
      </c>
      <c r="I3" s="1038">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5"/>
      <c r="L4" s="1867" t="s">
        <v>2238</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1822</v>
      </c>
      <c r="B5" s="1408" t="s">
        <v>930</v>
      </c>
      <c r="C5" s="1039" t="e">
        <f>ROUND(IF(E2="商业",C6*C7+C16,(IF(E2="住宅",C6*C12+C16,C6+C16))),0)</f>
        <v>#DIV/0!</v>
      </c>
      <c r="D5" s="3069" t="e">
        <f>ROUND(C6+C16,0)</f>
        <v>#DIV/0!</v>
      </c>
      <c r="E5" s="3069"/>
      <c r="F5" s="1409"/>
      <c r="G5" s="1410"/>
      <c r="H5" s="1410"/>
      <c r="I5" s="1410"/>
      <c r="J5" s="1411"/>
      <c r="K5" s="3146"/>
      <c r="L5" s="1867" t="s">
        <v>2239</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40">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27" t="str">
        <f>IF(E2="商业",IF(C8="不临58条商业街","",2),"")</f>
        <v/>
      </c>
      <c r="B7" s="1420" t="s">
        <v>931</v>
      </c>
      <c r="C7" s="1041" t="e">
        <f>IF(C8="不临58条商业街",1,ROUND(1+(1.6*E8+1.2*E9+0.8*E10+0.4*E11)*C9,4))</f>
        <v>#DIV/0!</v>
      </c>
      <c r="D7" s="1421" t="s">
        <v>932</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4"/>
      <c r="AB7" s="2174"/>
      <c r="AC7" s="2175"/>
      <c r="AD7" s="2881"/>
      <c r="AE7" s="2881"/>
      <c r="AF7" s="2881"/>
      <c r="AG7" s="2881"/>
      <c r="AH7" s="2881"/>
      <c r="AI7" s="2881"/>
      <c r="AJ7" s="2882"/>
    </row>
    <row r="8" spans="1:39" ht="15">
      <c r="A8" s="3428"/>
      <c r="B8" s="1407" t="s">
        <v>933</v>
      </c>
      <c r="C8" s="1513"/>
      <c r="D8" s="1043" t="s">
        <v>934</v>
      </c>
      <c r="E8" s="1044"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17" t="s">
        <v>2780</v>
      </c>
      <c r="X8" s="3418"/>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28"/>
      <c r="B9" s="1407" t="s">
        <v>936</v>
      </c>
      <c r="C9" s="1045">
        <f>SUMIF(修正!C59:C119,C8,修正!E59:E119)</f>
        <v>0</v>
      </c>
      <c r="D9" s="1046" t="s">
        <v>937</v>
      </c>
      <c r="E9" s="1046"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16"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8"/>
      <c r="B10" s="1407" t="s">
        <v>939</v>
      </c>
      <c r="C10" s="1046">
        <f>SUMIF(修正!C59:C119,C8,修正!F59:F119)</f>
        <v>0</v>
      </c>
      <c r="D10" s="1046" t="s">
        <v>940</v>
      </c>
      <c r="E10" s="1046"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1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8"/>
      <c r="B11" s="1428" t="s">
        <v>942</v>
      </c>
      <c r="C11" s="1047">
        <f>C10/4</f>
        <v>0</v>
      </c>
      <c r="D11" s="1047" t="s">
        <v>943</v>
      </c>
      <c r="E11" s="1047"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16" t="s">
        <v>2778</v>
      </c>
      <c r="X11" s="1046" t="s">
        <v>2763</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27" t="s">
        <v>1870</v>
      </c>
      <c r="B12" s="1432" t="s">
        <v>945</v>
      </c>
      <c r="C12" s="1041">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16"/>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9"/>
      <c r="B13" s="1437" t="s">
        <v>1695</v>
      </c>
      <c r="C13" s="1438" t="s">
        <v>1696</v>
      </c>
      <c r="D13" s="1083" t="s">
        <v>1697</v>
      </c>
      <c r="E13" s="1083" t="s">
        <v>1698</v>
      </c>
      <c r="F13" s="1439" t="s">
        <v>947</v>
      </c>
      <c r="G13" s="1440" t="s">
        <v>1641</v>
      </c>
      <c r="H13" s="1441" t="s">
        <v>1641</v>
      </c>
      <c r="I13" s="1442" t="s">
        <v>1641</v>
      </c>
      <c r="J13" s="1443" t="s">
        <v>1641</v>
      </c>
      <c r="K13" s="3161"/>
      <c r="L13" s="3161"/>
      <c r="M13" s="3161"/>
      <c r="N13" s="3161"/>
      <c r="O13" s="3161"/>
      <c r="P13" s="1394"/>
      <c r="Q13" s="2171"/>
      <c r="R13" s="2889">
        <v>12</v>
      </c>
      <c r="S13" s="2878"/>
      <c r="T13" s="2889" t="e">
        <f t="shared" si="0"/>
        <v>#DIV/0!</v>
      </c>
      <c r="U13" s="2878"/>
      <c r="V13" s="2889" t="e">
        <f t="shared" si="1"/>
        <v>#DIV/0!</v>
      </c>
      <c r="W13" s="3416"/>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29"/>
      <c r="B14" s="1444"/>
      <c r="C14" s="1445"/>
      <c r="D14" s="1446"/>
      <c r="E14" s="1446"/>
      <c r="F14" s="1447"/>
      <c r="G14" s="1448" t="s">
        <v>948</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0"/>
      <c r="B15" s="3166" t="s">
        <v>1699</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7" t="s">
        <v>1837</v>
      </c>
      <c r="B16" s="1420" t="s">
        <v>949</v>
      </c>
      <c r="C16" s="1050" t="e">
        <f>ROUND(IF(F17="与级别开发程度一致",0,(G17-E17)/C17),0)</f>
        <v>#DIV/0!</v>
      </c>
      <c r="D16" s="3424" t="s">
        <v>953</v>
      </c>
      <c r="E16" s="3425"/>
      <c r="F16" s="3424" t="s">
        <v>950</v>
      </c>
      <c r="G16" s="3425"/>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1"/>
      <c r="B17" s="3172" t="s">
        <v>952</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7" t="s">
        <v>954</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1">
        <f>ROUND(IF(H19="按公示增长率计算",SUMPRODUCT((地价!A3:A28=YEAR(G19)&amp;"-"&amp;ROUNDUP(MONTH(G19)/3,0))*(地价!X2:AB2=E2)*(地价!X3:AB28)),IF(H19="地价指数",M20/M19,(1+I19)^O19)),4)</f>
        <v>0</v>
      </c>
      <c r="D19" s="1459" t="s">
        <v>956</v>
      </c>
      <c r="E19" s="1052">
        <v>41640</v>
      </c>
      <c r="F19" s="1459" t="s">
        <v>957</v>
      </c>
      <c r="G19" s="1053">
        <f>'数据-取费表'!B2</f>
        <v>43817</v>
      </c>
      <c r="H19" s="1460" t="s">
        <v>2982</v>
      </c>
      <c r="I19" s="2737" t="str">
        <f>IF(H19="季度增幅（自定义）",SUMIF(N21:N24,E2,O21:O24),"")</f>
        <v/>
      </c>
      <c r="J19" s="1456"/>
      <c r="K19" s="3146"/>
      <c r="L19" s="2989" t="s">
        <v>2838</v>
      </c>
      <c r="M19" s="2990">
        <f>ROUND(SUMIF(地价!B2:F2,E2,地价!B28:F28),0)</f>
        <v>0</v>
      </c>
      <c r="N19" s="2739" t="s">
        <v>1675</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970</v>
      </c>
      <c r="C20" s="2733" t="e">
        <f>ROUND(POWER(1+G20,J20-I20)*(POWER(1+G20,I20)-1)/(POWER(1+G20,J20)-1),4)</f>
        <v>#DIV/0!</v>
      </c>
      <c r="D20" s="2734" t="s">
        <v>971</v>
      </c>
      <c r="E20" s="3044">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8"/>
      <c r="L20" s="2991" t="s">
        <v>2839</v>
      </c>
      <c r="M20" s="3155">
        <f>ROUND(SUMPRODUCT((地价!A4:A28=YEAR(G19)&amp;"-"&amp;ROUNDUP(MONTH(G19)/3,0))*(地价!B2:F2=E2)*(地价!B4:F28)),0)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25">
      <c r="A21" s="1624" t="s">
        <v>1836</v>
      </c>
      <c r="B21" s="1465" t="s">
        <v>2758</v>
      </c>
      <c r="C21" s="1152">
        <f>IF(B21="容积率修正",IF(G3&lt;=10,D22,J22),C23)</f>
        <v>0</v>
      </c>
      <c r="D21" s="1466"/>
      <c r="E21" s="1466"/>
      <c r="F21" s="1466"/>
      <c r="G21" s="1466"/>
      <c r="H21" s="1466"/>
      <c r="I21" s="1466"/>
      <c r="J21" s="1467"/>
      <c r="K21" s="3146"/>
      <c r="L21" s="1466"/>
      <c r="M21" s="1466"/>
      <c r="N21" s="1463" t="s">
        <v>974</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4" t="s">
        <v>1701</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9"/>
      <c r="L22" s="1466"/>
      <c r="M22" s="1466"/>
      <c r="N22" s="1463" t="s">
        <v>977</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1870</v>
      </c>
      <c r="B23" s="1468" t="s">
        <v>978</v>
      </c>
      <c r="C23" s="1055">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922</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6">
        <f>SUMIF(A44:A87,E2,B44:B87)</f>
        <v>0</v>
      </c>
      <c r="D24" s="1519"/>
      <c r="E24" s="1520"/>
      <c r="F24" s="1520"/>
      <c r="G24" s="1520"/>
      <c r="H24" s="1520"/>
      <c r="I24" s="1520"/>
      <c r="J24" s="1520"/>
      <c r="K24" s="3150"/>
      <c r="L24" s="1466"/>
      <c r="M24" s="1466"/>
      <c r="N24" s="1463" t="s">
        <v>980</v>
      </c>
      <c r="O24" s="3154"/>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6" t="s">
        <v>2645</v>
      </c>
      <c r="O25" s="3157"/>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7"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8" t="e">
        <f>E30+SUM(I33:I39)</f>
        <v>#DIV/0!</v>
      </c>
      <c r="D27" s="1478"/>
      <c r="E27" s="1479"/>
      <c r="F27" s="1480"/>
      <c r="G27" s="1479"/>
      <c r="H27" s="1479"/>
      <c r="I27" s="1479"/>
      <c r="J27" s="1481"/>
      <c r="K27" s="1449"/>
      <c r="L27" s="1453" t="s">
        <v>986</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992</v>
      </c>
      <c r="C29" s="1057" t="e">
        <f>ROUND(C5*C18*C19*C20*C21*C24,0)</f>
        <v>#DIV/0!</v>
      </c>
      <c r="D29" s="1488"/>
      <c r="E29" s="1831" t="e">
        <f>ROUND(C29*D29/10000,0)</f>
        <v>#DIV/0!</v>
      </c>
      <c r="F29" s="1489" t="s">
        <v>1700</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993</v>
      </c>
      <c r="C30" s="1049"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34" t="s">
        <v>2949</v>
      </c>
      <c r="B33" s="1508" t="s">
        <v>998</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35"/>
      <c r="B34" s="1438" t="s">
        <v>999</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35"/>
      <c r="B35" s="1438" t="s">
        <v>1000</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36"/>
      <c r="B36" s="1438" t="s">
        <v>1001</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2976</v>
      </c>
      <c r="C41" s="837" t="e">
        <f>ROUND(POWER(1+E41,H41-G41)*(POWER(1+E41,G41)-1)/(POWER(1+E41,H41)-1),4)</f>
        <v>#DIV/0!</v>
      </c>
      <c r="D41" s="376" t="s">
        <v>2974</v>
      </c>
      <c r="E41" s="3143">
        <f>G20</f>
        <v>0</v>
      </c>
      <c r="F41" s="376" t="s">
        <v>2975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1007</v>
      </c>
      <c r="B46" s="2369" t="s">
        <v>1008</v>
      </c>
      <c r="C46" s="2391" t="s">
        <v>1009</v>
      </c>
      <c r="D46" s="2392" t="s">
        <v>1010</v>
      </c>
      <c r="E46" s="2393" t="s">
        <v>1012</v>
      </c>
      <c r="F46" s="2394" t="s">
        <v>2247</v>
      </c>
      <c r="G46" s="2392" t="s">
        <v>1013</v>
      </c>
      <c r="H46" s="2375" t="s">
        <v>2415</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1019</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1" t="s">
        <v>1020</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1021</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1022</v>
      </c>
      <c r="B50" s="3046" t="s">
        <v>2926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1023</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1024</v>
      </c>
      <c r="B52" s="3045" t="s">
        <v>2925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1027</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1007</v>
      </c>
      <c r="B57" s="2369"/>
      <c r="C57" s="2391" t="s">
        <v>1009</v>
      </c>
      <c r="D57" s="2392" t="s">
        <v>1010</v>
      </c>
      <c r="E57" s="2393" t="s">
        <v>1012</v>
      </c>
      <c r="F57" s="2394" t="s">
        <v>2248</v>
      </c>
      <c r="G57" s="2392" t="s">
        <v>1013</v>
      </c>
      <c r="H57" s="2375" t="s">
        <v>2415</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1029</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1" t="s">
        <v>1020</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1021</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1022</v>
      </c>
      <c r="B61" s="3046" t="s">
        <v>2927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1023</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1024</v>
      </c>
      <c r="B63" s="3045" t="s">
        <v>2925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1025</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1026</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1027</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1007</v>
      </c>
      <c r="B68" s="2369"/>
      <c r="C68" s="2391" t="s">
        <v>1009</v>
      </c>
      <c r="D68" s="2392" t="s">
        <v>1010</v>
      </c>
      <c r="E68" s="2393" t="s">
        <v>1012</v>
      </c>
      <c r="F68" s="2394" t="s">
        <v>2249</v>
      </c>
      <c r="G68" s="2392" t="s">
        <v>1013</v>
      </c>
      <c r="H68" s="2375" t="s">
        <v>2415</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1031</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1" t="s">
        <v>1032</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1021</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1033</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1025</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1026</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1024</v>
      </c>
      <c r="B75" s="3045" t="s">
        <v>2925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1027</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1007</v>
      </c>
      <c r="B79" s="2369"/>
      <c r="C79" s="2391" t="s">
        <v>1009</v>
      </c>
      <c r="D79" s="2392" t="s">
        <v>1010</v>
      </c>
      <c r="E79" s="2393" t="s">
        <v>1012</v>
      </c>
      <c r="F79" s="2394" t="s">
        <v>2250</v>
      </c>
      <c r="G79" s="2392" t="s">
        <v>1013</v>
      </c>
      <c r="H79" s="2375" t="s">
        <v>2415</v>
      </c>
      <c r="I79" s="2392" t="s">
        <v>1011</v>
      </c>
      <c r="J79" s="2395" t="s">
        <v>1014</v>
      </c>
      <c r="K79" s="2395" t="s">
        <v>1015</v>
      </c>
      <c r="L79" s="2395" t="s">
        <v>1016</v>
      </c>
      <c r="M79" s="2395" t="s">
        <v>1017</v>
      </c>
      <c r="N79" s="2395" t="s">
        <v>1018</v>
      </c>
      <c r="AC79" s="1398"/>
      <c r="AD79" s="1397"/>
      <c r="AJ79" s="1396"/>
      <c r="AN79" s="1397"/>
    </row>
    <row r="80" spans="1:40" ht="24">
      <c r="A80" s="1061" t="s">
        <v>1036</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61" t="s">
        <v>1032</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1021</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1033</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1025</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1026</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1024</v>
      </c>
      <c r="B86" s="3045" t="s">
        <v>2925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1037</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32" t="s">
        <v>1632</v>
      </c>
      <c r="B90" s="3432"/>
      <c r="C90" s="3432"/>
      <c r="D90" s="3432"/>
      <c r="E90" s="3432"/>
      <c r="F90" s="3432"/>
      <c r="G90" s="3432"/>
      <c r="H90" s="3432"/>
      <c r="I90" s="3432"/>
      <c r="J90" s="3432"/>
      <c r="K90" s="2411"/>
      <c r="L90" s="2411"/>
      <c r="M90" s="2411"/>
      <c r="N90" s="2411"/>
    </row>
    <row r="91" spans="1:40">
      <c r="A91" s="3433" t="s">
        <v>1442</v>
      </c>
      <c r="B91" s="3433" t="s">
        <v>1633</v>
      </c>
      <c r="C91" s="1134" t="s">
        <v>1634</v>
      </c>
      <c r="D91" s="1135"/>
      <c r="E91" s="1135"/>
      <c r="F91" s="1135"/>
      <c r="G91" s="1135"/>
      <c r="H91" s="1135"/>
      <c r="I91" s="1135"/>
      <c r="J91" s="1136"/>
      <c r="K91" s="1128"/>
      <c r="L91" s="1128"/>
      <c r="M91" s="1128"/>
      <c r="N91" s="1128"/>
    </row>
    <row r="92" spans="1:40">
      <c r="A92" s="3433"/>
      <c r="B92" s="3433"/>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19"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0"/>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0"/>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0"/>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0"/>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0"/>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0"/>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1"/>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19" t="s">
        <v>1636</v>
      </c>
      <c r="B101" s="1141" t="s">
        <v>905</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20"/>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20"/>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20"/>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20"/>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20"/>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20"/>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20"/>
      <c r="B108" s="3422"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1"/>
      <c r="B109" s="3423"/>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26" t="s">
        <v>1638</v>
      </c>
      <c r="B110" s="3426"/>
      <c r="C110" s="3426"/>
      <c r="D110" s="3426"/>
      <c r="E110" s="3426"/>
      <c r="F110" s="3426"/>
      <c r="G110" s="3426"/>
      <c r="H110" s="3426"/>
      <c r="I110" s="3426"/>
      <c r="J110" s="3426"/>
      <c r="K110" s="2409"/>
      <c r="L110" s="2409"/>
      <c r="M110" s="2409"/>
      <c r="N110" s="2409"/>
    </row>
    <row r="112" spans="1:14" ht="12.75" thickBot="1"/>
    <row r="113" spans="1:13" ht="25.5" thickBot="1">
      <c r="A113" s="1014" t="s">
        <v>895</v>
      </c>
      <c r="B113" s="2412">
        <f>G3</f>
        <v>4</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900</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901</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902</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2979</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1" customFormat="1" ht="19.5" customHeight="1">
      <c r="A18" s="3433" t="s">
        <v>1006</v>
      </c>
      <c r="B18" s="1148" t="s">
        <v>1445</v>
      </c>
      <c r="C18" s="1125" t="s">
        <v>1446</v>
      </c>
      <c r="D18" s="1126"/>
      <c r="E18" s="1148">
        <v>1</v>
      </c>
      <c r="F18" s="1127" t="s">
        <v>1447</v>
      </c>
      <c r="G18" s="1128"/>
      <c r="H18" s="1099"/>
      <c r="I18" s="1099"/>
    </row>
    <row r="19" spans="1:9" s="1581" customFormat="1" ht="19.5" customHeight="1">
      <c r="A19" s="3433"/>
      <c r="B19" s="3433" t="s">
        <v>1448</v>
      </c>
      <c r="C19" s="1125" t="s">
        <v>1449</v>
      </c>
      <c r="D19" s="1126"/>
      <c r="E19" s="1148">
        <v>0.9</v>
      </c>
      <c r="F19" s="1127" t="s">
        <v>1450</v>
      </c>
      <c r="G19" s="1128"/>
      <c r="H19" s="1099"/>
      <c r="I19" s="1099"/>
    </row>
    <row r="20" spans="1:9" s="1581" customFormat="1" ht="19.5" customHeight="1">
      <c r="A20" s="3433"/>
      <c r="B20" s="3433"/>
      <c r="C20" s="1125" t="s">
        <v>1451</v>
      </c>
      <c r="D20" s="1126"/>
      <c r="E20" s="1148">
        <v>1.1000000000000001</v>
      </c>
      <c r="F20" s="1127" t="s">
        <v>1452</v>
      </c>
      <c r="G20" s="1128"/>
      <c r="H20" s="1099"/>
      <c r="I20" s="1099"/>
    </row>
    <row r="21" spans="1:9" s="1581" customFormat="1" ht="19.5" customHeight="1">
      <c r="A21" s="3433"/>
      <c r="B21" s="3433"/>
      <c r="C21" s="1125" t="s">
        <v>1453</v>
      </c>
      <c r="D21" s="1126"/>
      <c r="E21" s="1148">
        <v>0.8</v>
      </c>
      <c r="F21" s="1127" t="s">
        <v>1454</v>
      </c>
      <c r="G21" s="1128"/>
      <c r="H21" s="1099"/>
      <c r="I21" s="1099"/>
    </row>
    <row r="22" spans="1:9" s="1581" customFormat="1" ht="19.5" customHeight="1">
      <c r="A22" s="3433"/>
      <c r="B22" s="3433"/>
      <c r="C22" s="1125" t="s">
        <v>1455</v>
      </c>
      <c r="D22" s="1126"/>
      <c r="E22" s="1148">
        <v>0.5</v>
      </c>
      <c r="F22" s="1127"/>
      <c r="G22" s="1128"/>
      <c r="H22" s="1099"/>
      <c r="I22" s="1099"/>
    </row>
    <row r="23" spans="1:9" s="1581" customFormat="1" ht="19.5" customHeight="1">
      <c r="A23" s="3433" t="s">
        <v>1028</v>
      </c>
      <c r="B23" s="1148" t="s">
        <v>1445</v>
      </c>
      <c r="C23" s="1125" t="s">
        <v>1456</v>
      </c>
      <c r="D23" s="1126"/>
      <c r="E23" s="1148">
        <v>1</v>
      </c>
      <c r="F23" s="1127" t="s">
        <v>1457</v>
      </c>
      <c r="G23" s="1128"/>
      <c r="H23" s="1099"/>
      <c r="I23" s="1099"/>
    </row>
    <row r="24" spans="1:9" s="1581" customFormat="1" ht="19.5" customHeight="1">
      <c r="A24" s="3433"/>
      <c r="B24" s="3433" t="s">
        <v>1448</v>
      </c>
      <c r="C24" s="1125" t="s">
        <v>1458</v>
      </c>
      <c r="D24" s="1126"/>
      <c r="E24" s="1148">
        <v>0.5</v>
      </c>
      <c r="F24" s="1127"/>
      <c r="G24" s="1128"/>
      <c r="H24" s="1099"/>
      <c r="I24" s="1099"/>
    </row>
    <row r="25" spans="1:9" s="1581" customFormat="1" ht="19.5" customHeight="1">
      <c r="A25" s="3433"/>
      <c r="B25" s="3433"/>
      <c r="C25" s="1125" t="s">
        <v>1459</v>
      </c>
      <c r="D25" s="1126"/>
      <c r="E25" s="1148">
        <v>1.1000000000000001</v>
      </c>
      <c r="F25" s="1127"/>
      <c r="G25" s="1128"/>
      <c r="H25" s="1099"/>
      <c r="I25" s="1099"/>
    </row>
    <row r="26" spans="1:9" s="1581" customFormat="1" ht="19.5" customHeight="1">
      <c r="A26" s="3433"/>
      <c r="B26" s="3433"/>
      <c r="C26" s="1125" t="s">
        <v>1460</v>
      </c>
      <c r="D26" s="1126"/>
      <c r="E26" s="1148">
        <v>1.1000000000000001</v>
      </c>
      <c r="F26" s="1127"/>
      <c r="G26" s="1128"/>
      <c r="H26" s="1099"/>
      <c r="I26" s="1099"/>
    </row>
    <row r="27" spans="1:9" s="1581" customFormat="1" ht="19.5" customHeight="1">
      <c r="A27" s="3433"/>
      <c r="B27" s="3433"/>
      <c r="C27" s="1125" t="s">
        <v>1461</v>
      </c>
      <c r="D27" s="1126"/>
      <c r="E27" s="1148">
        <v>0.9</v>
      </c>
      <c r="F27" s="1127" t="s">
        <v>1462</v>
      </c>
      <c r="G27" s="1128"/>
      <c r="H27" s="1099"/>
      <c r="I27" s="1099"/>
    </row>
    <row r="28" spans="1:9" s="1581" customFormat="1" ht="19.5" customHeight="1">
      <c r="A28" s="3433"/>
      <c r="B28" s="3433"/>
      <c r="C28" s="1125" t="s">
        <v>1463</v>
      </c>
      <c r="D28" s="1126"/>
      <c r="E28" s="1148">
        <v>0.9</v>
      </c>
      <c r="F28" s="1127" t="s">
        <v>1464</v>
      </c>
      <c r="G28" s="1128"/>
      <c r="H28" s="1099"/>
      <c r="I28" s="1099"/>
    </row>
    <row r="29" spans="1:9" s="1581" customFormat="1" ht="19.5" customHeight="1">
      <c r="A29" s="3433"/>
      <c r="B29" s="3433"/>
      <c r="C29" s="1125" t="s">
        <v>1465</v>
      </c>
      <c r="D29" s="1126"/>
      <c r="E29" s="1148">
        <v>0.9</v>
      </c>
      <c r="F29" s="1127" t="s">
        <v>1466</v>
      </c>
      <c r="G29" s="1128"/>
      <c r="H29" s="1099"/>
      <c r="I29" s="1099"/>
    </row>
    <row r="30" spans="1:9" s="1581" customFormat="1" ht="19.5" customHeight="1">
      <c r="A30" s="3433"/>
      <c r="B30" s="3433"/>
      <c r="C30" s="1125" t="s">
        <v>1467</v>
      </c>
      <c r="D30" s="1126"/>
      <c r="E30" s="1148">
        <v>0.9</v>
      </c>
      <c r="F30" s="1127" t="s">
        <v>1468</v>
      </c>
      <c r="G30" s="1128"/>
      <c r="H30" s="1099"/>
      <c r="I30" s="1099"/>
    </row>
    <row r="31" spans="1:9" s="1581" customFormat="1" ht="19.5" customHeight="1">
      <c r="A31" s="3433"/>
      <c r="B31" s="3433"/>
      <c r="C31" s="1125" t="s">
        <v>1469</v>
      </c>
      <c r="D31" s="1126"/>
      <c r="E31" s="1148">
        <v>0.8</v>
      </c>
      <c r="F31" s="1127" t="s">
        <v>1470</v>
      </c>
      <c r="G31" s="1128"/>
      <c r="H31" s="1099"/>
      <c r="I31" s="1099"/>
    </row>
    <row r="32" spans="1:9" s="1581" customFormat="1" ht="19.5" customHeight="1">
      <c r="A32" s="3433"/>
      <c r="B32" s="3433"/>
      <c r="C32" s="1125" t="s">
        <v>1471</v>
      </c>
      <c r="D32" s="1126"/>
      <c r="E32" s="1148">
        <v>0.8</v>
      </c>
      <c r="F32" s="1127" t="s">
        <v>1472</v>
      </c>
      <c r="G32" s="1128"/>
      <c r="H32" s="1099"/>
      <c r="I32" s="1099"/>
    </row>
    <row r="33" spans="1:9" s="1581" customFormat="1" ht="19.5" customHeight="1">
      <c r="A33" s="3433" t="s">
        <v>1473</v>
      </c>
      <c r="B33" s="1148" t="s">
        <v>1445</v>
      </c>
      <c r="C33" s="1125" t="s">
        <v>1474</v>
      </c>
      <c r="D33" s="1126"/>
      <c r="E33" s="1148">
        <v>1</v>
      </c>
      <c r="F33" s="1127" t="s">
        <v>1475</v>
      </c>
      <c r="G33" s="1128"/>
      <c r="H33" s="1099"/>
      <c r="I33" s="1099"/>
    </row>
    <row r="34" spans="1:9" s="1581" customFormat="1" ht="19.5" customHeight="1">
      <c r="A34" s="3433"/>
      <c r="B34" s="1148" t="s">
        <v>1448</v>
      </c>
      <c r="C34" s="1125" t="s">
        <v>1476</v>
      </c>
      <c r="D34" s="1126"/>
      <c r="E34" s="1148">
        <v>1.5</v>
      </c>
      <c r="F34" s="1127" t="s">
        <v>1477</v>
      </c>
      <c r="G34" s="1128"/>
      <c r="H34" s="1099"/>
      <c r="I34" s="1099"/>
    </row>
    <row r="35" spans="1:9" s="1581" customFormat="1" ht="19.5" customHeight="1">
      <c r="A35" s="3433" t="s">
        <v>1431</v>
      </c>
      <c r="B35" s="1148" t="s">
        <v>1445</v>
      </c>
      <c r="C35" s="1125" t="s">
        <v>1478</v>
      </c>
      <c r="D35" s="1126"/>
      <c r="E35" s="1148">
        <v>1</v>
      </c>
      <c r="F35" s="1127" t="s">
        <v>1479</v>
      </c>
      <c r="G35" s="1128"/>
      <c r="H35" s="1099"/>
      <c r="I35" s="1099"/>
    </row>
    <row r="36" spans="1:9" s="1581" customFormat="1" ht="19.5" customHeight="1">
      <c r="A36" s="3433"/>
      <c r="B36" s="3433" t="s">
        <v>1448</v>
      </c>
      <c r="C36" s="1125" t="s">
        <v>1480</v>
      </c>
      <c r="D36" s="1126"/>
      <c r="E36" s="1148">
        <v>1</v>
      </c>
      <c r="F36" s="1127" t="s">
        <v>1481</v>
      </c>
      <c r="G36" s="1128"/>
      <c r="H36" s="1099"/>
      <c r="I36" s="1099"/>
    </row>
    <row r="37" spans="1:9" s="1581" customFormat="1" ht="19.5" customHeight="1">
      <c r="A37" s="3433"/>
      <c r="B37" s="3433"/>
      <c r="C37" s="1125" t="s">
        <v>1482</v>
      </c>
      <c r="D37" s="1126"/>
      <c r="E37" s="1148">
        <v>1.5</v>
      </c>
      <c r="F37" s="1127" t="s">
        <v>1483</v>
      </c>
      <c r="G37" s="1128"/>
      <c r="H37" s="1099"/>
      <c r="I37" s="1099"/>
    </row>
    <row r="38" spans="1:9" s="1581" customFormat="1" ht="19.5" customHeight="1">
      <c r="A38" s="3433"/>
      <c r="B38" s="3433"/>
      <c r="C38" s="1125" t="s">
        <v>1484</v>
      </c>
      <c r="D38" s="1126"/>
      <c r="E38" s="1148">
        <v>1</v>
      </c>
      <c r="F38" s="1127" t="s">
        <v>1485</v>
      </c>
      <c r="G38" s="1128"/>
      <c r="H38" s="1099"/>
      <c r="I38" s="1099"/>
    </row>
    <row r="39" spans="1:9" s="1581" customFormat="1" ht="19.5" customHeight="1">
      <c r="A39" s="3433"/>
      <c r="B39" s="3433"/>
      <c r="C39" s="1125" t="s">
        <v>1486</v>
      </c>
      <c r="D39" s="1126"/>
      <c r="E39" s="1148">
        <v>1</v>
      </c>
      <c r="F39" s="1127" t="s">
        <v>1487</v>
      </c>
      <c r="G39" s="1128"/>
      <c r="H39" s="1099"/>
      <c r="I39" s="1099"/>
    </row>
    <row r="40" spans="1:9" s="1581" customFormat="1" ht="19.5" customHeight="1">
      <c r="A40" s="1582" t="s">
        <v>1488</v>
      </c>
      <c r="B40" s="1582"/>
      <c r="C40" s="1582"/>
      <c r="D40" s="1582"/>
      <c r="E40" s="1582"/>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33" t="s">
        <v>1500</v>
      </c>
      <c r="C61" s="1062" t="s">
        <v>1501</v>
      </c>
      <c r="D61" s="1062" t="s">
        <v>1502</v>
      </c>
      <c r="E61" s="1133">
        <v>0.5</v>
      </c>
      <c r="F61" s="1148">
        <v>80</v>
      </c>
      <c r="H61" s="1099">
        <f>SUMIF(C59:C119,基准地价!C8,E59:E119)</f>
        <v>0</v>
      </c>
    </row>
    <row r="62" spans="1:8" s="1099" customFormat="1" ht="24">
      <c r="A62" s="1148">
        <v>2</v>
      </c>
      <c r="B62" s="3433"/>
      <c r="C62" s="1062" t="s">
        <v>1503</v>
      </c>
      <c r="D62" s="1062" t="s">
        <v>1504</v>
      </c>
      <c r="E62" s="1133">
        <v>0.5</v>
      </c>
      <c r="F62" s="1148">
        <v>80</v>
      </c>
    </row>
    <row r="63" spans="1:8" s="1099" customFormat="1" ht="36">
      <c r="A63" s="1148">
        <v>3</v>
      </c>
      <c r="B63" s="3433"/>
      <c r="C63" s="1062" t="s">
        <v>1505</v>
      </c>
      <c r="D63" s="1062" t="s">
        <v>1506</v>
      </c>
      <c r="E63" s="1133">
        <v>0.5</v>
      </c>
      <c r="F63" s="1148">
        <v>80</v>
      </c>
    </row>
    <row r="64" spans="1:8" s="1099" customFormat="1" ht="36">
      <c r="A64" s="1148">
        <v>4</v>
      </c>
      <c r="B64" s="3433"/>
      <c r="C64" s="1062" t="s">
        <v>1507</v>
      </c>
      <c r="D64" s="1062" t="s">
        <v>1508</v>
      </c>
      <c r="E64" s="1133">
        <v>0.4</v>
      </c>
      <c r="F64" s="1148">
        <v>60</v>
      </c>
    </row>
    <row r="65" spans="1:6" s="1099" customFormat="1" ht="36">
      <c r="A65" s="1148">
        <v>5</v>
      </c>
      <c r="B65" s="3433"/>
      <c r="C65" s="1062" t="s">
        <v>1509</v>
      </c>
      <c r="D65" s="1062" t="s">
        <v>1510</v>
      </c>
      <c r="E65" s="1133">
        <v>0.2</v>
      </c>
      <c r="F65" s="1148">
        <v>30</v>
      </c>
    </row>
    <row r="66" spans="1:6" s="1099" customFormat="1" ht="36">
      <c r="A66" s="1148">
        <v>6</v>
      </c>
      <c r="B66" s="3433"/>
      <c r="C66" s="1062" t="s">
        <v>1511</v>
      </c>
      <c r="D66" s="1062" t="s">
        <v>1512</v>
      </c>
      <c r="E66" s="1133">
        <v>0.3</v>
      </c>
      <c r="F66" s="1148">
        <v>50</v>
      </c>
    </row>
    <row r="67" spans="1:6" s="1099" customFormat="1" ht="36">
      <c r="A67" s="1148">
        <v>7</v>
      </c>
      <c r="B67" s="3433"/>
      <c r="C67" s="1062" t="s">
        <v>1513</v>
      </c>
      <c r="D67" s="1062" t="s">
        <v>1514</v>
      </c>
      <c r="E67" s="1133">
        <v>0.2</v>
      </c>
      <c r="F67" s="1148">
        <v>30</v>
      </c>
    </row>
    <row r="68" spans="1:6" s="1099" customFormat="1" ht="36">
      <c r="A68" s="1148">
        <v>8</v>
      </c>
      <c r="B68" s="3433"/>
      <c r="C68" s="1062" t="s">
        <v>1515</v>
      </c>
      <c r="D68" s="1062" t="s">
        <v>1516</v>
      </c>
      <c r="E68" s="1133">
        <v>0.2</v>
      </c>
      <c r="F68" s="1148">
        <v>30</v>
      </c>
    </row>
    <row r="69" spans="1:6" s="1099" customFormat="1" ht="36">
      <c r="A69" s="1148">
        <v>9</v>
      </c>
      <c r="B69" s="3433"/>
      <c r="C69" s="1062" t="s">
        <v>1517</v>
      </c>
      <c r="D69" s="1062" t="s">
        <v>1518</v>
      </c>
      <c r="E69" s="1133">
        <v>0.2</v>
      </c>
      <c r="F69" s="1148">
        <v>30</v>
      </c>
    </row>
    <row r="70" spans="1:6" s="1099" customFormat="1" ht="48">
      <c r="A70" s="1148">
        <v>10</v>
      </c>
      <c r="B70" s="3433"/>
      <c r="C70" s="1062" t="s">
        <v>1519</v>
      </c>
      <c r="D70" s="1062" t="s">
        <v>1520</v>
      </c>
      <c r="E70" s="1133">
        <v>0.2</v>
      </c>
      <c r="F70" s="1148">
        <v>30</v>
      </c>
    </row>
    <row r="71" spans="1:6" s="1099" customFormat="1" ht="48">
      <c r="A71" s="1148">
        <v>11</v>
      </c>
      <c r="B71" s="3433"/>
      <c r="C71" s="1062" t="s">
        <v>1521</v>
      </c>
      <c r="D71" s="1062" t="s">
        <v>1522</v>
      </c>
      <c r="E71" s="1133">
        <v>0.2</v>
      </c>
      <c r="F71" s="1148">
        <v>30</v>
      </c>
    </row>
    <row r="72" spans="1:6" s="1099" customFormat="1" ht="36">
      <c r="A72" s="1148">
        <v>12</v>
      </c>
      <c r="B72" s="3433"/>
      <c r="C72" s="1062" t="s">
        <v>1523</v>
      </c>
      <c r="D72" s="1062" t="s">
        <v>1524</v>
      </c>
      <c r="E72" s="1133">
        <v>0.5</v>
      </c>
      <c r="F72" s="1148">
        <v>80</v>
      </c>
    </row>
    <row r="73" spans="1:6" s="1099" customFormat="1" ht="24">
      <c r="A73" s="1148">
        <v>13</v>
      </c>
      <c r="B73" s="3433"/>
      <c r="C73" s="1062" t="s">
        <v>1525</v>
      </c>
      <c r="D73" s="1062" t="s">
        <v>1526</v>
      </c>
      <c r="E73" s="1133">
        <v>0.4</v>
      </c>
      <c r="F73" s="1148">
        <v>60</v>
      </c>
    </row>
    <row r="74" spans="1:6" s="1099" customFormat="1" ht="24">
      <c r="A74" s="1148">
        <v>14</v>
      </c>
      <c r="B74" s="3433"/>
      <c r="C74" s="1062" t="s">
        <v>1527</v>
      </c>
      <c r="D74" s="1062" t="s">
        <v>1528</v>
      </c>
      <c r="E74" s="1133">
        <v>0.2</v>
      </c>
      <c r="F74" s="1148">
        <v>30</v>
      </c>
    </row>
    <row r="75" spans="1:6" s="1099" customFormat="1" ht="24">
      <c r="A75" s="1148">
        <v>15</v>
      </c>
      <c r="B75" s="3433"/>
      <c r="C75" s="1062" t="s">
        <v>1529</v>
      </c>
      <c r="D75" s="1062" t="s">
        <v>1530</v>
      </c>
      <c r="E75" s="1133">
        <v>0.2</v>
      </c>
      <c r="F75" s="1148">
        <v>30</v>
      </c>
    </row>
    <row r="76" spans="1:6" s="1099" customFormat="1" ht="24">
      <c r="A76" s="1148">
        <v>16</v>
      </c>
      <c r="B76" s="3433" t="s">
        <v>1531</v>
      </c>
      <c r="C76" s="1062" t="s">
        <v>1532</v>
      </c>
      <c r="D76" s="1062" t="s">
        <v>1533</v>
      </c>
      <c r="E76" s="1133">
        <v>0.5</v>
      </c>
      <c r="F76" s="1148">
        <v>80</v>
      </c>
    </row>
    <row r="77" spans="1:6" s="1099" customFormat="1" ht="24">
      <c r="A77" s="1148">
        <v>17</v>
      </c>
      <c r="B77" s="3433"/>
      <c r="C77" s="1062" t="s">
        <v>1534</v>
      </c>
      <c r="D77" s="1062" t="s">
        <v>1535</v>
      </c>
      <c r="E77" s="1133">
        <v>0.5</v>
      </c>
      <c r="F77" s="1148">
        <v>80</v>
      </c>
    </row>
    <row r="78" spans="1:6" s="1099" customFormat="1" ht="24">
      <c r="A78" s="1148">
        <v>18</v>
      </c>
      <c r="B78" s="3433"/>
      <c r="C78" s="1062" t="s">
        <v>1536</v>
      </c>
      <c r="D78" s="1062" t="s">
        <v>1537</v>
      </c>
      <c r="E78" s="1133">
        <v>0.2</v>
      </c>
      <c r="F78" s="1148">
        <v>30</v>
      </c>
    </row>
    <row r="79" spans="1:6" s="1099" customFormat="1" ht="24">
      <c r="A79" s="1148">
        <v>19</v>
      </c>
      <c r="B79" s="3433"/>
      <c r="C79" s="1062" t="s">
        <v>1538</v>
      </c>
      <c r="D79" s="1062" t="s">
        <v>1539</v>
      </c>
      <c r="E79" s="1133">
        <v>0.5</v>
      </c>
      <c r="F79" s="1148">
        <v>80</v>
      </c>
    </row>
    <row r="80" spans="1:6" s="1099" customFormat="1" ht="36">
      <c r="A80" s="1148">
        <v>20</v>
      </c>
      <c r="B80" s="3433"/>
      <c r="C80" s="1062" t="s">
        <v>1540</v>
      </c>
      <c r="D80" s="1062" t="s">
        <v>1541</v>
      </c>
      <c r="E80" s="1133">
        <v>0.2</v>
      </c>
      <c r="F80" s="1148">
        <v>30</v>
      </c>
    </row>
    <row r="81" spans="1:6" s="1099" customFormat="1" ht="36">
      <c r="A81" s="1148">
        <v>21</v>
      </c>
      <c r="B81" s="3433"/>
      <c r="C81" s="1062" t="s">
        <v>1542</v>
      </c>
      <c r="D81" s="1062" t="s">
        <v>1543</v>
      </c>
      <c r="E81" s="1133">
        <v>0.2</v>
      </c>
      <c r="F81" s="1148">
        <v>30</v>
      </c>
    </row>
    <row r="82" spans="1:6" s="1099" customFormat="1" ht="48">
      <c r="A82" s="1148">
        <v>22</v>
      </c>
      <c r="B82" s="3433"/>
      <c r="C82" s="1062" t="s">
        <v>1544</v>
      </c>
      <c r="D82" s="1062" t="s">
        <v>1545</v>
      </c>
      <c r="E82" s="1133">
        <v>0.2</v>
      </c>
      <c r="F82" s="1148">
        <v>30</v>
      </c>
    </row>
    <row r="83" spans="1:6" s="1099" customFormat="1" ht="48">
      <c r="A83" s="1148">
        <v>23</v>
      </c>
      <c r="B83" s="3433"/>
      <c r="C83" s="1062" t="s">
        <v>1546</v>
      </c>
      <c r="D83" s="1062" t="s">
        <v>1547</v>
      </c>
      <c r="E83" s="1133">
        <v>0.2</v>
      </c>
      <c r="F83" s="1148">
        <v>30</v>
      </c>
    </row>
    <row r="84" spans="1:6" s="1099" customFormat="1" ht="36">
      <c r="A84" s="1148">
        <v>24</v>
      </c>
      <c r="B84" s="3433"/>
      <c r="C84" s="1062" t="s">
        <v>1548</v>
      </c>
      <c r="D84" s="1062" t="s">
        <v>1549</v>
      </c>
      <c r="E84" s="1133">
        <v>0.2</v>
      </c>
      <c r="F84" s="1148">
        <v>30</v>
      </c>
    </row>
    <row r="85" spans="1:6" s="1099" customFormat="1" ht="36">
      <c r="A85" s="1148">
        <v>25</v>
      </c>
      <c r="B85" s="3433"/>
      <c r="C85" s="1062" t="s">
        <v>1550</v>
      </c>
      <c r="D85" s="1062" t="s">
        <v>1551</v>
      </c>
      <c r="E85" s="1133">
        <v>0.5</v>
      </c>
      <c r="F85" s="1148">
        <v>80</v>
      </c>
    </row>
    <row r="86" spans="1:6" s="1099" customFormat="1" ht="36">
      <c r="A86" s="1148">
        <v>26</v>
      </c>
      <c r="B86" s="3433"/>
      <c r="C86" s="1062" t="s">
        <v>1552</v>
      </c>
      <c r="D86" s="1062" t="s">
        <v>1553</v>
      </c>
      <c r="E86" s="1133">
        <v>0.2</v>
      </c>
      <c r="F86" s="1148">
        <v>30</v>
      </c>
    </row>
    <row r="87" spans="1:6" s="1099" customFormat="1" ht="36">
      <c r="A87" s="1148">
        <v>27</v>
      </c>
      <c r="B87" s="3433"/>
      <c r="C87" s="1062" t="s">
        <v>1554</v>
      </c>
      <c r="D87" s="1062" t="s">
        <v>1555</v>
      </c>
      <c r="E87" s="1133">
        <v>0.2</v>
      </c>
      <c r="F87" s="1148">
        <v>30</v>
      </c>
    </row>
    <row r="88" spans="1:6" s="1099" customFormat="1" ht="36">
      <c r="A88" s="1148">
        <v>28</v>
      </c>
      <c r="B88" s="3433"/>
      <c r="C88" s="1062" t="s">
        <v>1556</v>
      </c>
      <c r="D88" s="1062" t="s">
        <v>1557</v>
      </c>
      <c r="E88" s="1133">
        <v>0.2</v>
      </c>
      <c r="F88" s="1148">
        <v>30</v>
      </c>
    </row>
    <row r="89" spans="1:6" s="1099" customFormat="1" ht="24">
      <c r="A89" s="1148">
        <v>29</v>
      </c>
      <c r="B89" s="3433"/>
      <c r="C89" s="1062" t="s">
        <v>1558</v>
      </c>
      <c r="D89" s="1062" t="s">
        <v>1559</v>
      </c>
      <c r="E89" s="1133">
        <v>0.2</v>
      </c>
      <c r="F89" s="1148">
        <v>30</v>
      </c>
    </row>
    <row r="90" spans="1:6" s="1099" customFormat="1" ht="24">
      <c r="A90" s="1148">
        <v>30</v>
      </c>
      <c r="B90" s="3433"/>
      <c r="C90" s="1062" t="s">
        <v>1560</v>
      </c>
      <c r="D90" s="1062" t="s">
        <v>1561</v>
      </c>
      <c r="E90" s="1133">
        <v>0.2</v>
      </c>
      <c r="F90" s="1148">
        <v>30</v>
      </c>
    </row>
    <row r="91" spans="1:6" s="1099" customFormat="1" ht="36">
      <c r="A91" s="1148">
        <v>31</v>
      </c>
      <c r="B91" s="3433"/>
      <c r="C91" s="1062" t="s">
        <v>1562</v>
      </c>
      <c r="D91" s="1062" t="s">
        <v>1563</v>
      </c>
      <c r="E91" s="1133">
        <v>0.2</v>
      </c>
      <c r="F91" s="1148">
        <v>30</v>
      </c>
    </row>
    <row r="92" spans="1:6" s="1099" customFormat="1" ht="24">
      <c r="A92" s="1148">
        <v>32</v>
      </c>
      <c r="B92" s="3433" t="s">
        <v>1564</v>
      </c>
      <c r="C92" s="1148" t="s">
        <v>1565</v>
      </c>
      <c r="D92" s="1062" t="s">
        <v>1566</v>
      </c>
      <c r="E92" s="1133">
        <v>0.2</v>
      </c>
      <c r="F92" s="1148">
        <v>30</v>
      </c>
    </row>
    <row r="93" spans="1:6" s="1099" customFormat="1" ht="36">
      <c r="A93" s="1148">
        <v>33</v>
      </c>
      <c r="B93" s="3433"/>
      <c r="C93" s="1148" t="s">
        <v>1567</v>
      </c>
      <c r="D93" s="1062" t="s">
        <v>1568</v>
      </c>
      <c r="E93" s="1133">
        <v>0.2</v>
      </c>
      <c r="F93" s="1148">
        <v>30</v>
      </c>
    </row>
    <row r="94" spans="1:6" s="1099" customFormat="1" ht="48">
      <c r="A94" s="1148">
        <v>34</v>
      </c>
      <c r="B94" s="3433"/>
      <c r="C94" s="1148" t="s">
        <v>1569</v>
      </c>
      <c r="D94" s="1062" t="s">
        <v>1570</v>
      </c>
      <c r="E94" s="1133">
        <v>0.2</v>
      </c>
      <c r="F94" s="1148">
        <v>30</v>
      </c>
    </row>
    <row r="95" spans="1:6" s="1099" customFormat="1" ht="36">
      <c r="A95" s="1148">
        <v>35</v>
      </c>
      <c r="B95" s="3433"/>
      <c r="C95" s="1148" t="s">
        <v>1571</v>
      </c>
      <c r="D95" s="1062" t="s">
        <v>1572</v>
      </c>
      <c r="E95" s="1133">
        <v>0.2</v>
      </c>
      <c r="F95" s="1148">
        <v>30</v>
      </c>
    </row>
    <row r="96" spans="1:6" s="1099" customFormat="1" ht="48">
      <c r="A96" s="1148">
        <v>36</v>
      </c>
      <c r="B96" s="3433"/>
      <c r="C96" s="1062" t="s">
        <v>1573</v>
      </c>
      <c r="D96" s="1062" t="s">
        <v>1574</v>
      </c>
      <c r="E96" s="1133">
        <v>0.2</v>
      </c>
      <c r="F96" s="1148">
        <v>30</v>
      </c>
    </row>
    <row r="97" spans="1:6" s="1099" customFormat="1" ht="36">
      <c r="A97" s="1148">
        <v>37</v>
      </c>
      <c r="B97" s="3433"/>
      <c r="C97" s="1148" t="s">
        <v>1575</v>
      </c>
      <c r="D97" s="1062" t="s">
        <v>1576</v>
      </c>
      <c r="E97" s="1133">
        <v>0.2</v>
      </c>
      <c r="F97" s="1148">
        <v>30</v>
      </c>
    </row>
    <row r="98" spans="1:6" s="1099" customFormat="1" ht="36">
      <c r="A98" s="1148">
        <v>38</v>
      </c>
      <c r="B98" s="3433"/>
      <c r="C98" s="1148" t="s">
        <v>1577</v>
      </c>
      <c r="D98" s="1062" t="s">
        <v>1578</v>
      </c>
      <c r="E98" s="1133">
        <v>0.2</v>
      </c>
      <c r="F98" s="1148">
        <v>30</v>
      </c>
    </row>
    <row r="99" spans="1:6" s="1099" customFormat="1" ht="36">
      <c r="A99" s="1148">
        <v>39</v>
      </c>
      <c r="B99" s="3433" t="s">
        <v>1579</v>
      </c>
      <c r="C99" s="1148" t="s">
        <v>1580</v>
      </c>
      <c r="D99" s="1062" t="s">
        <v>1581</v>
      </c>
      <c r="E99" s="1133">
        <v>0.3</v>
      </c>
      <c r="F99" s="1148">
        <v>50</v>
      </c>
    </row>
    <row r="100" spans="1:6" s="1099" customFormat="1" ht="24">
      <c r="A100" s="1148">
        <v>40</v>
      </c>
      <c r="B100" s="3433"/>
      <c r="C100" s="1148" t="s">
        <v>1582</v>
      </c>
      <c r="D100" s="1062" t="s">
        <v>1583</v>
      </c>
      <c r="E100" s="1133">
        <v>0.2</v>
      </c>
      <c r="F100" s="1148">
        <v>30</v>
      </c>
    </row>
    <row r="101" spans="1:6" s="1099" customFormat="1" ht="36">
      <c r="A101" s="1148">
        <v>41</v>
      </c>
      <c r="B101" s="3433"/>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33" t="s">
        <v>1594</v>
      </c>
      <c r="C105" s="1148" t="s">
        <v>1595</v>
      </c>
      <c r="D105" s="1062" t="s">
        <v>1596</v>
      </c>
      <c r="E105" s="1133">
        <v>0.2</v>
      </c>
      <c r="F105" s="1148">
        <v>30</v>
      </c>
    </row>
    <row r="106" spans="1:6" s="1099" customFormat="1" ht="36">
      <c r="A106" s="1148">
        <v>46</v>
      </c>
      <c r="B106" s="3433"/>
      <c r="C106" s="1148" t="s">
        <v>1597</v>
      </c>
      <c r="D106" s="1062" t="s">
        <v>1598</v>
      </c>
      <c r="E106" s="1133">
        <v>0.2</v>
      </c>
      <c r="F106" s="1148">
        <v>30</v>
      </c>
    </row>
    <row r="107" spans="1:6" s="1099" customFormat="1" ht="36">
      <c r="A107" s="1148">
        <v>47</v>
      </c>
      <c r="B107" s="3433" t="s">
        <v>1599</v>
      </c>
      <c r="C107" s="1148" t="s">
        <v>1600</v>
      </c>
      <c r="D107" s="1062" t="s">
        <v>1601</v>
      </c>
      <c r="E107" s="1133">
        <v>0.3</v>
      </c>
      <c r="F107" s="1148">
        <v>50</v>
      </c>
    </row>
    <row r="108" spans="1:6" s="1099" customFormat="1" ht="36">
      <c r="A108" s="1148">
        <v>48</v>
      </c>
      <c r="B108" s="3433"/>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33" t="s">
        <v>1610</v>
      </c>
      <c r="C111" s="1148" t="s">
        <v>1611</v>
      </c>
      <c r="D111" s="1062" t="s">
        <v>1612</v>
      </c>
      <c r="E111" s="1133">
        <v>0.2</v>
      </c>
      <c r="F111" s="1148">
        <v>30</v>
      </c>
    </row>
    <row r="112" spans="1:6" s="1099" customFormat="1" ht="24">
      <c r="A112" s="1148">
        <v>52</v>
      </c>
      <c r="B112" s="3433"/>
      <c r="C112" s="1148" t="s">
        <v>1613</v>
      </c>
      <c r="D112" s="1062" t="s">
        <v>1614</v>
      </c>
      <c r="E112" s="1133">
        <v>0.2</v>
      </c>
      <c r="F112" s="1148">
        <v>30</v>
      </c>
    </row>
    <row r="113" spans="1:14" s="1099" customFormat="1" ht="24">
      <c r="A113" s="1148">
        <v>53</v>
      </c>
      <c r="B113" s="3433"/>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33" t="s">
        <v>1623</v>
      </c>
      <c r="C116" s="1148" t="s">
        <v>1624</v>
      </c>
      <c r="D116" s="1062" t="s">
        <v>1625</v>
      </c>
      <c r="E116" s="1133">
        <v>0.2</v>
      </c>
      <c r="F116" s="1148">
        <v>30</v>
      </c>
    </row>
    <row r="117" spans="1:14" ht="36">
      <c r="A117" s="1148">
        <v>57</v>
      </c>
      <c r="B117" s="3433"/>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432" t="s">
        <v>1632</v>
      </c>
      <c r="B121" s="3432"/>
      <c r="C121" s="3432"/>
      <c r="D121" s="3432"/>
      <c r="E121" s="3432"/>
      <c r="F121" s="3432"/>
      <c r="G121" s="3432"/>
      <c r="H121" s="3432"/>
      <c r="I121" s="3432"/>
      <c r="J121" s="3432"/>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7" t="s">
        <v>1038</v>
      </c>
      <c r="B1" s="3437"/>
      <c r="C1" s="3437"/>
      <c r="D1" s="3437"/>
      <c r="E1" s="3437"/>
      <c r="F1" s="3437"/>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38" t="s">
        <v>1051</v>
      </c>
      <c r="B2" s="3438"/>
      <c r="C2" s="3438"/>
      <c r="D2" s="3438"/>
      <c r="E2" s="3438"/>
      <c r="F2" s="3438"/>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39"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40"/>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2419</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2420</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1" t="s">
        <v>2076</v>
      </c>
      <c r="B1" s="3441"/>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49" t="s">
        <v>2573</v>
      </c>
      <c r="C1" s="3449"/>
      <c r="D1" s="3449"/>
      <c r="E1" s="3449"/>
      <c r="F1" s="3449"/>
      <c r="G1" s="3448" t="s">
        <v>2574</v>
      </c>
      <c r="H1" s="3448"/>
      <c r="I1" s="3448"/>
      <c r="J1" s="3448"/>
      <c r="K1" s="3448"/>
      <c r="L1" s="3448"/>
      <c r="N1" s="3448" t="s">
        <v>2575</v>
      </c>
      <c r="O1" s="3448"/>
      <c r="P1" s="3448"/>
      <c r="Q1" s="3448"/>
      <c r="R1" s="2615"/>
      <c r="S1" s="3448" t="s">
        <v>2576</v>
      </c>
      <c r="T1" s="3448"/>
      <c r="U1" s="3448"/>
      <c r="V1" s="3448"/>
      <c r="X1" s="3447" t="s">
        <v>2636</v>
      </c>
      <c r="Y1" s="3448"/>
      <c r="Z1" s="3448"/>
      <c r="AA1" s="3448"/>
      <c r="AB1" s="3448"/>
      <c r="AD1" s="3447" t="s">
        <v>2640</v>
      </c>
      <c r="AE1" s="3448"/>
      <c r="AF1" s="3448"/>
      <c r="AG1" s="3448"/>
      <c r="AH1" s="3448"/>
    </row>
    <row r="2" spans="1:34" s="2716" customFormat="1" ht="14.25" thickBot="1">
      <c r="B2" s="2724" t="s">
        <v>2577</v>
      </c>
      <c r="C2" s="2724" t="s">
        <v>2638</v>
      </c>
      <c r="D2" s="2717" t="s">
        <v>1643</v>
      </c>
      <c r="E2" s="2717" t="s">
        <v>1948</v>
      </c>
      <c r="F2" s="2724" t="s">
        <v>2639</v>
      </c>
      <c r="G2" s="2720"/>
      <c r="H2" s="2719"/>
      <c r="I2" s="2724" t="s">
        <v>2944</v>
      </c>
      <c r="J2" s="2717" t="s">
        <v>2946</v>
      </c>
      <c r="K2" s="2717" t="s">
        <v>2947</v>
      </c>
      <c r="L2" s="2724" t="s">
        <v>2948</v>
      </c>
      <c r="N2" s="2724" t="s">
        <v>2577</v>
      </c>
      <c r="O2" s="2717" t="s">
        <v>2945</v>
      </c>
      <c r="P2" s="2717" t="s">
        <v>1948</v>
      </c>
      <c r="Q2" s="2724" t="s">
        <v>2639</v>
      </c>
      <c r="R2" s="2718"/>
      <c r="S2" s="2724" t="s">
        <v>2577</v>
      </c>
      <c r="T2" s="2717" t="s">
        <v>2945</v>
      </c>
      <c r="U2" s="2717" t="s">
        <v>1948</v>
      </c>
      <c r="V2" s="2724" t="s">
        <v>2639</v>
      </c>
      <c r="X2" s="2724" t="s">
        <v>2577</v>
      </c>
      <c r="Y2" s="2724" t="s">
        <v>2638</v>
      </c>
      <c r="Z2" s="2717" t="s">
        <v>1643</v>
      </c>
      <c r="AA2" s="2717" t="s">
        <v>1948</v>
      </c>
      <c r="AB2" s="2724" t="s">
        <v>2639</v>
      </c>
      <c r="AD2" s="2724" t="s">
        <v>2577</v>
      </c>
      <c r="AE2" s="2724" t="s">
        <v>2638</v>
      </c>
      <c r="AF2" s="2717" t="s">
        <v>1643</v>
      </c>
      <c r="AG2" s="2717" t="s">
        <v>1948</v>
      </c>
      <c r="AH2" s="2724" t="s">
        <v>2639</v>
      </c>
    </row>
    <row r="3" spans="1:34" s="3080" customFormat="1" ht="14.25">
      <c r="A3" s="3092" t="s">
        <v>2957</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3">
        <v>4</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2958</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1" customFormat="1" ht="13.5" thickBot="1">
      <c r="A6" s="2616" t="s">
        <v>2984</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2981</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2980</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2977</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443">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2967</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43"/>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2968</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43"/>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2964</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44"/>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2955</v>
      </c>
      <c r="B13" s="3094">
        <v>439</v>
      </c>
      <c r="C13" s="3094">
        <v>327</v>
      </c>
      <c r="D13" s="3094">
        <f t="shared" si="76"/>
        <v>327</v>
      </c>
      <c r="E13" s="3094">
        <v>627</v>
      </c>
      <c r="F13" s="3095">
        <v>283</v>
      </c>
      <c r="G13" s="3442">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2959</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43"/>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2578</v>
      </c>
      <c r="B15" s="2629">
        <f t="shared" si="88"/>
        <v>419.31181600000002</v>
      </c>
      <c r="C15" s="2629">
        <f t="shared" si="88"/>
        <v>313.95436800000004</v>
      </c>
      <c r="D15" s="2629">
        <f t="shared" si="76"/>
        <v>313.95436800000004</v>
      </c>
      <c r="E15" s="2629">
        <f t="shared" si="89"/>
        <v>596.63028431999999</v>
      </c>
      <c r="F15" s="2629">
        <f t="shared" si="89"/>
        <v>274.74220703999998</v>
      </c>
      <c r="G15" s="3443"/>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2579</v>
      </c>
      <c r="B16" s="2629">
        <f t="shared" si="88"/>
        <v>405.524</v>
      </c>
      <c r="C16" s="2629">
        <f t="shared" si="88"/>
        <v>307.79840000000002</v>
      </c>
      <c r="D16" s="2629">
        <f t="shared" si="76"/>
        <v>307.79840000000002</v>
      </c>
      <c r="E16" s="2629">
        <f t="shared" si="89"/>
        <v>574.67759999999998</v>
      </c>
      <c r="F16" s="2629">
        <f t="shared" si="89"/>
        <v>270.20280000000002</v>
      </c>
      <c r="G16" s="3444"/>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969</v>
      </c>
      <c r="B17" s="2621">
        <v>392</v>
      </c>
      <c r="C17" s="2621">
        <v>302</v>
      </c>
      <c r="D17" s="2621">
        <f t="shared" si="76"/>
        <v>302</v>
      </c>
      <c r="E17" s="2621">
        <v>553</v>
      </c>
      <c r="F17" s="2622">
        <v>266</v>
      </c>
      <c r="G17" s="3442">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968</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43"/>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958</v>
      </c>
      <c r="B19" s="2629">
        <f t="shared" si="97"/>
        <v>360.06949782209392</v>
      </c>
      <c r="C19" s="2629">
        <f t="shared" si="97"/>
        <v>289.84672674747821</v>
      </c>
      <c r="D19" s="2629">
        <f t="shared" si="98"/>
        <v>289.84672674747821</v>
      </c>
      <c r="E19" s="2629">
        <f t="shared" si="99"/>
        <v>501.06543001181495</v>
      </c>
      <c r="F19" s="2629">
        <f t="shared" si="99"/>
        <v>256.82882500744967</v>
      </c>
      <c r="G19" s="3443"/>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967</v>
      </c>
      <c r="B20" s="2629">
        <f t="shared" si="97"/>
        <v>346.720748986128</v>
      </c>
      <c r="C20" s="2629">
        <f t="shared" si="97"/>
        <v>284.30282172386285</v>
      </c>
      <c r="D20" s="2629">
        <f t="shared" si="98"/>
        <v>284.30282172386285</v>
      </c>
      <c r="E20" s="2629">
        <f t="shared" si="99"/>
        <v>479.58023546306947</v>
      </c>
      <c r="F20" s="2629">
        <f t="shared" si="99"/>
        <v>253.25788877571213</v>
      </c>
      <c r="G20" s="3446"/>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966</v>
      </c>
      <c r="B21" s="2621">
        <v>333</v>
      </c>
      <c r="C21" s="2621">
        <v>277</v>
      </c>
      <c r="D21" s="2621">
        <f t="shared" si="98"/>
        <v>277</v>
      </c>
      <c r="E21" s="2621">
        <v>459</v>
      </c>
      <c r="F21" s="2622">
        <v>249</v>
      </c>
      <c r="G21" s="3445">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965</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43"/>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964</v>
      </c>
      <c r="B23" s="2629">
        <f t="shared" si="101"/>
        <v>322.34053690220776</v>
      </c>
      <c r="C23" s="2629">
        <f t="shared" si="101"/>
        <v>271.46160770422546</v>
      </c>
      <c r="D23" s="2629">
        <f t="shared" si="98"/>
        <v>271.46160770422546</v>
      </c>
      <c r="E23" s="2629">
        <f t="shared" si="102"/>
        <v>442.69434542172456</v>
      </c>
      <c r="F23" s="2629">
        <f t="shared" si="102"/>
        <v>241.34030753190925</v>
      </c>
      <c r="G23" s="3443"/>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963</v>
      </c>
      <c r="B24" s="2629">
        <f t="shared" si="101"/>
        <v>319.87748030386797</v>
      </c>
      <c r="C24" s="2629">
        <f t="shared" si="101"/>
        <v>269.60135833173649</v>
      </c>
      <c r="D24" s="2629">
        <f t="shared" si="98"/>
        <v>269.60135833173649</v>
      </c>
      <c r="E24" s="2629">
        <f t="shared" si="102"/>
        <v>439.18089823583784</v>
      </c>
      <c r="F24" s="2629">
        <f t="shared" si="102"/>
        <v>239.23503918706311</v>
      </c>
      <c r="G24" s="3446"/>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962</v>
      </c>
      <c r="B25" s="2643">
        <v>318</v>
      </c>
      <c r="C25" s="2643">
        <v>268</v>
      </c>
      <c r="D25" s="2643">
        <f t="shared" si="98"/>
        <v>268</v>
      </c>
      <c r="E25" s="2643">
        <v>437</v>
      </c>
      <c r="F25" s="2644">
        <v>237</v>
      </c>
      <c r="G25" s="3445">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961</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43"/>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960</v>
      </c>
      <c r="B27" s="2629">
        <f t="shared" si="103"/>
        <v>314.72141172386546</v>
      </c>
      <c r="C27" s="2629">
        <f t="shared" si="103"/>
        <v>263.03901319069001</v>
      </c>
      <c r="D27" s="2629">
        <f t="shared" si="98"/>
        <v>263.03901319069001</v>
      </c>
      <c r="E27" s="2629">
        <f t="shared" si="104"/>
        <v>433.65745506782821</v>
      </c>
      <c r="F27" s="2629">
        <f t="shared" si="104"/>
        <v>233.23005080045735</v>
      </c>
      <c r="G27" s="3443"/>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959</v>
      </c>
      <c r="B28" s="2648">
        <f t="shared" si="103"/>
        <v>307.34512863658733</v>
      </c>
      <c r="C28" s="2648">
        <f t="shared" si="103"/>
        <v>257.80556031626975</v>
      </c>
      <c r="D28" s="2648">
        <f t="shared" si="98"/>
        <v>257.80556031626975</v>
      </c>
      <c r="E28" s="2648">
        <f t="shared" si="104"/>
        <v>422.70928459677179</v>
      </c>
      <c r="F28" s="2648">
        <f t="shared" si="104"/>
        <v>229.73803270336617</v>
      </c>
      <c r="G28" s="3446"/>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2637</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2580</v>
      </c>
      <c r="B29" s="2621">
        <v>299</v>
      </c>
      <c r="C29" s="2621">
        <v>252</v>
      </c>
      <c r="D29" s="2621">
        <f t="shared" si="98"/>
        <v>252</v>
      </c>
      <c r="E29" s="2621">
        <v>409</v>
      </c>
      <c r="F29" s="2622">
        <v>227</v>
      </c>
      <c r="G29" s="3450">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2581</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51"/>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2582</v>
      </c>
      <c r="B31" s="2629">
        <f t="shared" si="107"/>
        <v>288.2649053828776</v>
      </c>
      <c r="C31" s="2629">
        <f t="shared" si="107"/>
        <v>243.64564425013293</v>
      </c>
      <c r="D31" s="2629">
        <f t="shared" si="98"/>
        <v>243.64564425013293</v>
      </c>
      <c r="E31" s="2629">
        <f t="shared" si="108"/>
        <v>393.31080825986544</v>
      </c>
      <c r="F31" s="2629">
        <f t="shared" si="108"/>
        <v>223.07903790551154</v>
      </c>
      <c r="G31" s="3451"/>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2583</v>
      </c>
      <c r="B32" s="2629">
        <f t="shared" si="107"/>
        <v>282.50186729015837</v>
      </c>
      <c r="C32" s="2629">
        <f t="shared" si="107"/>
        <v>238.09796174155468</v>
      </c>
      <c r="D32" s="2629">
        <f t="shared" si="98"/>
        <v>238.09796174155468</v>
      </c>
      <c r="E32" s="2629">
        <f t="shared" si="108"/>
        <v>385.33438646014054</v>
      </c>
      <c r="F32" s="2629">
        <f t="shared" si="108"/>
        <v>221.55034055567739</v>
      </c>
      <c r="G32" s="3452"/>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2584</v>
      </c>
      <c r="B33" s="2659">
        <v>278</v>
      </c>
      <c r="C33" s="2659">
        <v>234</v>
      </c>
      <c r="D33" s="2659">
        <f t="shared" si="98"/>
        <v>234</v>
      </c>
      <c r="E33" s="2659">
        <v>379</v>
      </c>
      <c r="F33" s="2660">
        <v>220</v>
      </c>
      <c r="G33" s="3445">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2585</v>
      </c>
      <c r="B34" s="2629">
        <f>B33/(1+N33)</f>
        <v>275.49301357645425</v>
      </c>
      <c r="C34" s="2629">
        <f>C33/(1+O33)</f>
        <v>232.41954707985698</v>
      </c>
      <c r="D34" s="2629">
        <f t="shared" si="98"/>
        <v>232.41954707985698</v>
      </c>
      <c r="E34" s="2629">
        <f t="shared" ref="E34:F36" si="109">E33/(1+P33)</f>
        <v>375.32184591008121</v>
      </c>
      <c r="F34" s="2629">
        <f t="shared" si="109"/>
        <v>218.03766105054513</v>
      </c>
      <c r="G34" s="3443"/>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2586</v>
      </c>
      <c r="B35" s="2629">
        <f>B34/(1+N34)</f>
        <v>275.24529281292263</v>
      </c>
      <c r="C35" s="2629">
        <f>C34/(1+O34)</f>
        <v>231.74747938962707</v>
      </c>
      <c r="D35" s="2629">
        <f t="shared" si="98"/>
        <v>231.74747938962707</v>
      </c>
      <c r="E35" s="2629">
        <f t="shared" si="109"/>
        <v>375.35938184826603</v>
      </c>
      <c r="F35" s="2629">
        <f t="shared" si="109"/>
        <v>216.78033510692495</v>
      </c>
      <c r="G35" s="3443"/>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2587</v>
      </c>
      <c r="B36" s="2629">
        <f>B35/(1+N35)</f>
        <v>275.19025476197027</v>
      </c>
      <c r="C36" s="2661">
        <v>232</v>
      </c>
      <c r="D36" s="2661">
        <f t="shared" si="98"/>
        <v>232</v>
      </c>
      <c r="E36" s="2629">
        <f t="shared" si="109"/>
        <v>375.65990977608692</v>
      </c>
      <c r="F36" s="2629">
        <f t="shared" si="109"/>
        <v>214.12518283971252</v>
      </c>
      <c r="G36" s="3446"/>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2588</v>
      </c>
      <c r="B37" s="2621">
        <v>275</v>
      </c>
      <c r="C37" s="2621">
        <v>232</v>
      </c>
      <c r="D37" s="2621">
        <f t="shared" si="98"/>
        <v>232</v>
      </c>
      <c r="E37" s="2621">
        <v>376</v>
      </c>
      <c r="F37" s="2622">
        <v>213</v>
      </c>
      <c r="G37" s="3445">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2589</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43">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2590</v>
      </c>
      <c r="B39" s="2629">
        <f t="shared" si="110"/>
        <v>275.19335084830601</v>
      </c>
      <c r="C39" s="2629">
        <f t="shared" si="110"/>
        <v>230.18088050139744</v>
      </c>
      <c r="D39" s="2629">
        <f t="shared" si="98"/>
        <v>230.18088050139744</v>
      </c>
      <c r="E39" s="2629">
        <f t="shared" si="111"/>
        <v>377.58482925212331</v>
      </c>
      <c r="F39" s="2629">
        <f t="shared" si="111"/>
        <v>210.90687997847917</v>
      </c>
      <c r="G39" s="3443">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2591</v>
      </c>
      <c r="B40" s="2629">
        <f t="shared" si="110"/>
        <v>276.29854502841971</v>
      </c>
      <c r="C40" s="2629">
        <f t="shared" si="110"/>
        <v>229.79023709833027</v>
      </c>
      <c r="D40" s="2629">
        <f t="shared" si="98"/>
        <v>229.79023709833027</v>
      </c>
      <c r="E40" s="2629">
        <f t="shared" si="111"/>
        <v>379.78759731655936</v>
      </c>
      <c r="F40" s="2629">
        <f t="shared" si="111"/>
        <v>211.32953905659235</v>
      </c>
      <c r="G40" s="3446">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2592</v>
      </c>
      <c r="B41" s="2621">
        <v>269</v>
      </c>
      <c r="C41" s="2621">
        <v>221</v>
      </c>
      <c r="D41" s="2621">
        <f t="shared" si="98"/>
        <v>221</v>
      </c>
      <c r="E41" s="2621">
        <v>373</v>
      </c>
      <c r="F41" s="2622">
        <v>196</v>
      </c>
      <c r="G41" s="3445">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2593</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43">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2594</v>
      </c>
      <c r="B43" s="2629">
        <f t="shared" si="112"/>
        <v>242.95398227588385</v>
      </c>
      <c r="C43" s="2629">
        <f t="shared" si="112"/>
        <v>199.59137053614126</v>
      </c>
      <c r="D43" s="2629">
        <f t="shared" si="98"/>
        <v>199.59137053614126</v>
      </c>
      <c r="E43" s="2629">
        <f t="shared" si="113"/>
        <v>335.92189522342125</v>
      </c>
      <c r="F43" s="2629">
        <f t="shared" si="113"/>
        <v>183.10139991109489</v>
      </c>
      <c r="G43" s="3443">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2595</v>
      </c>
      <c r="B44" s="2629">
        <f t="shared" si="112"/>
        <v>232.06990378821649</v>
      </c>
      <c r="C44" s="2629">
        <f t="shared" si="112"/>
        <v>192.74878854286936</v>
      </c>
      <c r="D44" s="2629">
        <f t="shared" si="98"/>
        <v>192.74878854286936</v>
      </c>
      <c r="E44" s="2629">
        <f t="shared" si="113"/>
        <v>319.71247284992984</v>
      </c>
      <c r="F44" s="2629">
        <f t="shared" si="113"/>
        <v>175.67053622862409</v>
      </c>
      <c r="G44" s="3446">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2596</v>
      </c>
      <c r="B45" s="2621">
        <v>220</v>
      </c>
      <c r="C45" s="2621">
        <v>187</v>
      </c>
      <c r="D45" s="2621">
        <f t="shared" si="98"/>
        <v>187</v>
      </c>
      <c r="E45" s="2621">
        <v>301</v>
      </c>
      <c r="F45" s="2622">
        <v>168</v>
      </c>
      <c r="G45" s="3445">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2597</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43">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2598</v>
      </c>
      <c r="B47" s="2629">
        <f t="shared" si="114"/>
        <v>210.630522469011</v>
      </c>
      <c r="C47" s="2629">
        <f t="shared" si="114"/>
        <v>181.69567812247232</v>
      </c>
      <c r="D47" s="2629">
        <f t="shared" si="98"/>
        <v>181.69567812247232</v>
      </c>
      <c r="E47" s="2629">
        <f t="shared" si="115"/>
        <v>286.13517466736738</v>
      </c>
      <c r="F47" s="2629">
        <f t="shared" si="115"/>
        <v>165.47535084591149</v>
      </c>
      <c r="G47" s="3443">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2599</v>
      </c>
      <c r="B48" s="2629">
        <f t="shared" si="114"/>
        <v>208.83454537875372</v>
      </c>
      <c r="C48" s="2629">
        <f t="shared" si="114"/>
        <v>183.77230517090351</v>
      </c>
      <c r="D48" s="2629">
        <f t="shared" si="98"/>
        <v>183.77230517090351</v>
      </c>
      <c r="E48" s="2629">
        <f t="shared" si="115"/>
        <v>281.10342338870947</v>
      </c>
      <c r="F48" s="2629">
        <f t="shared" si="115"/>
        <v>168.97309388942256</v>
      </c>
      <c r="G48" s="3446">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2600</v>
      </c>
      <c r="B49" s="2659">
        <v>214</v>
      </c>
      <c r="C49" s="2659">
        <v>188</v>
      </c>
      <c r="D49" s="2659">
        <f t="shared" si="98"/>
        <v>188</v>
      </c>
      <c r="E49" s="2659">
        <v>289</v>
      </c>
      <c r="F49" s="2660">
        <v>166</v>
      </c>
      <c r="G49" s="3445">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2601</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43">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2602</v>
      </c>
      <c r="B51" s="2629">
        <f t="shared" si="116"/>
        <v>206.31694671589116</v>
      </c>
      <c r="C51" s="2629">
        <f t="shared" si="116"/>
        <v>183.61041121036101</v>
      </c>
      <c r="D51" s="2629">
        <f t="shared" si="98"/>
        <v>183.61041121036101</v>
      </c>
      <c r="E51" s="2629">
        <f t="shared" si="117"/>
        <v>276.66850301795557</v>
      </c>
      <c r="F51" s="2629">
        <f t="shared" si="117"/>
        <v>165.1360938278614</v>
      </c>
      <c r="G51" s="3443">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2603</v>
      </c>
      <c r="B52" s="2662">
        <f t="shared" si="116"/>
        <v>196.62341248059772</v>
      </c>
      <c r="C52" s="2662">
        <f t="shared" si="116"/>
        <v>170.99125648199012</v>
      </c>
      <c r="D52" s="2662">
        <f t="shared" si="98"/>
        <v>170.99125648199012</v>
      </c>
      <c r="E52" s="2662">
        <f t="shared" si="117"/>
        <v>266.07857570490052</v>
      </c>
      <c r="F52" s="2662">
        <f t="shared" si="117"/>
        <v>154.53499328828505</v>
      </c>
      <c r="G52" s="3446">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2604</v>
      </c>
      <c r="B53" s="2621">
        <v>188</v>
      </c>
      <c r="C53" s="2621">
        <v>165</v>
      </c>
      <c r="D53" s="2621">
        <f t="shared" si="98"/>
        <v>165</v>
      </c>
      <c r="E53" s="2621">
        <v>254</v>
      </c>
      <c r="F53" s="2622">
        <v>148</v>
      </c>
      <c r="G53" s="3445">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2605</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43">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2606</v>
      </c>
      <c r="B55" s="2629">
        <f t="shared" si="120"/>
        <v>168.82017748715555</v>
      </c>
      <c r="C55" s="2629">
        <f t="shared" si="120"/>
        <v>148.06267029972753</v>
      </c>
      <c r="D55" s="2629">
        <f t="shared" si="98"/>
        <v>148.06267029972753</v>
      </c>
      <c r="E55" s="2629">
        <f t="shared" si="121"/>
        <v>216.46288379323747</v>
      </c>
      <c r="F55" s="2629">
        <f t="shared" si="121"/>
        <v>134.23529411764704</v>
      </c>
      <c r="G55" s="3443">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2607</v>
      </c>
      <c r="B56" s="2629">
        <f t="shared" si="120"/>
        <v>163.84913591779542</v>
      </c>
      <c r="C56" s="2629">
        <f t="shared" si="120"/>
        <v>145.0283378746594</v>
      </c>
      <c r="D56" s="2629">
        <f t="shared" si="98"/>
        <v>145.0283378746594</v>
      </c>
      <c r="E56" s="2629">
        <f t="shared" si="121"/>
        <v>204.95180722891567</v>
      </c>
      <c r="F56" s="2629">
        <f t="shared" si="121"/>
        <v>125.95920303605313</v>
      </c>
      <c r="G56" s="3446">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2608</v>
      </c>
      <c r="B57" s="2643">
        <v>159</v>
      </c>
      <c r="C57" s="2643">
        <v>141</v>
      </c>
      <c r="D57" s="2643">
        <f t="shared" si="98"/>
        <v>141</v>
      </c>
      <c r="E57" s="2643">
        <v>195</v>
      </c>
      <c r="F57" s="2644">
        <v>122</v>
      </c>
      <c r="G57" s="3445">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2609</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43">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2610</v>
      </c>
      <c r="B59" s="2629">
        <f t="shared" si="124"/>
        <v>146.57412060301507</v>
      </c>
      <c r="C59" s="2629">
        <f t="shared" si="124"/>
        <v>136.46831955922866</v>
      </c>
      <c r="D59" s="2629">
        <f t="shared" si="98"/>
        <v>136.46831955922866</v>
      </c>
      <c r="E59" s="2629">
        <f t="shared" si="125"/>
        <v>166.73864894795128</v>
      </c>
      <c r="F59" s="2629">
        <f t="shared" si="125"/>
        <v>115.05882352941177</v>
      </c>
      <c r="G59" s="3443">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2611</v>
      </c>
      <c r="B60" s="2629">
        <f t="shared" si="124"/>
        <v>144.04145728643215</v>
      </c>
      <c r="C60" s="2629">
        <f t="shared" si="124"/>
        <v>136.12396694214877</v>
      </c>
      <c r="D60" s="2629">
        <f t="shared" si="98"/>
        <v>136.12396694214877</v>
      </c>
      <c r="E60" s="2629">
        <f t="shared" si="125"/>
        <v>158.32225913621264</v>
      </c>
      <c r="F60" s="2629">
        <f t="shared" si="125"/>
        <v>114.04278074866311</v>
      </c>
      <c r="G60" s="3446">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2612</v>
      </c>
      <c r="B61" s="2643">
        <v>138</v>
      </c>
      <c r="C61" s="2643">
        <v>131</v>
      </c>
      <c r="D61" s="2643">
        <f t="shared" si="98"/>
        <v>131</v>
      </c>
      <c r="E61" s="2643">
        <v>155</v>
      </c>
      <c r="F61" s="2644">
        <v>114</v>
      </c>
      <c r="G61" s="3445">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2613</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43">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2614</v>
      </c>
      <c r="B63" s="2629">
        <f t="shared" si="128"/>
        <v>124.29032258064517</v>
      </c>
      <c r="C63" s="2629">
        <f t="shared" si="128"/>
        <v>123.8968609865471</v>
      </c>
      <c r="D63" s="2629">
        <f t="shared" si="98"/>
        <v>123.8968609865471</v>
      </c>
      <c r="E63" s="2629">
        <f t="shared" si="129"/>
        <v>138.00507614213197</v>
      </c>
      <c r="F63" s="2629">
        <f t="shared" si="129"/>
        <v>107.96106557377048</v>
      </c>
      <c r="G63" s="3443">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2615</v>
      </c>
      <c r="B64" s="2629">
        <f t="shared" si="128"/>
        <v>122.57204301075269</v>
      </c>
      <c r="C64" s="2629">
        <f t="shared" si="128"/>
        <v>123.4932735426009</v>
      </c>
      <c r="D64" s="2629">
        <f t="shared" si="98"/>
        <v>123.4932735426009</v>
      </c>
      <c r="E64" s="2629">
        <f t="shared" si="129"/>
        <v>129.82233502538071</v>
      </c>
      <c r="F64" s="2629">
        <f t="shared" si="129"/>
        <v>107.39446721311475</v>
      </c>
      <c r="G64" s="3446">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2616</v>
      </c>
      <c r="B65" s="2659">
        <v>121</v>
      </c>
      <c r="C65" s="2659">
        <v>122</v>
      </c>
      <c r="D65" s="2659">
        <f t="shared" si="98"/>
        <v>122</v>
      </c>
      <c r="E65" s="2659">
        <v>124</v>
      </c>
      <c r="F65" s="2660">
        <v>107</v>
      </c>
      <c r="G65" s="3445">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2617</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43">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2618</v>
      </c>
      <c r="B67" s="2629">
        <f t="shared" si="132"/>
        <v>116.99099099099099</v>
      </c>
      <c r="C67" s="2629">
        <f t="shared" si="132"/>
        <v>118.84848484848486</v>
      </c>
      <c r="D67" s="2629">
        <f t="shared" si="98"/>
        <v>118.84848484848486</v>
      </c>
      <c r="E67" s="2629">
        <f t="shared" si="133"/>
        <v>117.60960960960961</v>
      </c>
      <c r="F67" s="2629">
        <f t="shared" si="133"/>
        <v>104</v>
      </c>
      <c r="G67" s="3443">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2619</v>
      </c>
      <c r="B68" s="2662">
        <f t="shared" si="132"/>
        <v>112.48648648648648</v>
      </c>
      <c r="C68" s="2662">
        <f t="shared" si="132"/>
        <v>115.21212121212122</v>
      </c>
      <c r="D68" s="2662">
        <f t="shared" si="98"/>
        <v>115.21212121212122</v>
      </c>
      <c r="E68" s="2662">
        <f t="shared" si="133"/>
        <v>110.4024024024024</v>
      </c>
      <c r="F68" s="2662">
        <f t="shared" si="133"/>
        <v>104</v>
      </c>
      <c r="G68" s="3446">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2620</v>
      </c>
      <c r="B69" s="2680">
        <v>111</v>
      </c>
      <c r="C69" s="2680">
        <v>114</v>
      </c>
      <c r="D69" s="2680">
        <f t="shared" si="98"/>
        <v>114</v>
      </c>
      <c r="E69" s="2680">
        <v>108</v>
      </c>
      <c r="F69" s="2681">
        <v>104</v>
      </c>
      <c r="G69" s="3445">
        <v>2003</v>
      </c>
      <c r="H69" s="2670">
        <v>4</v>
      </c>
      <c r="I69" s="2682"/>
      <c r="J69" s="2682"/>
      <c r="K69" s="2682"/>
      <c r="L69" s="2682"/>
      <c r="N69" s="2683"/>
      <c r="O69" s="2682"/>
      <c r="P69" s="2682"/>
      <c r="Q69" s="2682"/>
      <c r="S69" s="2683"/>
      <c r="T69" s="2682"/>
      <c r="U69" s="2682"/>
      <c r="V69" s="2682"/>
      <c r="X69" s="2674"/>
      <c r="Y69" s="2674"/>
      <c r="Z69" s="2674"/>
    </row>
    <row r="70" spans="1:26">
      <c r="A70" s="2616" t="s">
        <v>2621</v>
      </c>
      <c r="B70" s="2684">
        <f t="shared" ref="B70:C72" si="134">B71+(B$69-B$73)/4</f>
        <v>109.75</v>
      </c>
      <c r="C70" s="2684">
        <f t="shared" si="134"/>
        <v>112.25</v>
      </c>
      <c r="D70" s="2684">
        <f t="shared" si="98"/>
        <v>112.25</v>
      </c>
      <c r="E70" s="2684">
        <f t="shared" ref="E70:F72" si="135">E71+(E$69-E$73)/4</f>
        <v>107.25</v>
      </c>
      <c r="F70" s="2684">
        <f t="shared" si="135"/>
        <v>103.5</v>
      </c>
      <c r="G70" s="3443">
        <v>2003</v>
      </c>
      <c r="H70" s="2640">
        <v>3</v>
      </c>
      <c r="I70" s="2682"/>
      <c r="J70" s="2682"/>
      <c r="K70" s="2682"/>
      <c r="L70" s="2682"/>
      <c r="X70" s="2674"/>
      <c r="Y70" s="2674"/>
      <c r="Z70" s="2674"/>
    </row>
    <row r="71" spans="1:26">
      <c r="A71" s="2616" t="s">
        <v>2622</v>
      </c>
      <c r="B71" s="2684">
        <f t="shared" si="134"/>
        <v>108.5</v>
      </c>
      <c r="C71" s="2684">
        <f t="shared" si="134"/>
        <v>110.5</v>
      </c>
      <c r="D71" s="2684">
        <f t="shared" si="98"/>
        <v>110.5</v>
      </c>
      <c r="E71" s="2684">
        <f t="shared" si="135"/>
        <v>106.5</v>
      </c>
      <c r="F71" s="2684">
        <f t="shared" si="135"/>
        <v>103</v>
      </c>
      <c r="G71" s="3443">
        <v>2003</v>
      </c>
      <c r="H71" s="2620">
        <v>2</v>
      </c>
      <c r="I71" s="2682"/>
      <c r="J71" s="2682"/>
      <c r="K71" s="2682"/>
      <c r="L71" s="2682"/>
      <c r="X71" s="2674"/>
      <c r="Y71" s="2674"/>
      <c r="Z71" s="2674"/>
    </row>
    <row r="72" spans="1:26" ht="13.5" thickBot="1">
      <c r="A72" s="2616" t="s">
        <v>2623</v>
      </c>
      <c r="B72" s="2684">
        <f t="shared" si="134"/>
        <v>107.25</v>
      </c>
      <c r="C72" s="2684">
        <f t="shared" si="134"/>
        <v>108.75</v>
      </c>
      <c r="D72" s="2684">
        <f t="shared" si="98"/>
        <v>108.75</v>
      </c>
      <c r="E72" s="2684">
        <f t="shared" si="135"/>
        <v>105.75</v>
      </c>
      <c r="F72" s="2684">
        <f t="shared" si="135"/>
        <v>102.5</v>
      </c>
      <c r="G72" s="3446">
        <v>2003</v>
      </c>
      <c r="H72" s="2685">
        <v>1</v>
      </c>
      <c r="I72" s="2682"/>
      <c r="J72" s="2682"/>
      <c r="K72" s="2682"/>
      <c r="L72" s="2682"/>
      <c r="S72" s="2624"/>
      <c r="T72" s="2625"/>
      <c r="U72" s="2625"/>
      <c r="X72" s="2674"/>
      <c r="Y72" s="2674"/>
      <c r="Z72" s="2674"/>
    </row>
    <row r="73" spans="1:26" ht="13.5" thickBot="1">
      <c r="A73" s="2616" t="s">
        <v>2624</v>
      </c>
      <c r="B73" s="2686">
        <v>106</v>
      </c>
      <c r="C73" s="2686">
        <v>107</v>
      </c>
      <c r="D73" s="2686">
        <f t="shared" si="98"/>
        <v>107</v>
      </c>
      <c r="E73" s="2686">
        <v>105</v>
      </c>
      <c r="F73" s="2687">
        <v>102</v>
      </c>
      <c r="G73" s="3445">
        <v>2002</v>
      </c>
      <c r="H73" s="2635">
        <v>4</v>
      </c>
      <c r="I73" s="2682"/>
      <c r="J73" s="2682"/>
      <c r="K73" s="2682"/>
      <c r="L73" s="2682"/>
      <c r="N73" s="2683"/>
      <c r="O73" s="2682"/>
      <c r="P73" s="2682"/>
      <c r="Q73" s="2682"/>
      <c r="S73" s="2683"/>
      <c r="T73" s="2682"/>
      <c r="U73" s="2682"/>
      <c r="V73" s="2682"/>
      <c r="X73" s="2674"/>
      <c r="Y73" s="2674"/>
      <c r="Z73" s="2674"/>
    </row>
    <row r="74" spans="1:26">
      <c r="A74" s="2616" t="s">
        <v>2625</v>
      </c>
      <c r="B74" s="2684">
        <f t="shared" ref="B74:C76" si="136">B75+(B$73-B$77)/4</f>
        <v>105</v>
      </c>
      <c r="C74" s="2684">
        <f t="shared" si="136"/>
        <v>106</v>
      </c>
      <c r="D74" s="2684">
        <f t="shared" si="98"/>
        <v>106</v>
      </c>
      <c r="E74" s="2684">
        <f t="shared" ref="E74:F76" si="137">E75+(E$73-E$77)/4</f>
        <v>104.5</v>
      </c>
      <c r="F74" s="2684">
        <f t="shared" si="137"/>
        <v>101.5</v>
      </c>
      <c r="G74" s="3443">
        <v>2002</v>
      </c>
      <c r="H74" s="2640">
        <v>3</v>
      </c>
      <c r="I74" s="2682"/>
      <c r="J74" s="2682"/>
      <c r="K74" s="2682"/>
      <c r="L74" s="2682"/>
      <c r="X74" s="2674"/>
      <c r="Y74" s="2674"/>
      <c r="Z74" s="2674"/>
    </row>
    <row r="75" spans="1:26">
      <c r="A75" s="2616" t="s">
        <v>2626</v>
      </c>
      <c r="B75" s="2684">
        <f t="shared" si="136"/>
        <v>104</v>
      </c>
      <c r="C75" s="2684">
        <f t="shared" si="136"/>
        <v>105</v>
      </c>
      <c r="D75" s="2684">
        <f t="shared" si="98"/>
        <v>105</v>
      </c>
      <c r="E75" s="2684">
        <f t="shared" si="137"/>
        <v>104</v>
      </c>
      <c r="F75" s="2684">
        <f t="shared" si="137"/>
        <v>101</v>
      </c>
      <c r="G75" s="3443">
        <v>2002</v>
      </c>
      <c r="H75" s="2620">
        <v>2</v>
      </c>
      <c r="I75" s="2682"/>
      <c r="J75" s="2682"/>
      <c r="K75" s="2682"/>
      <c r="L75" s="2682"/>
      <c r="X75" s="2674"/>
      <c r="Y75" s="2674"/>
      <c r="Z75" s="2674"/>
    </row>
    <row r="76" spans="1:26" s="2651" customFormat="1" ht="13.5" thickBot="1">
      <c r="A76" s="2647" t="s">
        <v>2627</v>
      </c>
      <c r="B76" s="2688">
        <f t="shared" si="136"/>
        <v>103</v>
      </c>
      <c r="C76" s="2688">
        <f t="shared" si="136"/>
        <v>104</v>
      </c>
      <c r="D76" s="2688">
        <f t="shared" si="98"/>
        <v>104</v>
      </c>
      <c r="E76" s="2688">
        <f t="shared" si="137"/>
        <v>103.5</v>
      </c>
      <c r="F76" s="2688">
        <f t="shared" si="137"/>
        <v>100.5</v>
      </c>
      <c r="G76" s="3446">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2628</v>
      </c>
      <c r="G79" s="2698"/>
      <c r="N79" s="2698"/>
      <c r="S79" s="2698"/>
    </row>
    <row r="80" spans="1:26" s="2697" customFormat="1">
      <c r="A80" s="2697" t="s">
        <v>2629</v>
      </c>
      <c r="G80" s="2698"/>
      <c r="N80" s="2698"/>
      <c r="S80" s="2698"/>
    </row>
    <row r="81" spans="1:22" s="2697" customFormat="1">
      <c r="A81" s="2697" t="s">
        <v>2630</v>
      </c>
      <c r="G81" s="2698"/>
      <c r="I81" s="2699"/>
      <c r="J81" s="2699"/>
      <c r="K81" s="2699"/>
      <c r="L81" s="2699"/>
      <c r="N81" s="2700"/>
      <c r="O81" s="2699"/>
      <c r="P81" s="2699"/>
      <c r="Q81" s="2699"/>
      <c r="S81" s="2700"/>
      <c r="T81" s="2699"/>
      <c r="U81" s="2699"/>
      <c r="V81" s="2699"/>
    </row>
    <row r="82" spans="1:22" s="2697" customFormat="1">
      <c r="A82" s="2697" t="s">
        <v>2631</v>
      </c>
      <c r="G82" s="2698"/>
      <c r="N82" s="2698"/>
      <c r="S82" s="2698"/>
    </row>
    <row r="89" spans="1:22" ht="13.5" thickBot="1"/>
    <row r="90" spans="1:22">
      <c r="G90" s="2623"/>
      <c r="S90" s="2701" t="s">
        <v>2632</v>
      </c>
      <c r="T90" s="2702" t="s">
        <v>2633</v>
      </c>
      <c r="U90" s="2702" t="s">
        <v>2634</v>
      </c>
      <c r="V90" s="2702" t="s">
        <v>2635</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2937</v>
      </c>
      <c r="B1" s="3054"/>
      <c r="C1" s="3054"/>
      <c r="D1" s="3054"/>
      <c r="E1" s="3054"/>
      <c r="F1" s="3054"/>
    </row>
    <row r="2" spans="1:6" ht="14.25">
      <c r="A2" s="3055" t="s">
        <v>2932</v>
      </c>
      <c r="B2" s="3056" t="e">
        <f ca="1">SUMIF(B7:B14,"&lt;&gt;#ref!",B7:B14)</f>
        <v>#DIV/0!</v>
      </c>
      <c r="C2" s="3055" t="s">
        <v>2933</v>
      </c>
      <c r="D2" s="3054"/>
      <c r="E2" s="3054"/>
      <c r="F2" s="3054"/>
    </row>
    <row r="3" spans="1:6" ht="14.25">
      <c r="A3" s="3055" t="s">
        <v>2965</v>
      </c>
      <c r="B3" s="3056" t="e">
        <f ca="1">ROUND(B2*10000/E3,0)</f>
        <v>#DIV/0!</v>
      </c>
      <c r="C3" s="3055" t="s">
        <v>2075</v>
      </c>
      <c r="D3" s="3055" t="s">
        <v>2934</v>
      </c>
      <c r="E3" s="3056">
        <f ca="1">SUMIF(E7:E14,"&lt;&gt;#ref!",E7:E14)</f>
        <v>0</v>
      </c>
      <c r="F3" s="3054"/>
    </row>
    <row r="4" spans="1:6" ht="14.25">
      <c r="A4" s="3055" t="s">
        <v>2941</v>
      </c>
      <c r="B4" s="3056" t="e">
        <f ca="1">ROUND(B2*10000/E4,0)</f>
        <v>#DIV/0!</v>
      </c>
      <c r="C4" s="3055" t="s">
        <v>2075</v>
      </c>
      <c r="D4" s="3055" t="s">
        <v>2942</v>
      </c>
      <c r="E4" s="3056">
        <f ca="1">SUMIF(F7:F14,"&lt;&gt;#ref!",F7:F14)</f>
        <v>0</v>
      </c>
      <c r="F4" s="3054"/>
    </row>
    <row r="5" spans="1:6" ht="14.25">
      <c r="A5" s="3057"/>
      <c r="B5" s="1863"/>
      <c r="C5" s="1863"/>
      <c r="D5" s="1863"/>
      <c r="E5" s="1863"/>
      <c r="F5" s="3054"/>
    </row>
    <row r="6" spans="1:6" ht="28.5">
      <c r="A6" s="3058" t="s">
        <v>2938</v>
      </c>
      <c r="B6" s="3055" t="s">
        <v>2935</v>
      </c>
      <c r="C6" s="3056"/>
      <c r="D6" s="1863"/>
      <c r="E6" s="3055" t="s">
        <v>2936</v>
      </c>
      <c r="F6" s="3055" t="s">
        <v>2940</v>
      </c>
    </row>
    <row r="7" spans="1:6" ht="14.25">
      <c r="A7" s="258" t="s">
        <v>2939</v>
      </c>
      <c r="B7" s="3059" t="e">
        <f ca="1">SUMIF(INDIRECT("'"&amp;A7&amp;"'"&amp;"!A:A"),"总价",INDIRECT("'"&amp;A7&amp;"'"&amp;"!B:B"))</f>
        <v>#DIV/0!</v>
      </c>
      <c r="C7" s="3055" t="s">
        <v>2933</v>
      </c>
      <c r="D7" s="1863"/>
      <c r="E7" s="3060">
        <f ca="1">SUMIF(INDIRECT("'"&amp;A7&amp;"'"&amp;"!C:C"),"建筑面积",INDIRECT("'"&amp;A7&amp;"'"&amp;"!D:D"))</f>
        <v>0</v>
      </c>
      <c r="F7" s="3060">
        <f ca="1">SUMIF(INDIRECT("'"&amp;A7&amp;"'"&amp;"!E:E"),"土地面积",INDIRECT("'"&amp;A7&amp;"'"&amp;"!F:F"))</f>
        <v>0</v>
      </c>
    </row>
    <row r="8" spans="1:6" ht="14.25">
      <c r="A8" s="258"/>
      <c r="B8" s="3059" t="e">
        <f t="shared" ref="B8:B14" ca="1" si="0">SUMIF(INDIRECT("'"&amp;A8&amp;"'"&amp;"!A:A"),"总价",INDIRECT("'"&amp;A8&amp;"'"&amp;"!B:B"))</f>
        <v>#REF!</v>
      </c>
      <c r="C8" s="3055" t="s">
        <v>2933</v>
      </c>
      <c r="D8" s="1863"/>
      <c r="E8" s="3060" t="e">
        <f t="shared" ref="E8:E14" ca="1" si="1">SUMIF(INDIRECT("'"&amp;A8&amp;"'"&amp;"!C:C"),"建筑面积",INDIRECT("'"&amp;A8&amp;"'"&amp;"!D:D"))</f>
        <v>#REF!</v>
      </c>
      <c r="F8" s="3060" t="e">
        <f t="shared" ref="F8:F14" ca="1" si="2">SUMIF(INDIRECT("'"&amp;A8&amp;"'"&amp;"!E:E"),"土地面积",INDIRECT("'"&amp;A8&amp;"'"&amp;"!F:F"))</f>
        <v>#REF!</v>
      </c>
    </row>
    <row r="9" spans="1:6" ht="14.25">
      <c r="A9" s="258"/>
      <c r="B9" s="3059" t="e">
        <f t="shared" ca="1" si="0"/>
        <v>#REF!</v>
      </c>
      <c r="C9" s="3055" t="s">
        <v>2933</v>
      </c>
      <c r="D9" s="1863"/>
      <c r="E9" s="3060" t="e">
        <f t="shared" ca="1" si="1"/>
        <v>#REF!</v>
      </c>
      <c r="F9" s="3060" t="e">
        <f t="shared" ca="1" si="2"/>
        <v>#REF!</v>
      </c>
    </row>
    <row r="10" spans="1:6" ht="14.25">
      <c r="A10" s="258"/>
      <c r="B10" s="3059" t="e">
        <f t="shared" ca="1" si="0"/>
        <v>#REF!</v>
      </c>
      <c r="C10" s="3055" t="s">
        <v>2933</v>
      </c>
      <c r="D10" s="1863"/>
      <c r="E10" s="3060" t="e">
        <f t="shared" ca="1" si="1"/>
        <v>#REF!</v>
      </c>
      <c r="F10" s="3060" t="e">
        <f t="shared" ca="1" si="2"/>
        <v>#REF!</v>
      </c>
    </row>
    <row r="11" spans="1:6" ht="14.25">
      <c r="A11" s="258"/>
      <c r="B11" s="3059" t="e">
        <f t="shared" ca="1" si="0"/>
        <v>#REF!</v>
      </c>
      <c r="C11" s="3055" t="s">
        <v>2933</v>
      </c>
      <c r="D11" s="1863"/>
      <c r="E11" s="3060" t="e">
        <f t="shared" ca="1" si="1"/>
        <v>#REF!</v>
      </c>
      <c r="F11" s="3060" t="e">
        <f t="shared" ca="1" si="2"/>
        <v>#REF!</v>
      </c>
    </row>
    <row r="12" spans="1:6" ht="14.25">
      <c r="A12" s="258"/>
      <c r="B12" s="3059" t="e">
        <f t="shared" ca="1" si="0"/>
        <v>#REF!</v>
      </c>
      <c r="C12" s="3055" t="s">
        <v>2933</v>
      </c>
      <c r="D12" s="1863"/>
      <c r="E12" s="3060" t="e">
        <f t="shared" ca="1" si="1"/>
        <v>#REF!</v>
      </c>
      <c r="F12" s="3060" t="e">
        <f t="shared" ca="1" si="2"/>
        <v>#REF!</v>
      </c>
    </row>
    <row r="13" spans="1:6" ht="14.25">
      <c r="A13" s="258"/>
      <c r="B13" s="3059" t="e">
        <f t="shared" ca="1" si="0"/>
        <v>#REF!</v>
      </c>
      <c r="C13" s="3055" t="s">
        <v>2933</v>
      </c>
      <c r="D13" s="1863"/>
      <c r="E13" s="3060" t="e">
        <f t="shared" ca="1" si="1"/>
        <v>#REF!</v>
      </c>
      <c r="F13" s="3060" t="e">
        <f t="shared" ca="1" si="2"/>
        <v>#REF!</v>
      </c>
    </row>
    <row r="14" spans="1:6" ht="14.25">
      <c r="A14" s="3053"/>
      <c r="B14" s="3059" t="e">
        <f t="shared" ca="1" si="0"/>
        <v>#REF!</v>
      </c>
      <c r="C14" s="3055" t="s">
        <v>2933</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6.25">
      <c r="A7" s="1777"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2019年12月18日（评估专业人员勘察现场之日）</v>
      </c>
    </row>
    <row r="12" spans="1:4" ht="18.75">
      <c r="A12" s="1779" t="s">
        <v>2022</v>
      </c>
    </row>
    <row r="13" spans="1:4" ht="18.75">
      <c r="A13" s="1773" t="s">
        <v>2930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8.75">
      <c r="A21" s="1773" t="s">
        <v>2071</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2053年11月18日、车库2053年11月18日、仓储2053年11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row>
    <row r="26" spans="1:1" ht="93.75">
      <c r="A26" s="1773"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2371</v>
      </c>
      <c r="F1" s="2349">
        <f ca="1">J54</f>
        <v>-2.5</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1685</v>
      </c>
      <c r="B3" s="1384">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f ca="1">C8+C12+C14</f>
        <v>0</v>
      </c>
      <c r="D7" s="2457" t="s">
        <v>2458</v>
      </c>
      <c r="E7" s="2451"/>
      <c r="F7" s="2452"/>
      <c r="G7" s="1575"/>
      <c r="H7" s="779">
        <v>1</v>
      </c>
      <c r="I7" s="780" t="s">
        <v>2455</v>
      </c>
      <c r="J7" s="53">
        <f ca="1">J8+J12+J14</f>
        <v>0</v>
      </c>
      <c r="K7" s="2457" t="s">
        <v>2458</v>
      </c>
      <c r="L7" s="2451"/>
      <c r="M7" s="2452"/>
    </row>
    <row r="8" spans="1:25" ht="18" customHeight="1">
      <c r="A8" s="1812" t="s">
        <v>1823</v>
      </c>
      <c r="B8" s="3454" t="s">
        <v>2460</v>
      </c>
      <c r="C8" s="1807">
        <f ca="1">ROUND(F8*F10*F9*(1-F11)/10000,0)</f>
        <v>0</v>
      </c>
      <c r="D8" s="1804" t="s">
        <v>2531</v>
      </c>
      <c r="E8" s="61" t="s">
        <v>637</v>
      </c>
      <c r="F8" s="783">
        <f ca="1">INDIRECT("'数据-取费表'!u"&amp;$G$1)</f>
        <v>0</v>
      </c>
      <c r="G8" s="1575"/>
      <c r="H8" s="2465" t="s">
        <v>1823</v>
      </c>
      <c r="I8" s="3454" t="s">
        <v>2460</v>
      </c>
      <c r="J8" s="781">
        <f ca="1">ROUND(M8*M10*M9*(1-M11)/10000,0)</f>
        <v>0</v>
      </c>
      <c r="K8" s="339" t="s">
        <v>2531</v>
      </c>
      <c r="L8" s="782" t="s">
        <v>1737</v>
      </c>
      <c r="M8" s="783">
        <f ca="1">INDIRECT("'数据-取费表'!z"&amp;$G$1)</f>
        <v>0</v>
      </c>
    </row>
    <row r="9" spans="1:25" ht="18" customHeight="1">
      <c r="A9" s="2461"/>
      <c r="B9" s="3455"/>
      <c r="C9" s="1808"/>
      <c r="D9" s="1805"/>
      <c r="E9" s="61" t="s">
        <v>638</v>
      </c>
      <c r="F9" s="783">
        <f ca="1">IF(INDIRECT("'数据-取费表'!ah"&amp;$G$1)="",INDIRECT("'数据-取费表'!k"&amp;$G$1),INDIRECT("'数据-取费表'!ah"&amp;$G$1))</f>
        <v>0</v>
      </c>
      <c r="G9" s="1575"/>
      <c r="H9" s="2450"/>
      <c r="I9" s="3455"/>
      <c r="J9" s="786"/>
      <c r="K9" s="787"/>
      <c r="L9" s="782" t="s">
        <v>1738</v>
      </c>
      <c r="M9" s="783">
        <f ca="1">F9</f>
        <v>0</v>
      </c>
    </row>
    <row r="10" spans="1:25" ht="18" customHeight="1">
      <c r="A10" s="2454"/>
      <c r="B10" s="3456"/>
      <c r="C10" s="1808"/>
      <c r="D10" s="1805"/>
      <c r="E10" s="61" t="s">
        <v>639</v>
      </c>
      <c r="F10" s="783">
        <f ca="1">INDIRECT("'数据-取费表'!ai"&amp;$G$1)</f>
        <v>0</v>
      </c>
      <c r="G10" s="1575"/>
      <c r="H10" s="2450"/>
      <c r="I10" s="3456"/>
      <c r="J10" s="786"/>
      <c r="K10" s="787"/>
      <c r="L10" s="782" t="s">
        <v>1739</v>
      </c>
      <c r="M10" s="783">
        <f ca="1">INDIRECT("'数据-取费表'!ai"&amp;$G$1)</f>
        <v>0</v>
      </c>
    </row>
    <row r="11" spans="1:25" ht="18" customHeight="1">
      <c r="A11" s="784"/>
      <c r="B11" s="3457"/>
      <c r="C11" s="1808"/>
      <c r="D11" s="1805"/>
      <c r="E11" s="61" t="s">
        <v>640</v>
      </c>
      <c r="F11" s="792">
        <f ca="1">INDIRECT("'数据-取费表'!w"&amp;$G$1)</f>
        <v>0</v>
      </c>
      <c r="G11" s="1575"/>
      <c r="H11" s="2466"/>
      <c r="I11" s="3456"/>
      <c r="J11" s="786"/>
      <c r="K11" s="787"/>
      <c r="L11" s="793" t="s">
        <v>1740</v>
      </c>
      <c r="M11" s="794">
        <f ca="1">INDIRECT("'数据-取费表'!ab"&amp;$G$1)</f>
        <v>0</v>
      </c>
    </row>
    <row r="12" spans="1:25" ht="18" customHeight="1">
      <c r="A12" s="1812" t="s">
        <v>1824</v>
      </c>
      <c r="B12" s="2455" t="s">
        <v>2456</v>
      </c>
      <c r="C12" s="797">
        <f ca="1">ROUND(IF(F12="押一",C8/12*F13,IF(F12="押二",C8/12*2*F13,IF(F12="押三",C8/12*3*F13,C13*F13))),0)</f>
        <v>0</v>
      </c>
      <c r="D12" s="2462" t="s">
        <v>2962</v>
      </c>
      <c r="E12" s="2459" t="s">
        <v>2461</v>
      </c>
      <c r="F12" s="2582"/>
      <c r="G12" s="1575"/>
      <c r="H12" s="2522" t="s">
        <v>1824</v>
      </c>
      <c r="I12" s="2527" t="s">
        <v>2456</v>
      </c>
      <c r="J12" s="781">
        <f ca="1">ROUND(IF(M12="押一",J8/12*M13,IF(M12="押二",J8/12*2*M13,IF(M12="押三",J8/12*3*M13,J13*M13))),0)</f>
        <v>0</v>
      </c>
      <c r="K12" s="2462" t="s">
        <v>2962</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2822</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2067</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2066</v>
      </c>
      <c r="I19" s="782" t="s">
        <v>656</v>
      </c>
      <c r="J19" s="53">
        <f ca="1">ROUND(IF(项目基本情况!B11="自然人",J8*M19/(1+'数据-取费表'!C42),J20+J21+J22),0)</f>
        <v>0</v>
      </c>
      <c r="K19" s="1961" t="s">
        <v>657</v>
      </c>
      <c r="L19" s="1959" t="s">
        <v>658</v>
      </c>
      <c r="M19" s="808">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2.5000000000000001E-2</v>
      </c>
      <c r="G22" s="1576"/>
      <c r="H22" s="1814" t="s">
        <v>1849</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0.03</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f ca="1">ROUND(J16*M24,0)</f>
        <v>0</v>
      </c>
      <c r="K24" s="1959" t="s">
        <v>677</v>
      </c>
      <c r="L24" s="782" t="s">
        <v>649</v>
      </c>
      <c r="M24" s="815">
        <f ca="1">INDIRECT("'数据-取费表'!Ak"&amp;$G$1)</f>
        <v>0</v>
      </c>
    </row>
    <row r="25" spans="1:25" s="2046" customFormat="1" ht="18" customHeight="1">
      <c r="A25" s="801" t="s">
        <v>1874</v>
      </c>
      <c r="B25" s="782" t="s">
        <v>2434</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2819</v>
      </c>
      <c r="J27" s="797">
        <f ca="1">J7-J18</f>
        <v>0</v>
      </c>
      <c r="K27" s="1961" t="s">
        <v>700</v>
      </c>
      <c r="L27" s="1963"/>
      <c r="M27" s="818"/>
    </row>
    <row r="28" spans="1:25" ht="18" customHeight="1">
      <c r="A28" s="801" t="s">
        <v>1874</v>
      </c>
      <c r="B28" s="782" t="s">
        <v>2435</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2820</v>
      </c>
      <c r="C31" s="2505">
        <f ca="1">ROUND((C21+C22+C25+C28)/(1-F23-C26-C29-C30),0)</f>
        <v>0</v>
      </c>
      <c r="D31" s="2506"/>
      <c r="E31" s="2507"/>
      <c r="F31" s="2508"/>
      <c r="G31" s="1576"/>
      <c r="H31" s="821" t="s">
        <v>1871</v>
      </c>
      <c r="I31" s="2961" t="s">
        <v>2821</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5.6000000000000001E-2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1.5</v>
      </c>
      <c r="G36" s="2044"/>
      <c r="H36" s="2047"/>
      <c r="I36" s="3453"/>
      <c r="J36" s="2061"/>
      <c r="K36" s="2062"/>
      <c r="L36" s="2061"/>
      <c r="M36" s="2061"/>
    </row>
    <row r="37" spans="1:18" ht="18" customHeight="1">
      <c r="A37" s="813"/>
      <c r="B37" s="791"/>
      <c r="C37" s="69"/>
      <c r="D37" s="814"/>
      <c r="E37" s="782" t="s">
        <v>674</v>
      </c>
      <c r="F37" s="783">
        <f ca="1">INDIRECT("'数据-取费表'!r"&amp;$G$1)</f>
        <v>0</v>
      </c>
      <c r="G37" s="2044"/>
      <c r="H37" s="2047"/>
      <c r="I37" s="3453"/>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50" t="s">
        <v>712</v>
      </c>
      <c r="E43" s="3071" t="s">
        <v>2950</v>
      </c>
      <c r="F43" s="3072">
        <f ca="1">INDIRECT("'数据-取费表'!j"&amp;$G$1)</f>
        <v>0</v>
      </c>
      <c r="G43" s="2044"/>
      <c r="H43" s="2044"/>
      <c r="I43" s="2044"/>
      <c r="J43" s="2044"/>
      <c r="K43" s="2065"/>
      <c r="L43" s="2044"/>
      <c r="M43" s="2044"/>
    </row>
    <row r="44" spans="1:18" ht="18" customHeight="1">
      <c r="A44" s="801" t="s">
        <v>1877</v>
      </c>
      <c r="B44" s="833" t="s">
        <v>713</v>
      </c>
      <c r="C44" s="1351">
        <f ca="1">C42-C43</f>
        <v>0</v>
      </c>
      <c r="D44" s="461" t="s">
        <v>714</v>
      </c>
      <c r="E44" s="462"/>
      <c r="F44" s="463"/>
      <c r="G44" s="2044"/>
      <c r="H44" s="2044"/>
      <c r="I44" s="2044"/>
      <c r="J44" s="2044"/>
      <c r="K44" s="2065"/>
      <c r="L44" s="2044"/>
      <c r="M44" s="2044"/>
    </row>
    <row r="45" spans="1:18" ht="18" customHeight="1">
      <c r="A45" s="801" t="s">
        <v>1878</v>
      </c>
      <c r="B45" s="1350" t="s">
        <v>715</v>
      </c>
      <c r="C45" s="2987">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3" t="s">
        <v>2953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5" t="str">
        <f ca="1">IF(M48="住宅",0,IF(L49&gt;J52,L61,J61))</f>
        <v>0</v>
      </c>
      <c r="O47" s="2355" t="s">
        <v>2407</v>
      </c>
      <c r="P47" s="1575"/>
      <c r="Q47" s="1586"/>
      <c r="R47" s="1575"/>
    </row>
    <row r="48" spans="1:18" s="2041" customFormat="1" ht="18" customHeight="1" thickBot="1">
      <c r="A48" s="2066"/>
      <c r="C48" s="2069"/>
      <c r="D48" s="2070"/>
      <c r="E48" s="2070"/>
      <c r="F48" s="2071"/>
      <c r="G48" s="2072"/>
      <c r="I48" s="3096" t="s">
        <v>2341</v>
      </c>
      <c r="J48" s="2342"/>
      <c r="K48" s="3102" t="s">
        <v>2346</v>
      </c>
      <c r="L48" s="3106">
        <f ca="1">INDIRECT("'数据-取费表'!d"&amp;$G$1)</f>
        <v>0</v>
      </c>
      <c r="M48" s="3070"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5" t="s">
        <v>2342</v>
      </c>
      <c r="J49" s="2343"/>
      <c r="K49" s="3103"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5" t="s">
        <v>2343</v>
      </c>
      <c r="J50" s="2344"/>
      <c r="K50" s="3104"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5" t="s">
        <v>2344</v>
      </c>
      <c r="J51" s="3100">
        <f>SUMPRODUCT((I64:I66=J48)*(J63:L63=J49)*(J64:L66))</f>
        <v>0</v>
      </c>
      <c r="K51" s="3104" t="s">
        <v>2350</v>
      </c>
      <c r="L51" s="2345"/>
      <c r="O51" s="2362" t="s">
        <v>2380</v>
      </c>
      <c r="P51" s="2360" t="s">
        <v>2404</v>
      </c>
      <c r="Q51" s="2361">
        <f ca="1">C31</f>
        <v>0</v>
      </c>
      <c r="R51" s="2360" t="s">
        <v>2377</v>
      </c>
    </row>
    <row r="52" spans="1:18" s="2041" customFormat="1" ht="18" customHeight="1" thickBot="1">
      <c r="A52" s="2078"/>
      <c r="F52" s="2067"/>
      <c r="I52" s="3097" t="s">
        <v>2345</v>
      </c>
      <c r="J52" s="3101">
        <f>IF(J50="",J51,J50+J51-YEAR('数据-取费表'!B3))</f>
        <v>0</v>
      </c>
      <c r="K52" s="3075" t="s">
        <v>2351</v>
      </c>
      <c r="L52" s="3107">
        <f ca="1">ROUND(-PV(INDIRECT("'数据-取费表'!h"&amp;$G$1),L49,(C40-C14*J36),0),0)</f>
        <v>0</v>
      </c>
      <c r="O52" s="2362" t="s">
        <v>2381</v>
      </c>
      <c r="P52" s="2360" t="s">
        <v>2382</v>
      </c>
      <c r="Q52" s="2363" t="e">
        <f ca="1">J59</f>
        <v>#VALUE!</v>
      </c>
      <c r="R52" s="2364"/>
    </row>
    <row r="53" spans="1:18" s="2041" customFormat="1" ht="18" customHeight="1" thickBot="1">
      <c r="A53" s="2078"/>
      <c r="F53" s="2067"/>
      <c r="I53" s="3098" t="s">
        <v>2418</v>
      </c>
      <c r="J53" s="2346"/>
      <c r="K53" s="3098" t="s">
        <v>2417</v>
      </c>
      <c r="L53" s="2346"/>
      <c r="O53" s="2362" t="s">
        <v>2383</v>
      </c>
      <c r="P53" s="2360" t="s">
        <v>2384</v>
      </c>
      <c r="Q53" s="2363">
        <f>J53</f>
        <v>0</v>
      </c>
      <c r="R53" s="2364"/>
    </row>
    <row r="54" spans="1:18" s="2041" customFormat="1" ht="29.25" thickBot="1">
      <c r="A54" s="2078"/>
      <c r="I54" s="3099" t="s">
        <v>2966</v>
      </c>
      <c r="J54" s="3178">
        <f ca="1">IF(M48="住宅",MAX(J52,L49-'数据-取费表'!B20),MIN(J52,L49-'数据-取费表'!B20))</f>
        <v>-2.5</v>
      </c>
      <c r="K54" s="3458"/>
      <c r="L54" s="3459"/>
      <c r="O54" s="2362" t="s">
        <v>2385</v>
      </c>
      <c r="P54" s="2360" t="s">
        <v>2386</v>
      </c>
      <c r="Q54" s="2361">
        <f ca="1">J54</f>
        <v>-2.5</v>
      </c>
      <c r="R54" s="2360" t="s">
        <v>2387</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2388</v>
      </c>
      <c r="P55" s="2360" t="s">
        <v>2405</v>
      </c>
      <c r="Q55" s="2361">
        <f ca="1">Q49+Q50</f>
        <v>0</v>
      </c>
      <c r="R55" s="2364" t="s">
        <v>2389</v>
      </c>
    </row>
    <row r="56" spans="1:18" s="2041" customFormat="1" ht="16.5" thickBot="1">
      <c r="A56" s="2078"/>
      <c r="B56" s="2079"/>
      <c r="C56" s="2079"/>
      <c r="I56" s="3110" t="s">
        <v>2352</v>
      </c>
      <c r="J56" s="3050" t="e">
        <f ca="1">ROUND(IF(J48="钢混",J58/J51,1-(1-2%)*(J51-J58)/J51),3)</f>
        <v>#VALUE!</v>
      </c>
      <c r="K56" s="3111" t="s">
        <v>2353</v>
      </c>
      <c r="L56" s="2347"/>
      <c r="O56" s="2365" t="s">
        <v>2408</v>
      </c>
      <c r="P56" s="1575"/>
      <c r="Q56" s="1586"/>
      <c r="R56" s="1575"/>
    </row>
    <row r="57" spans="1:18" s="2041" customFormat="1" ht="43.5" thickBot="1">
      <c r="A57" s="2078"/>
      <c r="B57" s="2079"/>
      <c r="C57" s="2079"/>
      <c r="I57" s="3112" t="s">
        <v>2354</v>
      </c>
      <c r="J57" s="3122" t="s">
        <v>1677</v>
      </c>
      <c r="K57" s="3075" t="s">
        <v>2359</v>
      </c>
      <c r="L57" s="1890">
        <f ca="1">IF(L49&lt;J52,"——",L49-J52)</f>
        <v>0</v>
      </c>
      <c r="O57" s="2356" t="s">
        <v>2372</v>
      </c>
      <c r="P57" s="2357" t="s">
        <v>2373</v>
      </c>
      <c r="Q57" s="2358" t="s">
        <v>2374</v>
      </c>
      <c r="R57" s="2357" t="s">
        <v>2375</v>
      </c>
    </row>
    <row r="58" spans="1:18" s="2041" customFormat="1" ht="29.25" thickBot="1">
      <c r="A58" s="2078"/>
      <c r="B58" s="2079"/>
      <c r="C58" s="2079"/>
      <c r="I58" s="3113" t="s">
        <v>2355</v>
      </c>
      <c r="J58" s="3114" t="str">
        <f ca="1">IF(OR(M48="住宅",J52&lt;L49,J57="是"),"——",J52-L49)</f>
        <v>——</v>
      </c>
      <c r="K58" s="3075"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3" t="s">
        <v>2356</v>
      </c>
      <c r="J59" s="3051" t="e">
        <f ca="1">IF(J56&lt;0.4,0.4,J56)</f>
        <v>#VALUE!</v>
      </c>
      <c r="K59" s="3075"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3" t="s">
        <v>2357</v>
      </c>
      <c r="J60" s="3114" t="str">
        <f ca="1">IF(OR(M48="住宅",J52&lt;L49,J57="是"),"——",ROUND(C30*J59,0))</f>
        <v>——</v>
      </c>
      <c r="K60" s="3075"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5" t="s">
        <v>2358</v>
      </c>
      <c r="J61" s="3116" t="str">
        <f ca="1">IF(OR(M48="住宅",J52&lt;L49,J57="是"),"0",ROUND(J60/(1+J53)^J54,0))</f>
        <v>0</v>
      </c>
      <c r="K61" s="3117" t="s">
        <v>2363</v>
      </c>
      <c r="L61" s="3116"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8" t="s">
        <v>2364</v>
      </c>
      <c r="J63" s="3119" t="s">
        <v>2365</v>
      </c>
      <c r="K63" s="3119" t="s">
        <v>2366</v>
      </c>
      <c r="L63" s="3119" t="s">
        <v>2347</v>
      </c>
      <c r="M63" s="3120" t="s">
        <v>2931</v>
      </c>
      <c r="O63" s="2362" t="s">
        <v>2385</v>
      </c>
      <c r="P63" s="2360" t="s">
        <v>2393</v>
      </c>
      <c r="Q63" s="2361">
        <f ca="1">L60</f>
        <v>0</v>
      </c>
      <c r="R63" s="2364" t="s">
        <v>2394</v>
      </c>
    </row>
    <row r="64" spans="1:18" s="2041" customFormat="1" ht="15.75" thickBot="1">
      <c r="A64" s="2078"/>
      <c r="B64" s="2079"/>
      <c r="C64" s="2079"/>
      <c r="I64" s="3118" t="s">
        <v>2367</v>
      </c>
      <c r="J64" s="3119">
        <v>70</v>
      </c>
      <c r="K64" s="3119">
        <v>50</v>
      </c>
      <c r="L64" s="3119">
        <v>80</v>
      </c>
      <c r="M64" s="3121">
        <v>0.02</v>
      </c>
      <c r="O64" s="2359" t="s">
        <v>2388</v>
      </c>
      <c r="P64" s="2360" t="s">
        <v>2405</v>
      </c>
      <c r="Q64" s="2361" t="e">
        <f ca="1">Q58+Q59</f>
        <v>#DIV/0!</v>
      </c>
      <c r="R64" s="2364" t="s">
        <v>2389</v>
      </c>
    </row>
    <row r="65" spans="1:18" s="2041" customFormat="1" ht="16.5" thickBot="1">
      <c r="A65" s="2078"/>
      <c r="B65" s="2079"/>
      <c r="C65" s="2079"/>
      <c r="I65" s="3118" t="s">
        <v>2368</v>
      </c>
      <c r="J65" s="3119">
        <v>50</v>
      </c>
      <c r="K65" s="3119">
        <v>35</v>
      </c>
      <c r="L65" s="3119">
        <v>60</v>
      </c>
      <c r="M65" s="844">
        <v>0</v>
      </c>
      <c r="O65" s="2365" t="s">
        <v>2412</v>
      </c>
      <c r="P65" s="1575"/>
      <c r="Q65" s="1586"/>
      <c r="R65" s="1575"/>
    </row>
    <row r="66" spans="1:18" s="2041" customFormat="1" ht="15.75" thickBot="1">
      <c r="A66" s="2078"/>
      <c r="B66" s="2079"/>
      <c r="C66" s="2079"/>
      <c r="I66" s="3118" t="s">
        <v>2369</v>
      </c>
      <c r="J66" s="3119">
        <v>40</v>
      </c>
      <c r="K66" s="3119">
        <v>30</v>
      </c>
      <c r="L66" s="3119">
        <v>50</v>
      </c>
      <c r="M66" s="3121">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21" sqref="L2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5.625" style="1331" customWidth="1"/>
    <col min="6" max="6" width="12.25" style="1331" customWidth="1"/>
    <col min="7" max="7" width="16.125" style="1331" customWidth="1"/>
    <col min="8" max="8" width="12.25" style="1331" customWidth="1"/>
    <col min="9" max="9" width="16.37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4" t="s">
        <v>719</v>
      </c>
      <c r="C1" s="2585" t="s">
        <v>720</v>
      </c>
      <c r="D1" s="2586" t="s">
        <v>922</v>
      </c>
      <c r="E1" s="2587"/>
      <c r="F1" s="2759" t="s">
        <v>3085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411376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65158</v>
      </c>
      <c r="C3" s="850" t="s">
        <v>722</v>
      </c>
      <c r="D3" s="849">
        <f>SUMIF('数据-汇总表'!$C19:$C33,D1,'数据-汇总表'!$E19:$E33)</f>
        <v>63135.22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72" t="s">
        <v>522</v>
      </c>
      <c r="D4" s="3373"/>
      <c r="E4" s="3409" t="s">
        <v>523</v>
      </c>
      <c r="F4" s="3410"/>
      <c r="G4" s="3372" t="s">
        <v>524</v>
      </c>
      <c r="H4" s="3373"/>
      <c r="I4" s="3372" t="s">
        <v>525</v>
      </c>
      <c r="J4" s="3373"/>
      <c r="K4" s="851" t="s">
        <v>526</v>
      </c>
      <c r="L4" s="2115"/>
      <c r="M4" s="2116"/>
      <c r="N4" s="2116"/>
      <c r="O4" s="2116"/>
      <c r="P4" s="3374" t="s">
        <v>527</v>
      </c>
      <c r="Q4" s="3375"/>
      <c r="R4" s="3380" t="s">
        <v>523</v>
      </c>
      <c r="S4" s="3381"/>
      <c r="T4" s="3380" t="s">
        <v>524</v>
      </c>
      <c r="U4" s="3381"/>
      <c r="V4" s="3367" t="s">
        <v>525</v>
      </c>
      <c r="W4" s="3367"/>
      <c r="X4" s="1550"/>
      <c r="Y4" s="3380" t="s">
        <v>527</v>
      </c>
      <c r="Z4" s="3381"/>
      <c r="AA4" s="3369" t="s">
        <v>523</v>
      </c>
      <c r="AB4" s="3369" t="s">
        <v>524</v>
      </c>
      <c r="AC4" s="3369" t="s">
        <v>525</v>
      </c>
    </row>
    <row r="5" spans="1:29" ht="15.75" thickBot="1">
      <c r="A5" s="513"/>
      <c r="B5" s="514"/>
      <c r="C5" s="3388" t="s">
        <v>2918</v>
      </c>
      <c r="D5" s="3389"/>
      <c r="E5" s="3464" t="s">
        <v>3090</v>
      </c>
      <c r="F5" s="3394"/>
      <c r="G5" s="3463" t="s">
        <v>3092</v>
      </c>
      <c r="H5" s="3389"/>
      <c r="I5" s="3463" t="s">
        <v>3091</v>
      </c>
      <c r="J5" s="3389"/>
      <c r="K5" s="852"/>
      <c r="L5" s="2115"/>
      <c r="M5" s="2116"/>
      <c r="N5" s="2116"/>
      <c r="O5" s="2116"/>
      <c r="P5" s="3376"/>
      <c r="Q5" s="3377"/>
      <c r="R5" s="3382"/>
      <c r="S5" s="3383"/>
      <c r="T5" s="3382"/>
      <c r="U5" s="3383"/>
      <c r="V5" s="3367"/>
      <c r="W5" s="3367"/>
      <c r="X5" s="1550"/>
      <c r="Y5" s="3382"/>
      <c r="Z5" s="3383"/>
      <c r="AA5" s="3370"/>
      <c r="AB5" s="3370"/>
      <c r="AC5" s="3370"/>
    </row>
    <row r="6" spans="1:29" ht="15.75" hidden="1" thickBot="1">
      <c r="A6" s="515"/>
      <c r="B6" s="516"/>
      <c r="C6" s="3407"/>
      <c r="D6" s="3408"/>
      <c r="E6" s="3392"/>
      <c r="F6" s="3387"/>
      <c r="G6" s="3407"/>
      <c r="H6" s="3408"/>
      <c r="I6" s="3407"/>
      <c r="J6" s="3408"/>
      <c r="K6" s="852" t="s">
        <v>528</v>
      </c>
      <c r="L6" s="2115"/>
      <c r="M6" s="2116"/>
      <c r="N6" s="2116"/>
      <c r="O6" s="2116"/>
      <c r="P6" s="3378"/>
      <c r="Q6" s="3379"/>
      <c r="R6" s="3382"/>
      <c r="S6" s="3383"/>
      <c r="T6" s="3384"/>
      <c r="U6" s="3385"/>
      <c r="V6" s="3367"/>
      <c r="W6" s="3367"/>
      <c r="X6" s="1550"/>
      <c r="Y6" s="3384"/>
      <c r="Z6" s="3385"/>
      <c r="AA6" s="3371"/>
      <c r="AB6" s="3371"/>
      <c r="AC6" s="3371"/>
    </row>
    <row r="7" spans="1:29" s="1214" customFormat="1" ht="15.75" thickBot="1">
      <c r="A7" s="2864"/>
      <c r="B7" s="2871" t="s">
        <v>529</v>
      </c>
      <c r="C7" s="517">
        <f>'数据-取费表'!B2</f>
        <v>43817</v>
      </c>
      <c r="D7" s="518">
        <v>100</v>
      </c>
      <c r="E7" s="519">
        <f>C7</f>
        <v>43817</v>
      </c>
      <c r="F7" s="520">
        <f>SUMIF(58:58,YEAR(E7)&amp;"-"&amp;MONTH(E7),59:59)</f>
        <v>100</v>
      </c>
      <c r="G7" s="521">
        <f>C7</f>
        <v>43817</v>
      </c>
      <c r="H7" s="518">
        <f>SUMIF(58:58,YEAR(G7)&amp;"-"&amp;MONTH(G7),59:59)</f>
        <v>100</v>
      </c>
      <c r="I7" s="521">
        <f>C7</f>
        <v>43817</v>
      </c>
      <c r="J7" s="518">
        <f>SUMIF(58:58,YEAR(I7)&amp;"-"&amp;MONTH(I7),59:59)</f>
        <v>100</v>
      </c>
      <c r="K7" s="853"/>
      <c r="L7" s="2117"/>
      <c r="M7" s="2118"/>
      <c r="N7" s="2118"/>
      <c r="O7" s="2118"/>
      <c r="P7" s="3400" t="s">
        <v>530</v>
      </c>
      <c r="Q7" s="3402"/>
      <c r="R7" s="1551" t="s">
        <v>13</v>
      </c>
      <c r="S7" s="1552">
        <f t="shared" ref="S7:S15" si="0">F7</f>
        <v>100</v>
      </c>
      <c r="T7" s="1551" t="s">
        <v>13</v>
      </c>
      <c r="U7" s="1552">
        <f t="shared" ref="U7:U15" si="1">H7</f>
        <v>100</v>
      </c>
      <c r="V7" s="1551" t="s">
        <v>13</v>
      </c>
      <c r="W7" s="1552">
        <f t="shared" ref="W7:W15" si="2">J7</f>
        <v>100</v>
      </c>
      <c r="X7" s="1553"/>
      <c r="Y7" s="3400" t="s">
        <v>530</v>
      </c>
      <c r="Z7" s="3401"/>
      <c r="AA7" s="1554">
        <f>D7/F7</f>
        <v>1</v>
      </c>
      <c r="AB7" s="1554">
        <f>D7/H7</f>
        <v>1</v>
      </c>
      <c r="AC7" s="1554">
        <f>D7/J7</f>
        <v>1</v>
      </c>
    </row>
    <row r="8" spans="1:29" s="1214" customFormat="1" ht="15.75" thickBot="1">
      <c r="A8" s="2865"/>
      <c r="B8" s="2872" t="s">
        <v>531</v>
      </c>
      <c r="C8" s="523" t="s">
        <v>576</v>
      </c>
      <c r="D8" s="518">
        <v>100</v>
      </c>
      <c r="E8" s="854" t="s">
        <v>3005</v>
      </c>
      <c r="F8" s="520">
        <f>SUMIF(61:61,E8,62:62)-SUMIF(61:61,C8,62:62)+100</f>
        <v>100</v>
      </c>
      <c r="G8" s="523" t="s">
        <v>3005</v>
      </c>
      <c r="H8" s="518">
        <f>SUMIF(61:61,G8,62:62)-SUMIF(61:61,C8,62:62)+100</f>
        <v>100</v>
      </c>
      <c r="I8" s="854" t="s">
        <v>3005</v>
      </c>
      <c r="J8" s="518">
        <f>SUMIF(61:61,I8,62:62)-SUMIF(61:61,C8,62:62)+100</f>
        <v>100</v>
      </c>
      <c r="K8" s="853"/>
      <c r="L8" s="2117"/>
      <c r="M8" s="2118"/>
      <c r="N8" s="2118"/>
      <c r="O8" s="2118"/>
      <c r="P8" s="3400" t="s">
        <v>533</v>
      </c>
      <c r="Q8" s="3401"/>
      <c r="R8" s="1551" t="s">
        <v>13</v>
      </c>
      <c r="S8" s="1552">
        <f t="shared" si="0"/>
        <v>100</v>
      </c>
      <c r="T8" s="1551" t="s">
        <v>13</v>
      </c>
      <c r="U8" s="1552">
        <f t="shared" si="1"/>
        <v>100</v>
      </c>
      <c r="V8" s="1551" t="s">
        <v>13</v>
      </c>
      <c r="W8" s="1552">
        <f t="shared" si="2"/>
        <v>100</v>
      </c>
      <c r="X8" s="1553"/>
      <c r="Y8" s="3400" t="s">
        <v>533</v>
      </c>
      <c r="Z8" s="3401"/>
      <c r="AA8" s="1554">
        <f t="shared" ref="AA8:AA46" si="3">D8/F8</f>
        <v>1</v>
      </c>
      <c r="AB8" s="1554">
        <f t="shared" ref="AB8:AB46" si="4">D8/H8</f>
        <v>1</v>
      </c>
      <c r="AC8" s="1554">
        <f t="shared" ref="AC8:AC46" si="5">D8/J8</f>
        <v>1</v>
      </c>
    </row>
    <row r="9" spans="1:29" s="1214" customFormat="1" ht="15">
      <c r="A9" s="2866"/>
      <c r="B9" s="2873" t="s">
        <v>2753</v>
      </c>
      <c r="C9" s="3193" t="s">
        <v>3084</v>
      </c>
      <c r="D9" s="252">
        <v>100</v>
      </c>
      <c r="E9" s="856" t="s">
        <v>922</v>
      </c>
      <c r="F9" s="857">
        <f>SUMIF(63:63,E9,64:64)-SUMIF(63:63,C9,64:64)+100</f>
        <v>100</v>
      </c>
      <c r="G9" s="858" t="s">
        <v>922</v>
      </c>
      <c r="H9" s="252">
        <f>SUMIF(63:63,G9,64:64)-SUMIF(63:63,C9,64:64)+100</f>
        <v>100</v>
      </c>
      <c r="I9" s="858" t="s">
        <v>922</v>
      </c>
      <c r="J9" s="252">
        <f>SUMIF(63:63,I9,64:64)-SUMIF(63:63,C9,64:64)+100</f>
        <v>100</v>
      </c>
      <c r="K9" s="853"/>
      <c r="L9" s="2117"/>
      <c r="M9" s="2118"/>
      <c r="N9" s="2118"/>
      <c r="O9" s="2119"/>
      <c r="P9" s="3366" t="s">
        <v>535</v>
      </c>
      <c r="Q9" s="1145" t="str">
        <f t="shared" ref="Q9:Q15" si="6">B9</f>
        <v>用途</v>
      </c>
      <c r="R9" s="1551" t="s">
        <v>8</v>
      </c>
      <c r="S9" s="1552">
        <f t="shared" si="0"/>
        <v>100</v>
      </c>
      <c r="T9" s="1551" t="s">
        <v>8</v>
      </c>
      <c r="U9" s="1552">
        <f t="shared" si="1"/>
        <v>100</v>
      </c>
      <c r="V9" s="1551" t="s">
        <v>8</v>
      </c>
      <c r="W9" s="1552">
        <f t="shared" si="2"/>
        <v>100</v>
      </c>
      <c r="X9" s="1553"/>
      <c r="Y9" s="3312" t="s">
        <v>536</v>
      </c>
      <c r="Z9" s="1144" t="str">
        <f t="shared" ref="Z9:Z15" si="7">Q9</f>
        <v>用途</v>
      </c>
      <c r="AA9" s="1554">
        <f t="shared" si="3"/>
        <v>1</v>
      </c>
      <c r="AB9" s="1554">
        <f t="shared" si="4"/>
        <v>1</v>
      </c>
      <c r="AC9" s="1554">
        <f t="shared" si="5"/>
        <v>1</v>
      </c>
    </row>
    <row r="10" spans="1:29" s="1332" customFormat="1" ht="27">
      <c r="A10" s="2867"/>
      <c r="B10" s="2872" t="s">
        <v>2754</v>
      </c>
      <c r="C10" s="859" t="s">
        <v>3083</v>
      </c>
      <c r="D10" s="253">
        <v>100</v>
      </c>
      <c r="E10" s="860" t="s">
        <v>3082</v>
      </c>
      <c r="F10" s="861">
        <f>SUMIF(65:65,E10,66:66)-SUMIF(65:65,C10,66:66)+100</f>
        <v>101</v>
      </c>
      <c r="G10" s="859" t="s">
        <v>3082</v>
      </c>
      <c r="H10" s="253">
        <f>SUMIF(65:65,G10,66:66)-SUMIF(65:65,C10,66:66)+100</f>
        <v>101</v>
      </c>
      <c r="I10" s="859" t="s">
        <v>3082</v>
      </c>
      <c r="J10" s="253">
        <f>SUMIF(65:65,I10,66:66)-SUMIF(65:65,C10,66:66)+100</f>
        <v>101</v>
      </c>
      <c r="K10" s="862">
        <v>1</v>
      </c>
      <c r="L10" s="2120"/>
      <c r="M10" s="2160"/>
      <c r="N10" s="2160"/>
      <c r="O10" s="2121"/>
      <c r="P10" s="3366"/>
      <c r="Q10" s="1145" t="str">
        <f t="shared" si="6"/>
        <v>土地使用年限（年）</v>
      </c>
      <c r="R10" s="1551" t="s">
        <v>8</v>
      </c>
      <c r="S10" s="1552">
        <f t="shared" si="0"/>
        <v>101</v>
      </c>
      <c r="T10" s="1551" t="s">
        <v>8</v>
      </c>
      <c r="U10" s="1552">
        <f t="shared" si="1"/>
        <v>101</v>
      </c>
      <c r="V10" s="1551" t="s">
        <v>8</v>
      </c>
      <c r="W10" s="1552">
        <f t="shared" si="2"/>
        <v>101</v>
      </c>
      <c r="X10" s="1553"/>
      <c r="Y10" s="3312"/>
      <c r="Z10" s="1144" t="str">
        <f t="shared" si="7"/>
        <v>土地使用年限（年）</v>
      </c>
      <c r="AA10" s="1554">
        <f t="shared" si="3"/>
        <v>0.99009900990099009</v>
      </c>
      <c r="AB10" s="1554">
        <f t="shared" si="4"/>
        <v>0.99009900990099009</v>
      </c>
      <c r="AC10" s="1554">
        <f t="shared" si="5"/>
        <v>0.99009900990099009</v>
      </c>
    </row>
    <row r="11" spans="1:29" ht="15.75" thickBot="1">
      <c r="A11" s="2868"/>
      <c r="B11" s="2872" t="s">
        <v>2755</v>
      </c>
      <c r="C11" s="531">
        <f>'数据-汇总表'!I4</f>
        <v>1.82</v>
      </c>
      <c r="D11" s="253">
        <v>100</v>
      </c>
      <c r="E11" s="532">
        <v>2.2000000000000002</v>
      </c>
      <c r="F11" s="861">
        <f>LOOKUP(E11,68:68,69:69)-LOOKUP(C11,68:68,69:69)+100</f>
        <v>97</v>
      </c>
      <c r="G11" s="531">
        <v>2.8</v>
      </c>
      <c r="H11" s="253">
        <f>LOOKUP(G11,68:68,69:69)-LOOKUP(C11,68:68,69:69)+100</f>
        <v>97</v>
      </c>
      <c r="I11" s="531">
        <v>1.8</v>
      </c>
      <c r="J11" s="253">
        <f>LOOKUP(I11,68:68,69:69)-LOOKUP(C11,68:68,69:69)+100</f>
        <v>100</v>
      </c>
      <c r="K11" s="862">
        <v>3</v>
      </c>
      <c r="L11" s="2122"/>
      <c r="M11" s="2116"/>
      <c r="N11" s="2116"/>
      <c r="O11" s="2123"/>
      <c r="P11" s="3366"/>
      <c r="Q11" s="1145" t="str">
        <f t="shared" si="6"/>
        <v>容积率</v>
      </c>
      <c r="R11" s="1551" t="s">
        <v>11</v>
      </c>
      <c r="S11" s="1552">
        <f t="shared" si="0"/>
        <v>97</v>
      </c>
      <c r="T11" s="1551" t="s">
        <v>11</v>
      </c>
      <c r="U11" s="1552">
        <f t="shared" si="1"/>
        <v>97</v>
      </c>
      <c r="V11" s="1551" t="s">
        <v>11</v>
      </c>
      <c r="W11" s="1552">
        <f t="shared" si="2"/>
        <v>100</v>
      </c>
      <c r="X11" s="1553"/>
      <c r="Y11" s="3312"/>
      <c r="Z11" s="1144" t="str">
        <f t="shared" si="7"/>
        <v>容积率</v>
      </c>
      <c r="AA11" s="1554">
        <f t="shared" si="3"/>
        <v>1.0309278350515463</v>
      </c>
      <c r="AB11" s="1554">
        <f t="shared" si="4"/>
        <v>1.0309278350515463</v>
      </c>
      <c r="AC11" s="1554">
        <f t="shared" si="5"/>
        <v>1</v>
      </c>
    </row>
    <row r="12" spans="1:29" s="1214"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66"/>
      <c r="Q12" s="1145">
        <f t="shared" si="6"/>
        <v>0</v>
      </c>
      <c r="R12" s="1551" t="s">
        <v>11</v>
      </c>
      <c r="S12" s="1552">
        <f t="shared" si="0"/>
        <v>100</v>
      </c>
      <c r="T12" s="1551" t="s">
        <v>11</v>
      </c>
      <c r="U12" s="1552">
        <f t="shared" si="1"/>
        <v>100</v>
      </c>
      <c r="V12" s="1551" t="s">
        <v>11</v>
      </c>
      <c r="W12" s="1552">
        <f t="shared" si="2"/>
        <v>100</v>
      </c>
      <c r="X12" s="1553"/>
      <c r="Y12" s="3312"/>
      <c r="Z12" s="1144">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66"/>
      <c r="Q13" s="1145">
        <f t="shared" si="6"/>
        <v>0</v>
      </c>
      <c r="R13" s="1551" t="s">
        <v>11</v>
      </c>
      <c r="S13" s="1552">
        <f t="shared" si="0"/>
        <v>100</v>
      </c>
      <c r="T13" s="1551" t="s">
        <v>11</v>
      </c>
      <c r="U13" s="1552">
        <f t="shared" si="1"/>
        <v>100</v>
      </c>
      <c r="V13" s="1551" t="s">
        <v>11</v>
      </c>
      <c r="W13" s="1552">
        <f t="shared" si="2"/>
        <v>100</v>
      </c>
      <c r="X13" s="1553"/>
      <c r="Y13" s="3312"/>
      <c r="Z13" s="1144">
        <f t="shared" si="7"/>
        <v>0</v>
      </c>
      <c r="AA13" s="1554">
        <f t="shared" si="3"/>
        <v>1</v>
      </c>
      <c r="AB13" s="1554">
        <f t="shared" si="4"/>
        <v>1</v>
      </c>
      <c r="AC13" s="1554">
        <f t="shared" si="5"/>
        <v>1</v>
      </c>
    </row>
    <row r="14" spans="1:29" ht="15.75"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66"/>
      <c r="Q14" s="1145">
        <f t="shared" si="6"/>
        <v>0</v>
      </c>
      <c r="R14" s="1551" t="s">
        <v>11</v>
      </c>
      <c r="S14" s="1552">
        <f t="shared" si="0"/>
        <v>100</v>
      </c>
      <c r="T14" s="1551" t="s">
        <v>11</v>
      </c>
      <c r="U14" s="1552">
        <f t="shared" si="1"/>
        <v>100</v>
      </c>
      <c r="V14" s="1551" t="s">
        <v>11</v>
      </c>
      <c r="W14" s="1552">
        <f t="shared" si="2"/>
        <v>100</v>
      </c>
      <c r="X14" s="1553"/>
      <c r="Y14" s="3312"/>
      <c r="Z14" s="1144">
        <f t="shared" si="7"/>
        <v>0</v>
      </c>
      <c r="AA14" s="1554">
        <f t="shared" si="3"/>
        <v>1</v>
      </c>
      <c r="AB14" s="1554">
        <f t="shared" si="4"/>
        <v>1</v>
      </c>
      <c r="AC14" s="1554">
        <f t="shared" si="5"/>
        <v>1</v>
      </c>
    </row>
    <row r="15" spans="1:29" ht="15">
      <c r="A15" s="2862" t="s">
        <v>2751</v>
      </c>
      <c r="B15" s="166" t="s">
        <v>295</v>
      </c>
      <c r="C15" s="865">
        <f>估价对象房地状况!C3</f>
        <v>0</v>
      </c>
      <c r="D15" s="547">
        <v>100</v>
      </c>
      <c r="E15" s="548"/>
      <c r="F15" s="549">
        <f>SUMIF(76:76,E16,77:77)-SUMIF(76:76,C16,77:77)+100</f>
        <v>100</v>
      </c>
      <c r="G15" s="548"/>
      <c r="H15" s="547">
        <f>SUMIF(76:76,G16,77:77)-SUMIF(76:76,C16,77:77)+100</f>
        <v>100</v>
      </c>
      <c r="I15" s="548"/>
      <c r="J15" s="547">
        <f>SUMIF(76:76,I16,77:77)-SUMIF(76:76,C16,77:77)+100</f>
        <v>97</v>
      </c>
      <c r="K15" s="866">
        <v>3</v>
      </c>
      <c r="L15" s="2124"/>
      <c r="M15" s="2116"/>
      <c r="N15" s="2116"/>
      <c r="O15" s="2123"/>
      <c r="P15" s="3403" t="s">
        <v>540</v>
      </c>
      <c r="Q15" s="1555" t="str">
        <f t="shared" si="6"/>
        <v>居住社区成熟度</v>
      </c>
      <c r="R15" s="1556" t="s">
        <v>11</v>
      </c>
      <c r="S15" s="1557">
        <f t="shared" si="0"/>
        <v>100</v>
      </c>
      <c r="T15" s="1556" t="s">
        <v>11</v>
      </c>
      <c r="U15" s="1557">
        <f t="shared" si="1"/>
        <v>100</v>
      </c>
      <c r="V15" s="1556" t="s">
        <v>11</v>
      </c>
      <c r="W15" s="1557">
        <f t="shared" si="2"/>
        <v>97</v>
      </c>
      <c r="X15" s="1550"/>
      <c r="Y15" s="3403" t="s">
        <v>540</v>
      </c>
      <c r="Z15" s="1558" t="str">
        <f t="shared" si="7"/>
        <v>居住社区成熟度</v>
      </c>
      <c r="AA15" s="1559">
        <f t="shared" si="3"/>
        <v>1</v>
      </c>
      <c r="AB15" s="1559">
        <f t="shared" si="4"/>
        <v>1</v>
      </c>
      <c r="AC15" s="1559">
        <f t="shared" si="5"/>
        <v>1.0309278350515463</v>
      </c>
    </row>
    <row r="16" spans="1:29" ht="15">
      <c r="A16" s="530"/>
      <c r="B16" s="867"/>
      <c r="C16" s="574" t="s">
        <v>3009</v>
      </c>
      <c r="D16" s="553"/>
      <c r="E16" s="554" t="s">
        <v>3009</v>
      </c>
      <c r="F16" s="555"/>
      <c r="G16" s="554" t="s">
        <v>3009</v>
      </c>
      <c r="H16" s="557"/>
      <c r="I16" s="554" t="s">
        <v>3008</v>
      </c>
      <c r="J16" s="553"/>
      <c r="K16" s="868"/>
      <c r="L16" s="2124"/>
      <c r="M16" s="2116"/>
      <c r="N16" s="2116"/>
      <c r="O16" s="2123"/>
      <c r="P16" s="3404"/>
      <c r="Q16" s="1555"/>
      <c r="R16" s="1556"/>
      <c r="S16" s="1557"/>
      <c r="T16" s="1556"/>
      <c r="U16" s="1557"/>
      <c r="V16" s="1556"/>
      <c r="W16" s="1557"/>
      <c r="X16" s="1550"/>
      <c r="Y16" s="3404"/>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0"/>
      <c r="H17" s="563">
        <f>SUMIF(78:78,G18,79:79)-SUMIF(78:78,C18,79:79)+100</f>
        <v>100</v>
      </c>
      <c r="I17" s="560"/>
      <c r="J17" s="563">
        <f>SUMIF(78:78,I18,79:79)-SUMIF(78:78,C18,79:79)+100</f>
        <v>100</v>
      </c>
      <c r="K17" s="866">
        <v>3</v>
      </c>
      <c r="L17" s="2124"/>
      <c r="M17" s="2116"/>
      <c r="N17" s="2116"/>
      <c r="O17" s="2123"/>
      <c r="P17" s="3404"/>
      <c r="Q17" s="1555" t="str">
        <f>B17</f>
        <v>交通便捷度</v>
      </c>
      <c r="R17" s="1556" t="s">
        <v>11</v>
      </c>
      <c r="S17" s="1557">
        <f>F17</f>
        <v>100</v>
      </c>
      <c r="T17" s="1556" t="s">
        <v>11</v>
      </c>
      <c r="U17" s="1557">
        <f>H17</f>
        <v>100</v>
      </c>
      <c r="V17" s="1556" t="s">
        <v>11</v>
      </c>
      <c r="W17" s="1557">
        <f>J17</f>
        <v>100</v>
      </c>
      <c r="X17" s="1550"/>
      <c r="Y17" s="3404"/>
      <c r="Z17" s="1558" t="str">
        <f>Q17</f>
        <v>交通便捷度</v>
      </c>
      <c r="AA17" s="1559">
        <f t="shared" si="3"/>
        <v>1</v>
      </c>
      <c r="AB17" s="1559">
        <f t="shared" si="4"/>
        <v>1</v>
      </c>
      <c r="AC17" s="1559">
        <f t="shared" si="5"/>
        <v>1</v>
      </c>
    </row>
    <row r="18" spans="1:29" ht="15">
      <c r="A18" s="530"/>
      <c r="B18" s="593"/>
      <c r="C18" s="871" t="s">
        <v>3008</v>
      </c>
      <c r="D18" s="557"/>
      <c r="E18" s="566" t="s">
        <v>3008</v>
      </c>
      <c r="F18" s="561"/>
      <c r="G18" s="566" t="s">
        <v>3008</v>
      </c>
      <c r="H18" s="553"/>
      <c r="I18" s="566" t="s">
        <v>3008</v>
      </c>
      <c r="J18" s="553"/>
      <c r="K18" s="868"/>
      <c r="L18" s="2124"/>
      <c r="M18" s="2116"/>
      <c r="N18" s="2116"/>
      <c r="O18" s="2123"/>
      <c r="P18" s="3404"/>
      <c r="Q18" s="1555"/>
      <c r="R18" s="1556"/>
      <c r="S18" s="1557"/>
      <c r="T18" s="1556"/>
      <c r="U18" s="1557"/>
      <c r="V18" s="1556"/>
      <c r="W18" s="1557"/>
      <c r="X18" s="1550"/>
      <c r="Y18" s="3404"/>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68"/>
      <c r="H19" s="557">
        <f>SUMIF(80:80,G20,81:81)-SUMIF(80:80,C20,81:81)+100</f>
        <v>100</v>
      </c>
      <c r="I19" s="568"/>
      <c r="J19" s="557">
        <f>SUMIF(80:80,I20,81:81)-SUMIF(80:80,C20,81:81)+100</f>
        <v>98</v>
      </c>
      <c r="K19" s="866">
        <v>2</v>
      </c>
      <c r="L19" s="2124"/>
      <c r="M19" s="2116"/>
      <c r="N19" s="2116"/>
      <c r="O19" s="2123"/>
      <c r="P19" s="3404"/>
      <c r="Q19" s="1555" t="str">
        <f>B19</f>
        <v>公共配套设施</v>
      </c>
      <c r="R19" s="1556" t="s">
        <v>11</v>
      </c>
      <c r="S19" s="1557">
        <f>F19</f>
        <v>100</v>
      </c>
      <c r="T19" s="1556" t="s">
        <v>11</v>
      </c>
      <c r="U19" s="1557">
        <f>H19</f>
        <v>100</v>
      </c>
      <c r="V19" s="1556" t="s">
        <v>11</v>
      </c>
      <c r="W19" s="1557">
        <f>J19</f>
        <v>98</v>
      </c>
      <c r="X19" s="1550"/>
      <c r="Y19" s="3404"/>
      <c r="Z19" s="1558" t="str">
        <f>Q19</f>
        <v>公共配套设施</v>
      </c>
      <c r="AA19" s="1559">
        <f t="shared" si="3"/>
        <v>1</v>
      </c>
      <c r="AB19" s="1559">
        <f t="shared" si="4"/>
        <v>1</v>
      </c>
      <c r="AC19" s="1559">
        <f t="shared" si="5"/>
        <v>1.0204081632653061</v>
      </c>
    </row>
    <row r="20" spans="1:29" ht="15">
      <c r="A20" s="530"/>
      <c r="B20" s="593"/>
      <c r="C20" s="574" t="s">
        <v>3009</v>
      </c>
      <c r="D20" s="553"/>
      <c r="E20" s="554" t="s">
        <v>3009</v>
      </c>
      <c r="F20" s="555"/>
      <c r="G20" s="554" t="s">
        <v>3009</v>
      </c>
      <c r="H20" s="553"/>
      <c r="I20" s="554" t="s">
        <v>3008</v>
      </c>
      <c r="J20" s="553"/>
      <c r="K20" s="868"/>
      <c r="L20" s="2124"/>
      <c r="M20" s="2116"/>
      <c r="N20" s="2116"/>
      <c r="O20" s="2123"/>
      <c r="P20" s="3404"/>
      <c r="Q20" s="1555"/>
      <c r="R20" s="1556"/>
      <c r="S20" s="1557"/>
      <c r="T20" s="1556"/>
      <c r="U20" s="1557"/>
      <c r="V20" s="1556"/>
      <c r="W20" s="1557"/>
      <c r="X20" s="1550"/>
      <c r="Y20" s="3404"/>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68"/>
      <c r="H21" s="563">
        <f>SUMIF(82:82,G22,83:83)-SUMIF(82:82,C22,83:83)+100</f>
        <v>100</v>
      </c>
      <c r="I21" s="568"/>
      <c r="J21" s="563">
        <f>SUMIF(82:82,I22,83:83)-SUMIF(82:82,C22,83:83)+100</f>
        <v>100</v>
      </c>
      <c r="K21" s="866">
        <v>1</v>
      </c>
      <c r="L21" s="2124"/>
      <c r="M21" s="2116"/>
      <c r="N21" s="2116"/>
      <c r="O21" s="2123"/>
      <c r="P21" s="3404"/>
      <c r="Q21" s="2540" t="str">
        <f>B21</f>
        <v>基础设施水平</v>
      </c>
      <c r="R21" s="1556" t="s">
        <v>11</v>
      </c>
      <c r="S21" s="1557">
        <f>F21</f>
        <v>100</v>
      </c>
      <c r="T21" s="1556" t="s">
        <v>11</v>
      </c>
      <c r="U21" s="1557">
        <f>H21</f>
        <v>100</v>
      </c>
      <c r="V21" s="1556" t="s">
        <v>11</v>
      </c>
      <c r="W21" s="1557">
        <f>J21</f>
        <v>100</v>
      </c>
      <c r="X21" s="2542"/>
      <c r="Y21" s="3404"/>
      <c r="Z21" s="2541" t="str">
        <f>Q21</f>
        <v>基础设施水平</v>
      </c>
      <c r="AA21" s="1559">
        <f t="shared" ref="AA21" si="8">D21/F21</f>
        <v>1</v>
      </c>
      <c r="AB21" s="1559">
        <f t="shared" ref="AB21" si="9">D21/H21</f>
        <v>1</v>
      </c>
      <c r="AC21" s="1559">
        <f t="shared" ref="AC21" si="10">D21/J21</f>
        <v>1</v>
      </c>
    </row>
    <row r="22" spans="1:29" ht="15">
      <c r="A22" s="530"/>
      <c r="B22" s="920"/>
      <c r="C22" s="871" t="s">
        <v>3010</v>
      </c>
      <c r="D22" s="553"/>
      <c r="E22" s="574" t="s">
        <v>3010</v>
      </c>
      <c r="F22" s="555"/>
      <c r="G22" s="552" t="s">
        <v>3010</v>
      </c>
      <c r="H22" s="553"/>
      <c r="I22" s="552" t="s">
        <v>3010</v>
      </c>
      <c r="J22" s="553"/>
      <c r="K22" s="2560"/>
      <c r="L22" s="2124"/>
      <c r="M22" s="2116"/>
      <c r="N22" s="2116"/>
      <c r="O22" s="2123"/>
      <c r="P22" s="3404"/>
      <c r="Q22" s="2540"/>
      <c r="R22" s="1556"/>
      <c r="S22" s="1557"/>
      <c r="T22" s="1556"/>
      <c r="U22" s="1557"/>
      <c r="V22" s="1556"/>
      <c r="W22" s="1557"/>
      <c r="X22" s="2542"/>
      <c r="Y22" s="3404"/>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0"/>
      <c r="H23" s="557">
        <f>SUMIF(84:84,G24,85:85)-SUMIF(84:84,C24,85:85)+100</f>
        <v>100</v>
      </c>
      <c r="I23" s="560"/>
      <c r="J23" s="557">
        <f>SUMIF(84:84,I24,85:85)-SUMIF(84:84,C24,85:85)+100</f>
        <v>100</v>
      </c>
      <c r="K23" s="866">
        <v>3</v>
      </c>
      <c r="L23" s="2124"/>
      <c r="M23" s="2116"/>
      <c r="N23" s="2116"/>
      <c r="O23" s="2123"/>
      <c r="P23" s="3404"/>
      <c r="Q23" s="1555" t="str">
        <f>B23</f>
        <v>自然及人文环境</v>
      </c>
      <c r="R23" s="1556" t="s">
        <v>11</v>
      </c>
      <c r="S23" s="1557">
        <f>F23</f>
        <v>100</v>
      </c>
      <c r="T23" s="1556" t="s">
        <v>11</v>
      </c>
      <c r="U23" s="1557">
        <f>H23</f>
        <v>100</v>
      </c>
      <c r="V23" s="1556" t="s">
        <v>11</v>
      </c>
      <c r="W23" s="1557">
        <f>J23</f>
        <v>100</v>
      </c>
      <c r="X23" s="1550"/>
      <c r="Y23" s="3404"/>
      <c r="Z23" s="1558" t="str">
        <f>Q23</f>
        <v>自然及人文环境</v>
      </c>
      <c r="AA23" s="1559">
        <f t="shared" si="3"/>
        <v>1</v>
      </c>
      <c r="AB23" s="1559">
        <f t="shared" si="4"/>
        <v>1</v>
      </c>
      <c r="AC23" s="1559">
        <f t="shared" si="5"/>
        <v>1</v>
      </c>
    </row>
    <row r="24" spans="1:29" ht="15.75" thickBot="1">
      <c r="A24" s="530"/>
      <c r="B24" s="593"/>
      <c r="C24" s="574" t="s">
        <v>3008</v>
      </c>
      <c r="D24" s="553"/>
      <c r="E24" s="554" t="s">
        <v>3008</v>
      </c>
      <c r="F24" s="555"/>
      <c r="G24" s="554" t="s">
        <v>3008</v>
      </c>
      <c r="H24" s="553"/>
      <c r="I24" s="554" t="s">
        <v>3008</v>
      </c>
      <c r="J24" s="553"/>
      <c r="K24" s="868"/>
      <c r="L24" s="2124"/>
      <c r="M24" s="2116"/>
      <c r="N24" s="2116"/>
      <c r="O24" s="2123"/>
      <c r="P24" s="3404"/>
      <c r="Q24" s="1555"/>
      <c r="R24" s="1556"/>
      <c r="S24" s="1557"/>
      <c r="T24" s="1556"/>
      <c r="U24" s="1557"/>
      <c r="V24" s="1556"/>
      <c r="W24" s="1557"/>
      <c r="X24" s="1550"/>
      <c r="Y24" s="3404"/>
      <c r="Z24" s="1558"/>
      <c r="AA24" s="1559">
        <v>1</v>
      </c>
      <c r="AB24" s="1559">
        <v>1</v>
      </c>
      <c r="AC24" s="1559">
        <v>1</v>
      </c>
    </row>
    <row r="25" spans="1:29" ht="15" hidden="1">
      <c r="A25" s="530"/>
      <c r="B25" s="1877" t="s">
        <v>2253</v>
      </c>
      <c r="C25" s="572"/>
      <c r="D25" s="538">
        <v>100</v>
      </c>
      <c r="E25" s="872"/>
      <c r="F25" s="573">
        <f>SUMIF(86:86,E25,87:87)-SUMIF(86:86,C25,87:87)+100</f>
        <v>100</v>
      </c>
      <c r="G25" s="872"/>
      <c r="H25" s="538">
        <f>SUMIF(86:86,G25,87:87)-SUMIF(86:86,C25,87:87)+100</f>
        <v>100</v>
      </c>
      <c r="I25" s="872"/>
      <c r="J25" s="538">
        <f>SUMIF(86:86,I25,87:87)-SUMIF(86:86,C25,87:87)+100</f>
        <v>100</v>
      </c>
      <c r="K25" s="862"/>
      <c r="L25" s="2124"/>
      <c r="M25" s="2116"/>
      <c r="N25" s="2116"/>
      <c r="O25" s="2123"/>
      <c r="P25" s="3404"/>
      <c r="Q25" s="1555" t="str">
        <f t="shared" ref="Q25:Q46" si="11">B25</f>
        <v>楼层-1</v>
      </c>
      <c r="R25" s="1556" t="s">
        <v>11</v>
      </c>
      <c r="S25" s="1557">
        <f>F25</f>
        <v>100</v>
      </c>
      <c r="T25" s="1556" t="s">
        <v>11</v>
      </c>
      <c r="U25" s="1557">
        <f>H25</f>
        <v>100</v>
      </c>
      <c r="V25" s="1556" t="s">
        <v>11</v>
      </c>
      <c r="W25" s="1557">
        <f>J25</f>
        <v>100</v>
      </c>
      <c r="X25" s="1550"/>
      <c r="Y25" s="3404"/>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872"/>
      <c r="H26" s="538">
        <f>SUMIF(88:88,G26,89:89)-SUMIF(88:88,C26,89:89)+100</f>
        <v>100</v>
      </c>
      <c r="I26" s="872"/>
      <c r="J26" s="538">
        <f>SUMIF(88:88,I26,89:89)-SUMIF(88:88,C26,89:89)+100</f>
        <v>100</v>
      </c>
      <c r="K26" s="862"/>
      <c r="L26" s="2124"/>
      <c r="M26" s="2116"/>
      <c r="N26" s="2116"/>
      <c r="O26" s="2123"/>
      <c r="P26" s="3404"/>
      <c r="Q26" s="1555" t="str">
        <f t="shared" si="11"/>
        <v>朝向</v>
      </c>
      <c r="R26" s="1556" t="s">
        <v>11</v>
      </c>
      <c r="S26" s="1557">
        <f>F26</f>
        <v>100</v>
      </c>
      <c r="T26" s="1556" t="s">
        <v>11</v>
      </c>
      <c r="U26" s="1557">
        <f>H26</f>
        <v>100</v>
      </c>
      <c r="V26" s="1556" t="s">
        <v>11</v>
      </c>
      <c r="W26" s="1557">
        <f>J26</f>
        <v>100</v>
      </c>
      <c r="X26" s="1550"/>
      <c r="Y26" s="3404"/>
      <c r="Z26" s="1558" t="str">
        <f>Q26</f>
        <v>朝向</v>
      </c>
      <c r="AA26" s="1559">
        <f t="shared" si="3"/>
        <v>1</v>
      </c>
      <c r="AB26" s="1559">
        <f t="shared" si="4"/>
        <v>1</v>
      </c>
      <c r="AC26" s="1559">
        <f t="shared" si="5"/>
        <v>1</v>
      </c>
    </row>
    <row r="27" spans="1:29" s="1214" customFormat="1" ht="15" hidden="1">
      <c r="A27" s="534"/>
      <c r="B27" s="535"/>
      <c r="C27" s="526"/>
      <c r="D27" s="873">
        <v>100</v>
      </c>
      <c r="E27" s="528"/>
      <c r="F27" s="874">
        <f>SUMIF(90:90,E27,91:91)-SUMIF(90:90,C27,91:91)+100</f>
        <v>100</v>
      </c>
      <c r="G27" s="528"/>
      <c r="H27" s="873">
        <f>SUMIF(90:90,G27,91:91)-SUMIF(90:90,C27,91:91)+100</f>
        <v>100</v>
      </c>
      <c r="I27" s="528"/>
      <c r="J27" s="873">
        <f>SUMIF(90:90,I27,91:91)-SUMIF(90:90,C27,91:91)+100</f>
        <v>100</v>
      </c>
      <c r="K27" s="863"/>
      <c r="L27" s="2117"/>
      <c r="M27" s="2118"/>
      <c r="N27" s="2118"/>
      <c r="O27" s="2119"/>
      <c r="P27" s="3404"/>
      <c r="Q27" s="1145">
        <f t="shared" si="11"/>
        <v>0</v>
      </c>
      <c r="R27" s="1551" t="s">
        <v>11</v>
      </c>
      <c r="S27" s="1552">
        <f>F27</f>
        <v>100</v>
      </c>
      <c r="T27" s="1551" t="s">
        <v>11</v>
      </c>
      <c r="U27" s="1552">
        <f>H27</f>
        <v>100</v>
      </c>
      <c r="V27" s="1551" t="s">
        <v>11</v>
      </c>
      <c r="W27" s="1552">
        <f>J27</f>
        <v>100</v>
      </c>
      <c r="X27" s="1553"/>
      <c r="Y27" s="3404"/>
      <c r="Z27" s="1144">
        <f>Q27</f>
        <v>0</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04"/>
      <c r="Q28" s="1555">
        <f t="shared" si="11"/>
        <v>0</v>
      </c>
      <c r="R28" s="1556" t="s">
        <v>11</v>
      </c>
      <c r="S28" s="1557">
        <f t="shared" ref="S28:S46" si="12">F28</f>
        <v>100</v>
      </c>
      <c r="T28" s="1556" t="s">
        <v>11</v>
      </c>
      <c r="U28" s="1557">
        <f t="shared" ref="U28:U46" si="13">H28</f>
        <v>100</v>
      </c>
      <c r="V28" s="1556" t="s">
        <v>11</v>
      </c>
      <c r="W28" s="1557">
        <f t="shared" ref="W28:W46" si="14">J28</f>
        <v>100</v>
      </c>
      <c r="X28" s="1550"/>
      <c r="Y28" s="3404"/>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04"/>
      <c r="Q29" s="1555">
        <f t="shared" si="11"/>
        <v>0</v>
      </c>
      <c r="R29" s="1556" t="s">
        <v>11</v>
      </c>
      <c r="S29" s="1557">
        <f t="shared" si="12"/>
        <v>100</v>
      </c>
      <c r="T29" s="1556" t="s">
        <v>11</v>
      </c>
      <c r="U29" s="1557">
        <f t="shared" si="13"/>
        <v>100</v>
      </c>
      <c r="V29" s="1556" t="s">
        <v>11</v>
      </c>
      <c r="W29" s="1557">
        <f t="shared" si="14"/>
        <v>100</v>
      </c>
      <c r="X29" s="1550"/>
      <c r="Y29" s="3404"/>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04"/>
      <c r="Q30" s="1555">
        <f t="shared" si="11"/>
        <v>0</v>
      </c>
      <c r="R30" s="1556" t="s">
        <v>11</v>
      </c>
      <c r="S30" s="1557">
        <f t="shared" si="12"/>
        <v>100</v>
      </c>
      <c r="T30" s="1556" t="s">
        <v>11</v>
      </c>
      <c r="U30" s="1557">
        <f t="shared" si="13"/>
        <v>100</v>
      </c>
      <c r="V30" s="1556" t="s">
        <v>11</v>
      </c>
      <c r="W30" s="1557">
        <f t="shared" si="14"/>
        <v>100</v>
      </c>
      <c r="X30" s="1550"/>
      <c r="Y30" s="3404"/>
      <c r="Z30" s="1558">
        <f t="shared" si="15"/>
        <v>0</v>
      </c>
      <c r="AA30" s="1559">
        <f t="shared" si="3"/>
        <v>1</v>
      </c>
      <c r="AB30" s="1559">
        <f t="shared" si="4"/>
        <v>1</v>
      </c>
      <c r="AC30" s="1559">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04"/>
      <c r="Q31" s="1555">
        <f t="shared" si="11"/>
        <v>0</v>
      </c>
      <c r="R31" s="1556" t="s">
        <v>11</v>
      </c>
      <c r="S31" s="1557">
        <f t="shared" si="12"/>
        <v>100</v>
      </c>
      <c r="T31" s="1556" t="s">
        <v>11</v>
      </c>
      <c r="U31" s="1557">
        <f t="shared" si="13"/>
        <v>100</v>
      </c>
      <c r="V31" s="1556" t="s">
        <v>11</v>
      </c>
      <c r="W31" s="1557">
        <f t="shared" si="14"/>
        <v>100</v>
      </c>
      <c r="X31" s="1550"/>
      <c r="Y31" s="3404"/>
      <c r="Z31" s="1558">
        <f t="shared" si="15"/>
        <v>0</v>
      </c>
      <c r="AA31" s="1559">
        <f t="shared" si="3"/>
        <v>1</v>
      </c>
      <c r="AB31" s="1559">
        <f t="shared" si="4"/>
        <v>1</v>
      </c>
      <c r="AC31" s="1559">
        <f t="shared" si="5"/>
        <v>1</v>
      </c>
    </row>
    <row r="32" spans="1:29" ht="15">
      <c r="A32" s="2859" t="s">
        <v>2752</v>
      </c>
      <c r="B32" s="172" t="s">
        <v>724</v>
      </c>
      <c r="C32" s="876" t="s">
        <v>3086</v>
      </c>
      <c r="D32" s="595">
        <v>100</v>
      </c>
      <c r="E32" s="877" t="s">
        <v>3086</v>
      </c>
      <c r="F32" s="573">
        <f>SUMIF(100:100,E32,101:101)-SUMIF(100:100,C32,101:101)+100</f>
        <v>100</v>
      </c>
      <c r="G32" s="876" t="s">
        <v>3086</v>
      </c>
      <c r="H32" s="595">
        <f>SUMIF(100:100,G32,101:101)-SUMIF(100:100,C32,101:101)+100</f>
        <v>100</v>
      </c>
      <c r="I32" s="876" t="s">
        <v>3086</v>
      </c>
      <c r="J32" s="538">
        <f>SUMIF(100:100,I32,101:101)-SUMIF(100:100,C32,101:101)+100</f>
        <v>100</v>
      </c>
      <c r="K32" s="862">
        <v>10</v>
      </c>
      <c r="L32" s="2124"/>
      <c r="M32" s="2116"/>
      <c r="N32" s="2116"/>
      <c r="O32" s="2123"/>
      <c r="P32" s="3405" t="s">
        <v>550</v>
      </c>
      <c r="Q32" s="1555" t="str">
        <f t="shared" si="11"/>
        <v>建筑类型</v>
      </c>
      <c r="R32" s="1556" t="s">
        <v>11</v>
      </c>
      <c r="S32" s="1557">
        <f t="shared" si="12"/>
        <v>100</v>
      </c>
      <c r="T32" s="1556" t="s">
        <v>11</v>
      </c>
      <c r="U32" s="1557">
        <f t="shared" si="13"/>
        <v>100</v>
      </c>
      <c r="V32" s="1556" t="s">
        <v>11</v>
      </c>
      <c r="W32" s="1557">
        <f t="shared" si="14"/>
        <v>100</v>
      </c>
      <c r="X32" s="1550"/>
      <c r="Y32" s="3406" t="s">
        <v>550</v>
      </c>
      <c r="Z32" s="1558" t="str">
        <f t="shared" si="15"/>
        <v>建筑类型</v>
      </c>
      <c r="AA32" s="1559">
        <f t="shared" si="3"/>
        <v>1</v>
      </c>
      <c r="AB32" s="1559">
        <f t="shared" si="4"/>
        <v>1</v>
      </c>
      <c r="AC32" s="1559">
        <f t="shared" si="5"/>
        <v>1</v>
      </c>
    </row>
    <row r="33" spans="1:29" s="1333" customFormat="1" ht="15">
      <c r="A33" s="601"/>
      <c r="B33" s="525" t="s">
        <v>725</v>
      </c>
      <c r="C33" s="878">
        <f>'数据-汇总表'!E3</f>
        <v>109310.18</v>
      </c>
      <c r="D33" s="253">
        <v>100</v>
      </c>
      <c r="E33" s="532">
        <v>210000</v>
      </c>
      <c r="F33" s="861">
        <f>LOOKUP(E33,103:103,104:104)-LOOKUP(C33,103:103,104:104)+100</f>
        <v>101</v>
      </c>
      <c r="G33" s="531">
        <v>248136</v>
      </c>
      <c r="H33" s="253">
        <f>LOOKUP(G33,103:103,104:104)-LOOKUP(C33,103:103,104:104)+100</f>
        <v>101</v>
      </c>
      <c r="I33" s="531">
        <v>51375</v>
      </c>
      <c r="J33" s="253">
        <f>LOOKUP(I33,103:103,104:104)-LOOKUP(C33,103:103,104:104)+100</f>
        <v>99</v>
      </c>
      <c r="K33" s="863"/>
      <c r="L33" s="2122"/>
      <c r="M33" s="2153"/>
      <c r="N33" s="2153"/>
      <c r="O33" s="2125"/>
      <c r="P33" s="3406"/>
      <c r="Q33" s="1587" t="str">
        <f t="shared" si="11"/>
        <v>项目建筑规模</v>
      </c>
      <c r="R33" s="1560" t="s">
        <v>11</v>
      </c>
      <c r="S33" s="1561">
        <f t="shared" si="12"/>
        <v>101</v>
      </c>
      <c r="T33" s="1560" t="s">
        <v>11</v>
      </c>
      <c r="U33" s="1561">
        <f t="shared" si="13"/>
        <v>101</v>
      </c>
      <c r="V33" s="1560" t="s">
        <v>11</v>
      </c>
      <c r="W33" s="1561">
        <f t="shared" si="14"/>
        <v>99</v>
      </c>
      <c r="X33" s="1562"/>
      <c r="Y33" s="3406"/>
      <c r="Z33" s="1563" t="str">
        <f t="shared" si="15"/>
        <v>项目建筑规模</v>
      </c>
      <c r="AA33" s="1559">
        <f t="shared" si="3"/>
        <v>0.99009900990099009</v>
      </c>
      <c r="AB33" s="1559">
        <f t="shared" si="4"/>
        <v>0.99009900990099009</v>
      </c>
      <c r="AC33" s="1559">
        <f t="shared" si="5"/>
        <v>1.0101010101010102</v>
      </c>
    </row>
    <row r="34" spans="1:29" ht="15">
      <c r="A34" s="592"/>
      <c r="B34" s="525" t="s">
        <v>726</v>
      </c>
      <c r="C34" s="879" t="s">
        <v>3038</v>
      </c>
      <c r="D34" s="538">
        <v>100</v>
      </c>
      <c r="E34" s="880" t="s">
        <v>3038</v>
      </c>
      <c r="F34" s="573">
        <f>SUMIF(105:105,E34,106:106)-SUMIF(105:105,C34,106:106)+100</f>
        <v>100</v>
      </c>
      <c r="G34" s="879" t="s">
        <v>3038</v>
      </c>
      <c r="H34" s="538">
        <f>SUMIF(105:105,G34,106:106)-SUMIF(105:105,C34,106:106)+100</f>
        <v>100</v>
      </c>
      <c r="I34" s="879" t="s">
        <v>3038</v>
      </c>
      <c r="J34" s="538">
        <f>SUMIF(105:105,I34,106:106)-SUMIF(105:105,C34,106:106)+100</f>
        <v>100</v>
      </c>
      <c r="K34" s="862">
        <v>2</v>
      </c>
      <c r="L34" s="2124"/>
      <c r="M34" s="2116"/>
      <c r="N34" s="2116"/>
      <c r="O34" s="2123"/>
      <c r="P34" s="3406"/>
      <c r="Q34" s="1555" t="str">
        <f t="shared" si="11"/>
        <v>建筑结构</v>
      </c>
      <c r="R34" s="1556" t="s">
        <v>11</v>
      </c>
      <c r="S34" s="1557">
        <f t="shared" si="12"/>
        <v>100</v>
      </c>
      <c r="T34" s="1556" t="s">
        <v>11</v>
      </c>
      <c r="U34" s="1557">
        <f t="shared" si="13"/>
        <v>100</v>
      </c>
      <c r="V34" s="1556" t="s">
        <v>11</v>
      </c>
      <c r="W34" s="1557">
        <f t="shared" si="14"/>
        <v>100</v>
      </c>
      <c r="X34" s="1550"/>
      <c r="Y34" s="3406"/>
      <c r="Z34" s="1558" t="str">
        <f t="shared" si="15"/>
        <v>建筑结构</v>
      </c>
      <c r="AA34" s="1559">
        <f t="shared" si="3"/>
        <v>1</v>
      </c>
      <c r="AB34" s="1559">
        <f t="shared" si="4"/>
        <v>1</v>
      </c>
      <c r="AC34" s="1559">
        <f t="shared" si="5"/>
        <v>1</v>
      </c>
    </row>
    <row r="35" spans="1:29" ht="15">
      <c r="A35" s="592"/>
      <c r="B35" s="525" t="s">
        <v>727</v>
      </c>
      <c r="C35" s="597" t="s">
        <v>3087</v>
      </c>
      <c r="D35" s="538">
        <v>100</v>
      </c>
      <c r="E35" s="872" t="s">
        <v>3087</v>
      </c>
      <c r="F35" s="573">
        <f>SUMIF(107:107,E35,108:108)-SUMIF(107:107,C35,108:108)+100</f>
        <v>100</v>
      </c>
      <c r="G35" s="597" t="s">
        <v>3087</v>
      </c>
      <c r="H35" s="538">
        <f>SUMIF(107:107,G35,108:108)-SUMIF(107:107,C35,108:108)+100</f>
        <v>100</v>
      </c>
      <c r="I35" s="597" t="s">
        <v>3087</v>
      </c>
      <c r="J35" s="538">
        <f>SUMIF(107:107,I35,108:108)-SUMIF(107:107,C35,108:108)+100</f>
        <v>100</v>
      </c>
      <c r="K35" s="862">
        <v>2</v>
      </c>
      <c r="L35" s="2124"/>
      <c r="M35" s="2116"/>
      <c r="N35" s="2116"/>
      <c r="O35" s="2123"/>
      <c r="P35" s="3406"/>
      <c r="Q35" s="1555" t="str">
        <f t="shared" si="11"/>
        <v>建筑品质</v>
      </c>
      <c r="R35" s="1556" t="s">
        <v>11</v>
      </c>
      <c r="S35" s="1557">
        <f t="shared" si="12"/>
        <v>100</v>
      </c>
      <c r="T35" s="1556" t="s">
        <v>11</v>
      </c>
      <c r="U35" s="1557">
        <f t="shared" si="13"/>
        <v>100</v>
      </c>
      <c r="V35" s="1556" t="s">
        <v>11</v>
      </c>
      <c r="W35" s="1557">
        <f t="shared" si="14"/>
        <v>100</v>
      </c>
      <c r="X35" s="1550"/>
      <c r="Y35" s="3406"/>
      <c r="Z35" s="1558" t="str">
        <f t="shared" si="15"/>
        <v>建筑品质</v>
      </c>
      <c r="AA35" s="1559">
        <f t="shared" si="3"/>
        <v>1</v>
      </c>
      <c r="AB35" s="1559">
        <f t="shared" si="4"/>
        <v>1</v>
      </c>
      <c r="AC35" s="1559">
        <f t="shared" si="5"/>
        <v>1</v>
      </c>
    </row>
    <row r="36" spans="1:29" ht="15">
      <c r="A36" s="592"/>
      <c r="B36" s="525" t="s">
        <v>728</v>
      </c>
      <c r="C36" s="597" t="s">
        <v>3088</v>
      </c>
      <c r="D36" s="538">
        <v>100</v>
      </c>
      <c r="E36" s="872" t="s">
        <v>3088</v>
      </c>
      <c r="F36" s="573">
        <f>SUMIF(109:109,E36,110:110)-SUMIF(109:109,C36,110:110)+100</f>
        <v>100</v>
      </c>
      <c r="G36" s="597" t="s">
        <v>3088</v>
      </c>
      <c r="H36" s="538">
        <f>SUMIF(109:109,G36,110:110)-SUMIF(109:109,C36,110:110)+100</f>
        <v>100</v>
      </c>
      <c r="I36" s="597" t="s">
        <v>3088</v>
      </c>
      <c r="J36" s="538">
        <f>SUMIF(109:109,I36,110:110)-SUMIF(109:109,C36,110:110)+100</f>
        <v>100</v>
      </c>
      <c r="K36" s="862">
        <v>1</v>
      </c>
      <c r="L36" s="2124"/>
      <c r="M36" s="2116"/>
      <c r="N36" s="2116"/>
      <c r="O36" s="2123"/>
      <c r="P36" s="3406"/>
      <c r="Q36" s="1555" t="str">
        <f t="shared" si="11"/>
        <v>公共部分装修</v>
      </c>
      <c r="R36" s="1556" t="s">
        <v>11</v>
      </c>
      <c r="S36" s="1557">
        <f t="shared" si="12"/>
        <v>100</v>
      </c>
      <c r="T36" s="1556" t="s">
        <v>11</v>
      </c>
      <c r="U36" s="1557">
        <f t="shared" si="13"/>
        <v>100</v>
      </c>
      <c r="V36" s="1556" t="s">
        <v>11</v>
      </c>
      <c r="W36" s="1557">
        <f t="shared" si="14"/>
        <v>100</v>
      </c>
      <c r="X36" s="1550"/>
      <c r="Y36" s="3406"/>
      <c r="Z36" s="1558" t="str">
        <f t="shared" si="15"/>
        <v>公共部分装修</v>
      </c>
      <c r="AA36" s="1559">
        <f t="shared" si="3"/>
        <v>1</v>
      </c>
      <c r="AB36" s="1559">
        <f t="shared" si="4"/>
        <v>1</v>
      </c>
      <c r="AC36" s="1559">
        <f t="shared" si="5"/>
        <v>1</v>
      </c>
    </row>
    <row r="37" spans="1:29" s="1214" customFormat="1" ht="15">
      <c r="A37" s="598"/>
      <c r="B37" s="525" t="s">
        <v>729</v>
      </c>
      <c r="C37" s="881">
        <v>1</v>
      </c>
      <c r="D37" s="253">
        <v>100</v>
      </c>
      <c r="E37" s="881">
        <v>0.95</v>
      </c>
      <c r="F37" s="861">
        <f>LOOKUP(E37,112:112,113:113)-LOOKUP(C37,112:112,113:113)+100</f>
        <v>100</v>
      </c>
      <c r="G37" s="883">
        <v>1</v>
      </c>
      <c r="H37" s="253">
        <f>LOOKUP(G37,112:112,113:113)-LOOKUP(C37,112:112,113:113)+100</f>
        <v>100</v>
      </c>
      <c r="I37" s="883">
        <v>0.95</v>
      </c>
      <c r="J37" s="253">
        <f>LOOKUP(I37,112:112,113:113)-LOOKUP(C37,112:112,113:113)+100</f>
        <v>100</v>
      </c>
      <c r="K37" s="862">
        <v>1</v>
      </c>
      <c r="L37" s="2117"/>
      <c r="M37" s="2118"/>
      <c r="N37" s="2118"/>
      <c r="O37" s="2119"/>
      <c r="P37" s="3406"/>
      <c r="Q37" s="1145" t="str">
        <f t="shared" si="11"/>
        <v>成新度</v>
      </c>
      <c r="R37" s="1551" t="s">
        <v>11</v>
      </c>
      <c r="S37" s="1552">
        <f t="shared" si="12"/>
        <v>100</v>
      </c>
      <c r="T37" s="1551" t="s">
        <v>11</v>
      </c>
      <c r="U37" s="1552">
        <f t="shared" si="13"/>
        <v>100</v>
      </c>
      <c r="V37" s="1551" t="s">
        <v>11</v>
      </c>
      <c r="W37" s="1552">
        <f t="shared" si="14"/>
        <v>100</v>
      </c>
      <c r="X37" s="1553"/>
      <c r="Y37" s="3406"/>
      <c r="Z37" s="1144" t="str">
        <f t="shared" si="15"/>
        <v>成新度</v>
      </c>
      <c r="AA37" s="1554">
        <f t="shared" si="3"/>
        <v>1</v>
      </c>
      <c r="AB37" s="1554">
        <f t="shared" si="4"/>
        <v>1</v>
      </c>
      <c r="AC37" s="1554">
        <f t="shared" si="5"/>
        <v>1</v>
      </c>
    </row>
    <row r="38" spans="1:29" ht="15">
      <c r="A38" s="592"/>
      <c r="B38" s="525" t="s">
        <v>730</v>
      </c>
      <c r="C38" s="597" t="s">
        <v>3089</v>
      </c>
      <c r="D38" s="538">
        <v>100</v>
      </c>
      <c r="E38" s="872" t="s">
        <v>3089</v>
      </c>
      <c r="F38" s="573">
        <f>SUMIF(114:114,E38,115:115)-SUMIF(114:114,C38,115:115)+100</f>
        <v>100</v>
      </c>
      <c r="G38" s="597" t="s">
        <v>3089</v>
      </c>
      <c r="H38" s="538">
        <f>SUMIF(114:114,G38,115:115)-SUMIF(114:114,C38,115:115)+100</f>
        <v>100</v>
      </c>
      <c r="I38" s="597" t="s">
        <v>3089</v>
      </c>
      <c r="J38" s="538">
        <f>SUMIF(114:114,I38,115:115)-SUMIF(114:114,C38,115:115)+100</f>
        <v>100</v>
      </c>
      <c r="K38" s="862">
        <v>1</v>
      </c>
      <c r="L38" s="2124"/>
      <c r="M38" s="2116"/>
      <c r="N38" s="2116"/>
      <c r="O38" s="2123"/>
      <c r="P38" s="3406" t="s">
        <v>550</v>
      </c>
      <c r="Q38" s="1555" t="str">
        <f t="shared" si="11"/>
        <v>物业管理</v>
      </c>
      <c r="R38" s="1556" t="s">
        <v>11</v>
      </c>
      <c r="S38" s="1557">
        <f t="shared" si="12"/>
        <v>100</v>
      </c>
      <c r="T38" s="1556" t="s">
        <v>11</v>
      </c>
      <c r="U38" s="1557">
        <f t="shared" si="13"/>
        <v>100</v>
      </c>
      <c r="V38" s="1556" t="s">
        <v>11</v>
      </c>
      <c r="W38" s="1557">
        <f t="shared" si="14"/>
        <v>100</v>
      </c>
      <c r="X38" s="1550"/>
      <c r="Y38" s="3406" t="s">
        <v>550</v>
      </c>
      <c r="Z38" s="1558" t="str">
        <f t="shared" si="15"/>
        <v>物业管理</v>
      </c>
      <c r="AA38" s="1559">
        <f t="shared" si="3"/>
        <v>1</v>
      </c>
      <c r="AB38" s="1559">
        <f t="shared" si="4"/>
        <v>1</v>
      </c>
      <c r="AC38" s="1559">
        <f t="shared" si="5"/>
        <v>1</v>
      </c>
    </row>
    <row r="39" spans="1:29" ht="15">
      <c r="A39" s="592"/>
      <c r="B39" s="1877" t="s">
        <v>2561</v>
      </c>
      <c r="C39" s="597" t="s">
        <v>3010</v>
      </c>
      <c r="D39" s="538">
        <v>100</v>
      </c>
      <c r="E39" s="872" t="s">
        <v>3010</v>
      </c>
      <c r="F39" s="573">
        <f>SUMIF(116:116,E39,117:117)-SUMIF(116:116,C39,117:117)+100</f>
        <v>100</v>
      </c>
      <c r="G39" s="597" t="s">
        <v>3010</v>
      </c>
      <c r="H39" s="538">
        <f>SUMIF(116:116,G39,117:117)-SUMIF(116:116,C39,117:117)+100</f>
        <v>100</v>
      </c>
      <c r="I39" s="597" t="s">
        <v>3010</v>
      </c>
      <c r="J39" s="538">
        <f>SUMIF(116:116,I39,117:117)-SUMIF(116:116,C39,117:117)+100</f>
        <v>100</v>
      </c>
      <c r="K39" s="862">
        <v>1</v>
      </c>
      <c r="L39" s="2124"/>
      <c r="M39" s="2116"/>
      <c r="N39" s="2116"/>
      <c r="O39" s="2123"/>
      <c r="P39" s="3406"/>
      <c r="Q39" s="1555" t="str">
        <f t="shared" si="11"/>
        <v>市政基础设施</v>
      </c>
      <c r="R39" s="1556" t="s">
        <v>11</v>
      </c>
      <c r="S39" s="1557">
        <f t="shared" si="12"/>
        <v>100</v>
      </c>
      <c r="T39" s="1556" t="s">
        <v>11</v>
      </c>
      <c r="U39" s="1557">
        <f t="shared" si="13"/>
        <v>100</v>
      </c>
      <c r="V39" s="1556" t="s">
        <v>11</v>
      </c>
      <c r="W39" s="1557">
        <f t="shared" si="14"/>
        <v>100</v>
      </c>
      <c r="X39" s="1550"/>
      <c r="Y39" s="3406"/>
      <c r="Z39" s="1558" t="str">
        <f t="shared" si="15"/>
        <v>市政基础设施</v>
      </c>
      <c r="AA39" s="1559">
        <f t="shared" si="3"/>
        <v>1</v>
      </c>
      <c r="AB39" s="1559">
        <f t="shared" si="4"/>
        <v>1</v>
      </c>
      <c r="AC39" s="1559">
        <f t="shared" si="5"/>
        <v>1</v>
      </c>
    </row>
    <row r="40" spans="1:29" ht="15">
      <c r="A40" s="592"/>
      <c r="B40" s="525" t="s">
        <v>731</v>
      </c>
      <c r="C40" s="3194" t="s">
        <v>3093</v>
      </c>
      <c r="D40" s="538">
        <v>100</v>
      </c>
      <c r="E40" s="3194" t="s">
        <v>3093</v>
      </c>
      <c r="F40" s="573">
        <f>SUMIF(118:118,E40,119:119)-SUMIF(118:118,C40,119:119)+100</f>
        <v>100</v>
      </c>
      <c r="G40" s="3194" t="s">
        <v>3093</v>
      </c>
      <c r="H40" s="538">
        <f>SUMIF(118:118,G40,119:119)-SUMIF(118:118,C40,119:119)+100</f>
        <v>100</v>
      </c>
      <c r="I40" s="3194" t="s">
        <v>3093</v>
      </c>
      <c r="J40" s="538">
        <f>SUMIF(118:118,I40,119:119)-SUMIF(118:118,C40,119:119)+100</f>
        <v>100</v>
      </c>
      <c r="K40" s="862">
        <v>5</v>
      </c>
      <c r="L40" s="2124"/>
      <c r="M40" s="2116"/>
      <c r="N40" s="2116"/>
      <c r="O40" s="2123"/>
      <c r="P40" s="3406"/>
      <c r="Q40" s="1555" t="str">
        <f t="shared" si="11"/>
        <v>房型</v>
      </c>
      <c r="R40" s="1556" t="s">
        <v>11</v>
      </c>
      <c r="S40" s="1557">
        <f t="shared" si="12"/>
        <v>100</v>
      </c>
      <c r="T40" s="1556" t="s">
        <v>11</v>
      </c>
      <c r="U40" s="1557">
        <f t="shared" si="13"/>
        <v>100</v>
      </c>
      <c r="V40" s="1556" t="s">
        <v>11</v>
      </c>
      <c r="W40" s="1557">
        <f t="shared" si="14"/>
        <v>100</v>
      </c>
      <c r="X40" s="1550"/>
      <c r="Y40" s="3406"/>
      <c r="Z40" s="1558" t="str">
        <f t="shared" si="15"/>
        <v>房型</v>
      </c>
      <c r="AA40" s="1559">
        <f t="shared" si="3"/>
        <v>1</v>
      </c>
      <c r="AB40" s="1559">
        <f t="shared" si="4"/>
        <v>1</v>
      </c>
      <c r="AC40" s="1559">
        <f t="shared" si="5"/>
        <v>1</v>
      </c>
    </row>
    <row r="41" spans="1:29" s="1333" customFormat="1" ht="28.5" hidden="1">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2"/>
      <c r="M41" s="2153"/>
      <c r="N41" s="2153"/>
      <c r="O41" s="2125"/>
      <c r="P41" s="3406"/>
      <c r="Q41" s="1587" t="str">
        <f t="shared" si="11"/>
        <v>单套/主力户型建筑面积</v>
      </c>
      <c r="R41" s="1560" t="s">
        <v>11</v>
      </c>
      <c r="S41" s="1561">
        <f t="shared" si="12"/>
        <v>100</v>
      </c>
      <c r="T41" s="1560" t="s">
        <v>11</v>
      </c>
      <c r="U41" s="1561">
        <f t="shared" si="13"/>
        <v>100</v>
      </c>
      <c r="V41" s="1560" t="s">
        <v>11</v>
      </c>
      <c r="W41" s="1561">
        <f t="shared" si="14"/>
        <v>100</v>
      </c>
      <c r="X41" s="1562"/>
      <c r="Y41" s="3406"/>
      <c r="Z41" s="1563" t="str">
        <f t="shared" si="15"/>
        <v>单套/主力户型建筑面积</v>
      </c>
      <c r="AA41" s="1559">
        <f t="shared" si="3"/>
        <v>1</v>
      </c>
      <c r="AB41" s="1559">
        <f t="shared" si="4"/>
        <v>1</v>
      </c>
      <c r="AC41" s="1559">
        <f t="shared" si="5"/>
        <v>1</v>
      </c>
    </row>
    <row r="42" spans="1:29" ht="15.75" thickBot="1">
      <c r="A42" s="592"/>
      <c r="B42" s="525" t="s">
        <v>733</v>
      </c>
      <c r="C42" s="597" t="s">
        <v>3088</v>
      </c>
      <c r="D42" s="538">
        <v>100</v>
      </c>
      <c r="E42" s="597" t="s">
        <v>3088</v>
      </c>
      <c r="F42" s="573">
        <f>SUMIF(122:122,E42,123:123)-SUMIF(122:122,C42,123:123)+100</f>
        <v>100</v>
      </c>
      <c r="G42" s="597" t="s">
        <v>3088</v>
      </c>
      <c r="H42" s="538">
        <f>SUMIF(122:122,G42,123:123)-SUMIF(122:122,C42,123:123)+100</f>
        <v>100</v>
      </c>
      <c r="I42" s="597" t="s">
        <v>3088</v>
      </c>
      <c r="J42" s="538">
        <f>SUMIF(122:122,I42,123:123)-SUMIF(122:122,C42,123:123)+100</f>
        <v>100</v>
      </c>
      <c r="K42" s="862">
        <v>2</v>
      </c>
      <c r="L42" s="2124"/>
      <c r="M42" s="2116"/>
      <c r="N42" s="2116"/>
      <c r="O42" s="2123"/>
      <c r="P42" s="3406"/>
      <c r="Q42" s="1555" t="str">
        <f t="shared" si="11"/>
        <v>内部装修</v>
      </c>
      <c r="R42" s="1556" t="s">
        <v>11</v>
      </c>
      <c r="S42" s="1557">
        <f t="shared" si="12"/>
        <v>100</v>
      </c>
      <c r="T42" s="1556" t="s">
        <v>11</v>
      </c>
      <c r="U42" s="1557">
        <f t="shared" si="13"/>
        <v>100</v>
      </c>
      <c r="V42" s="1556" t="s">
        <v>11</v>
      </c>
      <c r="W42" s="1557">
        <f t="shared" si="14"/>
        <v>100</v>
      </c>
      <c r="X42" s="1550"/>
      <c r="Y42" s="3406"/>
      <c r="Z42" s="1558" t="str">
        <f t="shared" si="15"/>
        <v>内部装修</v>
      </c>
      <c r="AA42" s="1559">
        <f t="shared" si="3"/>
        <v>1</v>
      </c>
      <c r="AB42" s="1559">
        <f t="shared" si="4"/>
        <v>1</v>
      </c>
      <c r="AC42" s="1559">
        <f t="shared" si="5"/>
        <v>1</v>
      </c>
    </row>
    <row r="43" spans="1:29" ht="27.75"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06"/>
      <c r="Q43" s="1555" t="str">
        <f t="shared" si="11"/>
        <v>内部装修维护情况</v>
      </c>
      <c r="R43" s="1556" t="s">
        <v>11</v>
      </c>
      <c r="S43" s="1557">
        <f t="shared" si="12"/>
        <v>100</v>
      </c>
      <c r="T43" s="1556" t="s">
        <v>11</v>
      </c>
      <c r="U43" s="1557">
        <f t="shared" si="13"/>
        <v>100</v>
      </c>
      <c r="V43" s="1556" t="s">
        <v>11</v>
      </c>
      <c r="W43" s="1557">
        <f t="shared" si="14"/>
        <v>100</v>
      </c>
      <c r="X43" s="1550"/>
      <c r="Y43" s="3406"/>
      <c r="Z43" s="1558" t="str">
        <f t="shared" si="15"/>
        <v>内部装修维护情况</v>
      </c>
      <c r="AA43" s="1559">
        <f t="shared" si="3"/>
        <v>1</v>
      </c>
      <c r="AB43" s="1559">
        <f t="shared" si="4"/>
        <v>1</v>
      </c>
      <c r="AC43" s="1559">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06"/>
      <c r="Q44" s="1145">
        <f t="shared" si="11"/>
        <v>111</v>
      </c>
      <c r="R44" s="1551" t="s">
        <v>11</v>
      </c>
      <c r="S44" s="1552">
        <f t="shared" si="12"/>
        <v>100</v>
      </c>
      <c r="T44" s="1551" t="s">
        <v>11</v>
      </c>
      <c r="U44" s="1552">
        <f t="shared" si="13"/>
        <v>100</v>
      </c>
      <c r="V44" s="1551" t="s">
        <v>11</v>
      </c>
      <c r="W44" s="1552">
        <f t="shared" si="14"/>
        <v>100</v>
      </c>
      <c r="X44" s="1553"/>
      <c r="Y44" s="3406"/>
      <c r="Z44" s="1144">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06"/>
      <c r="Q45" s="1555">
        <f t="shared" si="11"/>
        <v>111</v>
      </c>
      <c r="R45" s="1556" t="s">
        <v>11</v>
      </c>
      <c r="S45" s="1557">
        <f t="shared" si="12"/>
        <v>100</v>
      </c>
      <c r="T45" s="1556" t="s">
        <v>11</v>
      </c>
      <c r="U45" s="1557">
        <f t="shared" si="13"/>
        <v>100</v>
      </c>
      <c r="V45" s="1556" t="s">
        <v>11</v>
      </c>
      <c r="W45" s="1557">
        <f t="shared" si="14"/>
        <v>100</v>
      </c>
      <c r="X45" s="1550"/>
      <c r="Y45" s="3406"/>
      <c r="Z45" s="1558">
        <f t="shared" si="15"/>
        <v>111</v>
      </c>
      <c r="AA45" s="1559">
        <f t="shared" si="3"/>
        <v>1</v>
      </c>
      <c r="AB45" s="1559">
        <f t="shared" si="4"/>
        <v>1</v>
      </c>
      <c r="AC45" s="1559">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62"/>
      <c r="Q46" s="1555">
        <f t="shared" si="11"/>
        <v>111</v>
      </c>
      <c r="R46" s="1556" t="s">
        <v>10</v>
      </c>
      <c r="S46" s="1557">
        <f t="shared" si="12"/>
        <v>100</v>
      </c>
      <c r="T46" s="1556" t="s">
        <v>10</v>
      </c>
      <c r="U46" s="1557">
        <f t="shared" si="13"/>
        <v>100</v>
      </c>
      <c r="V46" s="1556" t="s">
        <v>10</v>
      </c>
      <c r="W46" s="1557">
        <f t="shared" si="14"/>
        <v>100</v>
      </c>
      <c r="X46" s="1550"/>
      <c r="Y46" s="3462"/>
      <c r="Z46" s="1558">
        <f t="shared" si="15"/>
        <v>111</v>
      </c>
      <c r="AA46" s="1559">
        <f t="shared" si="3"/>
        <v>1</v>
      </c>
      <c r="AB46" s="1559">
        <f t="shared" si="4"/>
        <v>1</v>
      </c>
      <c r="AC46" s="1559">
        <f t="shared" si="5"/>
        <v>1</v>
      </c>
    </row>
    <row r="47" spans="1:29" ht="15">
      <c r="A47" s="605" t="s">
        <v>735</v>
      </c>
      <c r="B47" s="885"/>
      <c r="C47" s="2588" t="s">
        <v>9</v>
      </c>
      <c r="D47" s="2589"/>
      <c r="E47" s="2590">
        <v>65000</v>
      </c>
      <c r="F47" s="2591"/>
      <c r="G47" s="2592">
        <v>67000</v>
      </c>
      <c r="H47" s="2593"/>
      <c r="I47" s="2590">
        <v>59000</v>
      </c>
      <c r="J47" s="2593"/>
      <c r="K47" s="1588"/>
      <c r="L47" s="2126"/>
      <c r="M47" s="2127"/>
      <c r="N47" s="2116"/>
      <c r="O47" s="2127"/>
      <c r="P47" s="3366" t="str">
        <f>A47</f>
        <v>成交单价（元/平方米）</v>
      </c>
      <c r="Q47" s="3366"/>
      <c r="R47" s="3461">
        <f>E47</f>
        <v>65000</v>
      </c>
      <c r="S47" s="3461"/>
      <c r="T47" s="3461">
        <f>G47</f>
        <v>67000</v>
      </c>
      <c r="U47" s="3461"/>
      <c r="V47" s="3461">
        <f>I47</f>
        <v>59000</v>
      </c>
      <c r="W47" s="3461"/>
      <c r="X47" s="1542"/>
      <c r="Y47" s="1564"/>
      <c r="Z47" s="1542"/>
      <c r="AA47" s="1542"/>
      <c r="AB47" s="1542"/>
      <c r="AC47" s="1542"/>
    </row>
    <row r="48" spans="1:29" ht="15.75" thickBot="1">
      <c r="A48" s="613" t="s">
        <v>2757</v>
      </c>
      <c r="B48" s="886"/>
      <c r="C48" s="2594">
        <f>R49</f>
        <v>65158</v>
      </c>
      <c r="D48" s="2595"/>
      <c r="E48" s="2596">
        <f>R48</f>
        <v>65690</v>
      </c>
      <c r="F48" s="2596"/>
      <c r="G48" s="2594">
        <f>T48</f>
        <v>67711</v>
      </c>
      <c r="H48" s="2595"/>
      <c r="I48" s="2596">
        <f>V48</f>
        <v>62072</v>
      </c>
      <c r="J48" s="2595"/>
      <c r="K48" s="1589"/>
      <c r="L48" s="2126"/>
      <c r="M48" s="2127"/>
      <c r="N48" s="2127"/>
      <c r="O48" s="2127"/>
      <c r="P48" s="3366" t="str">
        <f>A48</f>
        <v>比较价格（元/平方米）</v>
      </c>
      <c r="Q48" s="3366"/>
      <c r="R48" s="3461">
        <f>IF(F1="售价",ROUND(PRODUCT(R47,AA7:AA46),0),ROUND(PRODUCT(R47,AA7:AA46),1))</f>
        <v>65690</v>
      </c>
      <c r="S48" s="3461"/>
      <c r="T48" s="3461">
        <f>IF(F1="售价",ROUND(PRODUCT(T47,AB7:AB46),0),ROUND(PRODUCT(T47,AB7:AB46),1))</f>
        <v>67711</v>
      </c>
      <c r="U48" s="3461"/>
      <c r="V48" s="3461">
        <f>IF(F1="售价",ROUND(PRODUCT(V47,AC7:AC46),0),ROUND(PRODUCT(V47,AC7:AC46),1))</f>
        <v>62072</v>
      </c>
      <c r="W48" s="3461"/>
      <c r="X48" s="1542"/>
      <c r="Y48" s="1542"/>
      <c r="Z48" s="1542"/>
      <c r="AA48" s="1542"/>
      <c r="AB48" s="1542"/>
      <c r="AC48" s="1542"/>
    </row>
    <row r="49" spans="1:29" ht="15.75" thickBot="1">
      <c r="A49" s="619" t="s">
        <v>2924</v>
      </c>
      <c r="B49" s="620"/>
      <c r="C49" s="2597">
        <f>R49</f>
        <v>65158</v>
      </c>
      <c r="D49" s="2597"/>
      <c r="E49" s="2597"/>
      <c r="F49" s="2597"/>
      <c r="G49" s="2597"/>
      <c r="H49" s="2597"/>
      <c r="I49" s="2597"/>
      <c r="J49" s="2597"/>
      <c r="K49" s="1590"/>
      <c r="L49" s="2126"/>
      <c r="M49" s="2127"/>
      <c r="N49" s="2127"/>
      <c r="O49" s="2127"/>
      <c r="P49" s="3363" t="str">
        <f>A49</f>
        <v>估价对象XX用房的比较价格（楼面单价，元/平方米）</v>
      </c>
      <c r="Q49" s="3364"/>
      <c r="R49" s="3460">
        <f>IF(F1="售价",ROUND(AVERAGE(R48:V48),0),ROUND(AVERAGE(R48:V48),1))</f>
        <v>65158</v>
      </c>
      <c r="S49" s="3460"/>
      <c r="T49" s="3460"/>
      <c r="U49" s="3460"/>
      <c r="V49" s="3460"/>
      <c r="W49" s="346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1.0615384615384693E-2</v>
      </c>
      <c r="F52" s="625" t="str">
        <f>IF(OR(E52&gt;=0.3,E52&lt;=-0.3),"超过30%","")</f>
        <v/>
      </c>
      <c r="G52" s="624">
        <f>IF(G47&lt;G48,G48/G47-1,G47/G48-1)</f>
        <v>1.0611940298507427E-2</v>
      </c>
      <c r="H52" s="625" t="str">
        <f>IF(OR(G52&gt;=0.3,G52&lt;=-0.3),"超过30%","")</f>
        <v/>
      </c>
      <c r="I52" s="624">
        <f>IF(I47&lt;I48,I48/I47-1,I47/I48-1)</f>
        <v>5.206779661016947E-2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3.0765717765261158E-2</v>
      </c>
      <c r="F53" s="625" t="str">
        <f>IF(OR(E53&gt;=0.2,E53&lt;=-0.2),"超过20%","")</f>
        <v/>
      </c>
      <c r="G53" s="624">
        <f>IF(G48&lt;I48,I48/G48-1,G48/I48-1)</f>
        <v>9.0846114189973015E-2</v>
      </c>
      <c r="H53" s="625" t="str">
        <f>IF(OR(G53&gt;=0.2,G53&lt;=-0.2),"超过20%","")</f>
        <v/>
      </c>
      <c r="I53" s="624">
        <f>IF(I48&lt;E48,E48/I48-1,I48/E48-1)</f>
        <v>5.8287150405980093E-2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3.076923076923066E-2</v>
      </c>
      <c r="F54" s="625" t="str">
        <f>IF(OR(E54&gt;=0.3,E54&lt;=-0.3),"超过30%","")</f>
        <v/>
      </c>
      <c r="G54" s="624">
        <f>IF(G47&lt;I47,I47/G47-1,G47/I47-1)</f>
        <v>0.13559322033898313</v>
      </c>
      <c r="H54" s="625" t="str">
        <f>IF(OR(G54&gt;=0.3,G54&lt;=-0.3),"超过30%","")</f>
        <v/>
      </c>
      <c r="I54" s="624">
        <f>IF(I47&lt;E47,E47/I47-1,I47/E47-1)</f>
        <v>0.10169491525423724</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6"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745</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f>B27</f>
        <v>0</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746</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747</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749</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750</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753</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732</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I24" sqref="I2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2988</v>
      </c>
      <c r="D1" s="3074" t="s">
        <v>3035</v>
      </c>
      <c r="E1" s="2348" t="s">
        <v>2371</v>
      </c>
      <c r="F1" s="2349">
        <f ca="1">J53</f>
        <v>21.43</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1072</v>
      </c>
      <c r="C2" s="2039"/>
      <c r="D2" s="2037"/>
      <c r="E2" s="2038"/>
      <c r="F2" s="2038"/>
      <c r="G2" s="1573"/>
      <c r="H2" s="2039"/>
      <c r="I2" s="2039"/>
      <c r="J2" s="2039"/>
      <c r="K2" s="2040"/>
      <c r="L2" s="2039"/>
      <c r="M2" s="2039"/>
    </row>
    <row r="3" spans="1:33" ht="18" customHeight="1" thickBot="1">
      <c r="A3" s="831" t="s">
        <v>1726</v>
      </c>
      <c r="B3" s="832">
        <f ca="1">IF(ISERROR(B2*10000/F43),0,ROUND(B2*10000/F43,0))</f>
        <v>31678</v>
      </c>
      <c r="C3" s="2039"/>
      <c r="D3" s="2037"/>
      <c r="E3" s="2038"/>
      <c r="F3" s="2038"/>
      <c r="G3" s="1573"/>
      <c r="H3" s="774" t="s">
        <v>695</v>
      </c>
      <c r="I3" s="1357"/>
      <c r="J3" s="1357"/>
      <c r="K3" s="1574"/>
      <c r="L3" s="1357"/>
      <c r="M3" s="1357"/>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f ca="1">C6+C10+C12</f>
        <v>89</v>
      </c>
      <c r="D5" s="2457" t="s">
        <v>2458</v>
      </c>
      <c r="E5" s="2451"/>
      <c r="F5" s="2452"/>
      <c r="G5" s="1575"/>
      <c r="H5" s="779">
        <v>1</v>
      </c>
      <c r="I5" s="780" t="s">
        <v>2455</v>
      </c>
      <c r="J5" s="55">
        <f ca="1">J6+J10+J12</f>
        <v>0</v>
      </c>
      <c r="K5" s="2457" t="s">
        <v>2458</v>
      </c>
      <c r="L5" s="2451"/>
      <c r="M5" s="2452"/>
    </row>
    <row r="6" spans="1:33" ht="18" customHeight="1">
      <c r="A6" s="1812" t="s">
        <v>1823</v>
      </c>
      <c r="B6" s="3454" t="s">
        <v>2460</v>
      </c>
      <c r="C6" s="781">
        <f ca="1">ROUND(F6*F8*F7*(1-F9)/10000,0)</f>
        <v>89</v>
      </c>
      <c r="D6" s="2458" t="s">
        <v>2459</v>
      </c>
      <c r="E6" s="782" t="s">
        <v>1737</v>
      </c>
      <c r="F6" s="783">
        <f ca="1">INDIRECT("'数据-取费表'!u"&amp;$G$1)</f>
        <v>8</v>
      </c>
      <c r="G6" s="1575"/>
      <c r="H6" s="2465" t="s">
        <v>2465</v>
      </c>
      <c r="I6" s="3454" t="s">
        <v>2460</v>
      </c>
      <c r="J6" s="781">
        <f ca="1">ROUND(M6*M8*M7*(1-M9)/10000,0)</f>
        <v>0</v>
      </c>
      <c r="K6" s="339" t="s">
        <v>1736</v>
      </c>
      <c r="L6" s="782" t="s">
        <v>1737</v>
      </c>
      <c r="M6" s="783">
        <f ca="1">INDIRECT("'数据-取费表'!z"&amp;$G$1)</f>
        <v>0</v>
      </c>
    </row>
    <row r="7" spans="1:33" ht="18" customHeight="1">
      <c r="A7" s="2461"/>
      <c r="B7" s="3455"/>
      <c r="C7" s="786"/>
      <c r="D7" s="787"/>
      <c r="E7" s="782" t="s">
        <v>1738</v>
      </c>
      <c r="F7" s="783">
        <f ca="1">IF(INDIRECT("'数据-取费表'!ah"&amp;$G$1)="",INDIRECT("'数据-取费表'!k"&amp;$G$1),INDIRECT("'数据-取费表'!ah"&amp;$G$1))</f>
        <v>338.4</v>
      </c>
      <c r="G7" s="1575"/>
      <c r="H7" s="2450"/>
      <c r="I7" s="3455"/>
      <c r="J7" s="786"/>
      <c r="K7" s="787"/>
      <c r="L7" s="782" t="s">
        <v>1738</v>
      </c>
      <c r="M7" s="783">
        <f ca="1">F7</f>
        <v>338.4</v>
      </c>
    </row>
    <row r="8" spans="1:33" ht="18" customHeight="1">
      <c r="A8" s="2454"/>
      <c r="B8" s="3456"/>
      <c r="C8" s="786"/>
      <c r="D8" s="787"/>
      <c r="E8" s="782" t="s">
        <v>1739</v>
      </c>
      <c r="F8" s="783">
        <f ca="1">INDIRECT("'数据-取费表'!ai"&amp;$G$1)</f>
        <v>365</v>
      </c>
      <c r="G8" s="1575"/>
      <c r="H8" s="2450"/>
      <c r="I8" s="3456"/>
      <c r="J8" s="786"/>
      <c r="K8" s="787"/>
      <c r="L8" s="782" t="s">
        <v>1739</v>
      </c>
      <c r="M8" s="783">
        <f ca="1">INDIRECT("'数据-取费表'!ai"&amp;$G$1)</f>
        <v>365</v>
      </c>
    </row>
    <row r="9" spans="1:33" ht="18" customHeight="1">
      <c r="A9" s="784"/>
      <c r="B9" s="3457"/>
      <c r="C9" s="786"/>
      <c r="D9" s="787"/>
      <c r="E9" s="782" t="s">
        <v>1740</v>
      </c>
      <c r="F9" s="792">
        <f ca="1">INDIRECT("'数据-取费表'!w"&amp;$G$1)</f>
        <v>0.1</v>
      </c>
      <c r="G9" s="1575"/>
      <c r="H9" s="2466"/>
      <c r="I9" s="3456"/>
      <c r="J9" s="786"/>
      <c r="K9" s="787"/>
      <c r="L9" s="793" t="s">
        <v>1740</v>
      </c>
      <c r="M9" s="794">
        <f ca="1">INDIRECT("'数据-取费表'!ab"&amp;$G$1)</f>
        <v>0</v>
      </c>
    </row>
    <row r="10" spans="1:33" ht="18" customHeight="1">
      <c r="A10" s="1812" t="s">
        <v>2463</v>
      </c>
      <c r="B10" s="2455" t="s">
        <v>2456</v>
      </c>
      <c r="C10" s="797">
        <f ca="1">ROUND(IF(F10="押一",C6/12*F11,IF(F10="押二",C6/12*2*F11,IF(F10="押三",C6/12*3*F11,C11*F11))),0)</f>
        <v>0</v>
      </c>
      <c r="D10" s="2462" t="s">
        <v>2962</v>
      </c>
      <c r="E10" s="2459" t="s">
        <v>2461</v>
      </c>
      <c r="F10" s="2582" t="s">
        <v>3036</v>
      </c>
      <c r="G10" s="1575"/>
      <c r="H10" s="2522" t="s">
        <v>2466</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f ca="1">ROUND(C29*F13,0)</f>
        <v>219</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131</v>
      </c>
      <c r="D14" s="1961" t="s">
        <v>1744</v>
      </c>
      <c r="E14" s="1962"/>
      <c r="F14" s="803"/>
      <c r="G14" s="1575"/>
      <c r="H14" s="1631" t="s">
        <v>1829</v>
      </c>
      <c r="I14" s="2213" t="s">
        <v>2823</v>
      </c>
      <c r="J14" s="53">
        <f ca="1">C29</f>
        <v>219</v>
      </c>
      <c r="K14" s="26"/>
      <c r="L14" s="799"/>
      <c r="M14" s="800"/>
    </row>
    <row r="15" spans="1:33" s="2046" customFormat="1" ht="18" customHeight="1" thickBot="1">
      <c r="A15" s="1630" t="s">
        <v>1884</v>
      </c>
      <c r="B15" s="782" t="s">
        <v>647</v>
      </c>
      <c r="C15" s="53">
        <f ca="1">ROUND(C14*F15,0)</f>
        <v>7</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21</v>
      </c>
      <c r="K16" s="1803" t="s">
        <v>1749</v>
      </c>
      <c r="L16" s="2447"/>
      <c r="M16" s="2452"/>
    </row>
    <row r="17" spans="1:33" s="2046" customFormat="1" ht="18" customHeight="1">
      <c r="A17" s="1630" t="s">
        <v>1886</v>
      </c>
      <c r="B17" s="782" t="s">
        <v>653</v>
      </c>
      <c r="C17" s="53">
        <f ca="1">ROUND(F17*(F43+INDIRECT("'数据-取费表'!S"&amp;$G$1))/10000,0)</f>
        <v>8</v>
      </c>
      <c r="D17" s="782" t="s">
        <v>1750</v>
      </c>
      <c r="E17" s="782" t="s">
        <v>1751</v>
      </c>
      <c r="F17" s="56">
        <f>'数据-取费表'!B35</f>
        <v>200</v>
      </c>
      <c r="G17" s="1576"/>
      <c r="H17" s="1631" t="s">
        <v>1829</v>
      </c>
      <c r="I17" s="782" t="s">
        <v>656</v>
      </c>
      <c r="J17" s="53">
        <f ca="1">ROUND(IF(项目基本情况!B11="自然人",J6*M17/(1+'数据-取费表'!C42),J18+J19+J20),0)</f>
        <v>18</v>
      </c>
      <c r="K17" s="2446" t="s">
        <v>1752</v>
      </c>
      <c r="L17" s="2445"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2</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148</v>
      </c>
      <c r="D19" s="259" t="s">
        <v>1756</v>
      </c>
      <c r="E19" s="1964"/>
      <c r="F19" s="56"/>
      <c r="G19" s="1575"/>
      <c r="H19" s="1630" t="s">
        <v>1884</v>
      </c>
      <c r="I19" s="782" t="s">
        <v>1757</v>
      </c>
      <c r="J19" s="53">
        <f ca="1">IF(K19="按租金收入计税",ROUND(J6*M19/(1+'数据-取费表'!C42),1),ROUND(C29*F33*0.7,1))</f>
        <v>18.399999999999999</v>
      </c>
      <c r="K19" s="809" t="s">
        <v>665</v>
      </c>
      <c r="L19" s="782" t="s">
        <v>1746</v>
      </c>
      <c r="M19" s="807">
        <f>IF(K19="按租金收入计税",'数据-取费表'!B51,'数据-取费表'!B50)</f>
        <v>1.2E-2</v>
      </c>
    </row>
    <row r="20" spans="1:33" s="2046" customFormat="1" ht="18" customHeight="1">
      <c r="A20" s="1631" t="s">
        <v>1888</v>
      </c>
      <c r="B20" s="782" t="s">
        <v>666</v>
      </c>
      <c r="C20" s="53">
        <f ca="1">ROUND(C19*F20,0)</f>
        <v>4</v>
      </c>
      <c r="D20" s="810" t="s">
        <v>1758</v>
      </c>
      <c r="E20" s="782" t="s">
        <v>1746</v>
      </c>
      <c r="F20" s="807">
        <f>'数据-取费表'!B37</f>
        <v>2.5000000000000001E-2</v>
      </c>
      <c r="G20" s="1576"/>
      <c r="H20" s="1633" t="s">
        <v>1879</v>
      </c>
      <c r="I20" s="339" t="s">
        <v>1759</v>
      </c>
      <c r="J20" s="54">
        <f ca="1">ROUND(M20*M21/10000,0)</f>
        <v>0</v>
      </c>
      <c r="K20" s="812" t="s">
        <v>1760</v>
      </c>
      <c r="L20" s="782" t="s">
        <v>1761</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0.03</v>
      </c>
      <c r="G21" s="1576"/>
      <c r="H21" s="2467"/>
      <c r="I21" s="791"/>
      <c r="J21" s="69"/>
      <c r="K21" s="814"/>
      <c r="L21" s="782" t="s">
        <v>1765</v>
      </c>
      <c r="M21" s="783">
        <f ca="1">INDIRECT("'数据-取费表'!r"&amp;$G$1)</f>
        <v>122.28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3</v>
      </c>
      <c r="K22" s="2445" t="s">
        <v>1768</v>
      </c>
      <c r="L22" s="782" t="s">
        <v>1746</v>
      </c>
      <c r="M22" s="815">
        <f ca="1">INDIRECT("'数据-取费表'!Ak"&amp;$G$1)</f>
        <v>1.4999999999999999E-2</v>
      </c>
    </row>
    <row r="23" spans="1:33" s="2046" customFormat="1" ht="18" customHeight="1">
      <c r="A23" s="1630" t="s">
        <v>1830</v>
      </c>
      <c r="B23" s="782" t="s">
        <v>2532</v>
      </c>
      <c r="C23" s="53">
        <f ca="1">ROUND(IF('数据-取费表'!B22&lt;=1,(C19+C20)*F24*F23/2,(C19+C20)*(POWER((1+F24),F23/2)-1)),0)</f>
        <v>9</v>
      </c>
      <c r="D23" s="2532" t="str">
        <f>IF(F23&lt;=1,"(建造成本+管理费用)×利率×(建设周期÷2)","(建造成本+管理费用)×((1+利率)^(建设周期÷2)-1)")</f>
        <v>(建造成本+管理费用)×((1+利率)^(建设周期÷2)-1)</v>
      </c>
      <c r="E23" s="782" t="s">
        <v>1769</v>
      </c>
      <c r="F23" s="638">
        <f>'数据-取费表'!B20</f>
        <v>2.5</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2819</v>
      </c>
      <c r="J25" s="790">
        <f ca="1">J5-J16</f>
        <v>-21</v>
      </c>
      <c r="K25" s="2509" t="s">
        <v>1776</v>
      </c>
      <c r="L25" s="2510"/>
      <c r="M25" s="2511"/>
    </row>
    <row r="26" spans="1:33" ht="18" customHeight="1">
      <c r="A26" s="1630" t="s">
        <v>1830</v>
      </c>
      <c r="B26" s="782" t="s">
        <v>2435</v>
      </c>
      <c r="C26" s="53">
        <f ca="1">ROUND((C19+C20)*F26,0)</f>
        <v>38</v>
      </c>
      <c r="D26" s="810" t="s">
        <v>1777</v>
      </c>
      <c r="E26" s="793" t="s">
        <v>1778</v>
      </c>
      <c r="F26" s="792">
        <f ca="1">INDIRECT("'数据-取费表'!q"&amp;$G$1)</f>
        <v>0.25</v>
      </c>
      <c r="G26" s="1575"/>
      <c r="H26" s="2463" t="s">
        <v>1779</v>
      </c>
      <c r="I26" s="2214" t="s">
        <v>2824</v>
      </c>
      <c r="J26" s="781">
        <f ca="1">IF(J5&lt;&gt;0,ROUND(J25*(1-((1+M28)/(1+M26))^M27)/(M26-M28),0),0)</f>
        <v>0</v>
      </c>
      <c r="K26" s="812" t="s">
        <v>1780</v>
      </c>
      <c r="L26" s="782" t="s">
        <v>2416</v>
      </c>
      <c r="M26" s="792">
        <f ca="1">INDIRECT("'数据-取费表'!I"&amp;$G$1)</f>
        <v>0.06</v>
      </c>
    </row>
    <row r="27" spans="1:33" ht="18" customHeight="1">
      <c r="A27" s="1630" t="s">
        <v>1831</v>
      </c>
      <c r="B27" s="782" t="s">
        <v>686</v>
      </c>
      <c r="C27" s="53">
        <f ca="1">ROUND(F21*F26,4)</f>
        <v>7.4999999999999997E-3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5.33E-2</v>
      </c>
      <c r="D28" s="810" t="s">
        <v>2296</v>
      </c>
      <c r="E28" s="782" t="s">
        <v>1784</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219</v>
      </c>
      <c r="D29" s="2506"/>
      <c r="E29" s="2507"/>
      <c r="F29" s="2508"/>
      <c r="G29" s="1576"/>
      <c r="H29" s="821" t="s">
        <v>1786</v>
      </c>
      <c r="I29" s="822" t="s">
        <v>1787</v>
      </c>
      <c r="J29" s="823">
        <f ca="1">ROUND(J26/(1+F40)^F41,0)</f>
        <v>0</v>
      </c>
      <c r="K29" s="824" t="s">
        <v>1788</v>
      </c>
      <c r="L29" s="825"/>
      <c r="M29" s="826">
        <f ca="1">INDIRECT("'数据-取费表'!k"&amp;$G$1)</f>
        <v>338.4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19</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14.9</v>
      </c>
      <c r="D31" s="1961" t="s">
        <v>1791</v>
      </c>
      <c r="E31" s="1959" t="s">
        <v>1792</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1793</v>
      </c>
      <c r="C32" s="53">
        <f ca="1">ROUND(C6*F32/(1+'数据-取费表'!C42),1)</f>
        <v>4.7</v>
      </c>
      <c r="D32" s="1959" t="s">
        <v>1794</v>
      </c>
      <c r="E32" s="782" t="s">
        <v>1795</v>
      </c>
      <c r="F32" s="807">
        <f>'数据-取费表'!B41</f>
        <v>5.6000000000000001E-2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10.199999999999999</v>
      </c>
      <c r="D33" s="809" t="s">
        <v>3037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0</v>
      </c>
      <c r="D34" s="812" t="s">
        <v>1798</v>
      </c>
      <c r="E34" s="782" t="s">
        <v>1799</v>
      </c>
      <c r="F34" s="638">
        <f>'数据-取费表'!B52</f>
        <v>1.5</v>
      </c>
      <c r="G34" s="2044"/>
      <c r="H34" s="2047"/>
      <c r="I34" s="833" t="s">
        <v>1812</v>
      </c>
      <c r="J34" s="834"/>
      <c r="K34" s="2062"/>
      <c r="L34" s="2061"/>
      <c r="M34" s="2061"/>
    </row>
    <row r="35" spans="1:18" ht="18" customHeight="1">
      <c r="A35" s="813"/>
      <c r="B35" s="791"/>
      <c r="C35" s="69"/>
      <c r="D35" s="814"/>
      <c r="E35" s="782" t="s">
        <v>1800</v>
      </c>
      <c r="F35" s="783">
        <f ca="1">INDIRECT("'数据-取费表'!r"&amp;$G$1)</f>
        <v>122.28</v>
      </c>
      <c r="G35" s="2044"/>
      <c r="H35" s="2047"/>
      <c r="I35" s="835" t="s">
        <v>1813</v>
      </c>
      <c r="J35" s="836">
        <f ca="1">ROUND(C13*J36,0)</f>
        <v>19</v>
      </c>
      <c r="K35" s="2060"/>
      <c r="L35" s="2059"/>
      <c r="M35" s="2059"/>
    </row>
    <row r="36" spans="1:18" ht="18" customHeight="1">
      <c r="A36" s="1631" t="s">
        <v>1888</v>
      </c>
      <c r="B36" s="782" t="s">
        <v>1801</v>
      </c>
      <c r="C36" s="53">
        <f ca="1">ROUND(C29*F36,1)</f>
        <v>3.3</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0.3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0.9</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2819</v>
      </c>
      <c r="C39" s="790">
        <f ca="1">C5-C30</f>
        <v>70</v>
      </c>
      <c r="D39" s="2509" t="s">
        <v>1805</v>
      </c>
      <c r="E39" s="2510"/>
      <c r="F39" s="2511"/>
      <c r="G39" s="2044"/>
      <c r="H39" s="2059"/>
      <c r="I39" s="835" t="s">
        <v>1817</v>
      </c>
      <c r="J39" s="843">
        <f ca="1">ROUND(J35/C39,3)</f>
        <v>0.27100000000000002</v>
      </c>
      <c r="K39" s="2065"/>
      <c r="L39" s="2059"/>
      <c r="M39" s="2059"/>
    </row>
    <row r="40" spans="1:18" ht="18" customHeight="1">
      <c r="A40" s="779" t="s">
        <v>1894</v>
      </c>
      <c r="B40" s="2214" t="s">
        <v>2298</v>
      </c>
      <c r="C40" s="781">
        <f ca="1">ROUND(C39*(1-((1+F42)/(1+F40))^F41)/(F40-F42),0)</f>
        <v>1072</v>
      </c>
      <c r="D40" s="812" t="s">
        <v>1806</v>
      </c>
      <c r="E40" s="782" t="s">
        <v>2416</v>
      </c>
      <c r="F40" s="792">
        <f ca="1">INDIRECT("'数据-取费表'!I"&amp;$G$1)</f>
        <v>0.06</v>
      </c>
      <c r="G40" s="2044"/>
      <c r="H40" s="2044"/>
      <c r="I40" s="835" t="s">
        <v>1818</v>
      </c>
      <c r="J40" s="843">
        <f ca="1">1-J39</f>
        <v>0.72899999999999998</v>
      </c>
      <c r="K40" s="2065"/>
      <c r="L40" s="2044"/>
      <c r="M40" s="2044"/>
    </row>
    <row r="41" spans="1:18" ht="18" customHeight="1">
      <c r="A41" s="784"/>
      <c r="B41" s="785"/>
      <c r="C41" s="786"/>
      <c r="D41" s="819" t="s">
        <v>1807</v>
      </c>
      <c r="E41" s="782" t="s">
        <v>2952</v>
      </c>
      <c r="F41" s="820">
        <f ca="1">IF(INDIRECT("'数据-取费表'!af"&amp;$G$1)=0,INDIRECT("'数据-取费表'!ae"&amp;$G$1),INDIRECT("'数据-取费表'!af"&amp;$G$1))</f>
        <v>21.43</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0.20399999999999999</v>
      </c>
      <c r="K42" s="2064"/>
      <c r="L42" s="1970"/>
      <c r="M42" s="1970"/>
    </row>
    <row r="43" spans="1:18" ht="18" customHeight="1" thickBot="1">
      <c r="A43" s="821" t="s">
        <v>1786</v>
      </c>
      <c r="B43" s="822" t="s">
        <v>1809</v>
      </c>
      <c r="C43" s="823">
        <f ca="1">ROUND(C40*10000/F43,0)</f>
        <v>31678</v>
      </c>
      <c r="D43" s="824" t="s">
        <v>1810</v>
      </c>
      <c r="E43" s="825" t="s">
        <v>1811</v>
      </c>
      <c r="F43" s="826">
        <f ca="1">INDIRECT("'数据-取费表'!k"&amp;$G$1)</f>
        <v>338.4</v>
      </c>
      <c r="G43" s="2044"/>
      <c r="H43" s="1970"/>
      <c r="I43" s="845" t="s">
        <v>1821</v>
      </c>
      <c r="J43" s="846">
        <f ca="1">1-J42</f>
        <v>0.79600000000000004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-1120</v>
      </c>
      <c r="D46" s="2067"/>
      <c r="E46" s="2067"/>
      <c r="F46" s="2067"/>
      <c r="I46" s="2339" t="s">
        <v>2340</v>
      </c>
      <c r="J46" s="2340"/>
      <c r="K46" s="2341"/>
      <c r="L46" s="3105">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6" t="s">
        <v>2341</v>
      </c>
      <c r="J47" s="2342" t="s">
        <v>3038</v>
      </c>
      <c r="K47" s="3102" t="s">
        <v>2346</v>
      </c>
      <c r="L47" s="3106">
        <f ca="1">INDIRECT("'数据-取费表'!d"&amp;$G$1)</f>
        <v>40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2293</v>
      </c>
      <c r="F48" s="2338"/>
      <c r="G48" s="2072"/>
      <c r="I48" s="3075" t="s">
        <v>2342</v>
      </c>
      <c r="J48" s="2343" t="s">
        <v>2347</v>
      </c>
      <c r="K48" s="3103" t="s">
        <v>2348</v>
      </c>
      <c r="L48" s="1890">
        <f ca="1">INDIRECT("'数据-取费表'!f"&amp;$G$1)</f>
        <v>23.93</v>
      </c>
      <c r="O48" s="2359" t="s">
        <v>2376</v>
      </c>
      <c r="P48" s="2360" t="s">
        <v>2402</v>
      </c>
      <c r="Q48" s="2361">
        <f ca="1">C40+J29</f>
        <v>1072</v>
      </c>
      <c r="R48" s="2360" t="s">
        <v>2377</v>
      </c>
    </row>
    <row r="49" spans="1:18" s="2041" customFormat="1" ht="18" customHeight="1" thickBot="1">
      <c r="A49" s="784"/>
      <c r="B49" s="785"/>
      <c r="C49" s="786"/>
      <c r="D49" s="787"/>
      <c r="E49" s="782" t="s">
        <v>1738</v>
      </c>
      <c r="F49" s="783">
        <f ca="1">F7</f>
        <v>338.4</v>
      </c>
      <c r="G49" s="2072"/>
      <c r="H49" s="2075"/>
      <c r="I49" s="3075" t="s">
        <v>2343</v>
      </c>
      <c r="J49" s="2344"/>
      <c r="K49" s="3104" t="s">
        <v>2349</v>
      </c>
      <c r="L49" s="2345"/>
      <c r="O49" s="2359" t="s">
        <v>2378</v>
      </c>
      <c r="P49" s="2360" t="s">
        <v>2403</v>
      </c>
      <c r="Q49" s="2361">
        <f ca="1">J60</f>
        <v>132</v>
      </c>
      <c r="R49" s="2360" t="s">
        <v>2379</v>
      </c>
    </row>
    <row r="50" spans="1:18" s="2041" customFormat="1" ht="18" customHeight="1" thickBot="1">
      <c r="A50" s="784"/>
      <c r="B50" s="785"/>
      <c r="C50" s="786"/>
      <c r="D50" s="787"/>
      <c r="E50" s="782" t="s">
        <v>1739</v>
      </c>
      <c r="F50" s="783">
        <f ca="1">F8</f>
        <v>365</v>
      </c>
      <c r="G50" s="2077"/>
      <c r="H50" s="2075"/>
      <c r="I50" s="3075" t="s">
        <v>2344</v>
      </c>
      <c r="J50" s="3100">
        <f>SUMPRODUCT((I63:I65=J47)*(J62:L62=J48)*(J63:L65))</f>
        <v>60</v>
      </c>
      <c r="K50" s="3104" t="s">
        <v>2350</v>
      </c>
      <c r="L50" s="2345"/>
      <c r="O50" s="2362" t="s">
        <v>2380</v>
      </c>
      <c r="P50" s="2360" t="s">
        <v>2404</v>
      </c>
      <c r="Q50" s="2361">
        <f ca="1">C29</f>
        <v>219</v>
      </c>
      <c r="R50" s="2360" t="s">
        <v>2377</v>
      </c>
    </row>
    <row r="51" spans="1:18" s="2041" customFormat="1" ht="18" customHeight="1" thickBot="1">
      <c r="A51" s="784"/>
      <c r="B51" s="785"/>
      <c r="C51" s="786"/>
      <c r="D51" s="787"/>
      <c r="E51" s="782" t="s">
        <v>640</v>
      </c>
      <c r="F51" s="2332"/>
      <c r="H51" s="2075"/>
      <c r="I51" s="3097" t="s">
        <v>2345</v>
      </c>
      <c r="J51" s="3101">
        <f>IF(J49="",J50,J49+J50-YEAR('数据-取费表'!B2))</f>
        <v>60</v>
      </c>
      <c r="K51" s="3075" t="s">
        <v>2351</v>
      </c>
      <c r="L51" s="3107">
        <f ca="1">ROUND(-PV(INDIRECT("'数据-取费表'!h"&amp;$G$1),L48,(C39-C13*J36),0),0)</f>
        <v>675</v>
      </c>
      <c r="O51" s="2362" t="s">
        <v>2381</v>
      </c>
      <c r="P51" s="2360" t="s">
        <v>2382</v>
      </c>
      <c r="Q51" s="2363">
        <f ca="1">J58</f>
        <v>0.60099999999999998</v>
      </c>
      <c r="R51" s="2364"/>
    </row>
    <row r="52" spans="1:18" s="2041" customFormat="1" ht="18" customHeight="1" thickBot="1">
      <c r="A52" s="779" t="s">
        <v>2533</v>
      </c>
      <c r="B52" s="2455" t="s">
        <v>2456</v>
      </c>
      <c r="C52" s="797">
        <f ca="1">ROUND(IF(F52="押一",C48/12*F11,IF(F52="押二",C48/12*2*F11,IF(F52="押三",C48/12*3*F11,C53*F11))),0)</f>
        <v>0</v>
      </c>
      <c r="D52" s="2462" t="s">
        <v>2963</v>
      </c>
      <c r="E52" s="2459" t="s">
        <v>2461</v>
      </c>
      <c r="F52" s="2582"/>
      <c r="I52" s="3098" t="s">
        <v>2418</v>
      </c>
      <c r="J52" s="2346"/>
      <c r="K52" s="3098"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9" t="s">
        <v>2966</v>
      </c>
      <c r="J53" s="3178">
        <f ca="1">IF(M47="住宅",IF(D1="——",MAX(J51,L48),MAX(J51,L48-'数据-取费表'!B20)),IF(D1="——",MIN(J51,L48),MIN(J51,L48-'数据-取费表'!B20)))</f>
        <v>21.43</v>
      </c>
      <c r="K53" s="3465" t="s">
        <v>2954</v>
      </c>
      <c r="L53" s="3466"/>
      <c r="O53" s="2362" t="s">
        <v>2385</v>
      </c>
      <c r="P53" s="2360" t="s">
        <v>2386</v>
      </c>
      <c r="Q53" s="2361">
        <f ca="1">J53</f>
        <v>21.43</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1204</v>
      </c>
      <c r="R54" s="2364" t="s">
        <v>2389</v>
      </c>
    </row>
    <row r="55" spans="1:18" s="2041" customFormat="1" ht="18" customHeight="1" thickTop="1" thickBot="1">
      <c r="A55" s="795">
        <v>2</v>
      </c>
      <c r="B55" s="796" t="s">
        <v>644</v>
      </c>
      <c r="C55" s="797">
        <f ca="1">C13</f>
        <v>219</v>
      </c>
      <c r="D55" s="793"/>
      <c r="E55" s="793"/>
      <c r="F55" s="798"/>
      <c r="I55" s="3110" t="s">
        <v>2352</v>
      </c>
      <c r="J55" s="3050">
        <f ca="1">ROUND(IF(J47="钢混",J57/J50,1-(1-2%)*(J50-J57)/J50),3)</f>
        <v>0.60099999999999998</v>
      </c>
      <c r="K55" s="3111" t="s">
        <v>2353</v>
      </c>
      <c r="L55" s="2347"/>
      <c r="O55" s="2365" t="s">
        <v>2408</v>
      </c>
      <c r="P55" s="1575"/>
      <c r="Q55" s="1586"/>
      <c r="R55" s="1575"/>
    </row>
    <row r="56" spans="1:18" s="2041" customFormat="1" ht="42.75" customHeight="1" thickBot="1">
      <c r="A56" s="1632"/>
      <c r="B56" s="2213" t="s">
        <v>2299</v>
      </c>
      <c r="C56" s="53">
        <f ca="1">C29</f>
        <v>219</v>
      </c>
      <c r="D56" s="2600"/>
      <c r="E56" s="782"/>
      <c r="F56" s="807"/>
      <c r="I56" s="3112" t="s">
        <v>2354</v>
      </c>
      <c r="J56" s="3122"/>
      <c r="K56" s="3075"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4</v>
      </c>
      <c r="D57" s="26" t="s">
        <v>1749</v>
      </c>
      <c r="E57" s="2601"/>
      <c r="F57" s="56"/>
      <c r="I57" s="3113" t="s">
        <v>2355</v>
      </c>
      <c r="J57" s="3114">
        <f ca="1">IF(OR(M47="住宅",J51&lt;L48,J56="是"),"——",J51-L48)</f>
        <v>36.07</v>
      </c>
      <c r="K57" s="3075" t="s">
        <v>2360</v>
      </c>
      <c r="L57" s="1890" t="str">
        <f ca="1">IF(L48&lt;J51,"——",IF(L55="比较法",L49,IF(L55="基准地价",L50,L51)))</f>
        <v>——</v>
      </c>
      <c r="O57" s="2359" t="s">
        <v>2376</v>
      </c>
      <c r="P57" s="2360" t="s">
        <v>2406</v>
      </c>
      <c r="Q57" s="2361">
        <f ca="1">C40+J29</f>
        <v>1072</v>
      </c>
      <c r="R57" s="2360" t="s">
        <v>2377</v>
      </c>
    </row>
    <row r="58" spans="1:18" s="2041" customFormat="1" ht="28.5" customHeight="1" thickBot="1">
      <c r="A58" s="1631" t="s">
        <v>1823</v>
      </c>
      <c r="B58" s="782" t="s">
        <v>656</v>
      </c>
      <c r="C58" s="53">
        <f ca="1">ROUND(IF(项目基本情况!B11="自然人",C47*F58,C59+C60+C61),1)</f>
        <v>0</v>
      </c>
      <c r="D58" s="2599" t="s">
        <v>657</v>
      </c>
      <c r="E58" s="2600" t="s">
        <v>690</v>
      </c>
      <c r="F58" s="808">
        <f ca="1">IF(项目基本情况!B11="企业","",IF(INDIRECT("'数据-取费表'!c"&amp;$G$1)="住宅",5%,IF(F48*F49*F50/12/(1+'数据-取费表'!C42)&gt;20000,12%,7%)))</f>
        <v>7.0000000000000007E-2</v>
      </c>
      <c r="I58" s="3113" t="s">
        <v>2356</v>
      </c>
      <c r="J58" s="3051">
        <f ca="1">IF(J55&lt;0.4,0.4,J55)</f>
        <v>0.60099999999999998</v>
      </c>
      <c r="K58" s="3075"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2600" t="s">
        <v>1755</v>
      </c>
      <c r="E59" s="782" t="s">
        <v>1746</v>
      </c>
      <c r="F59" s="807">
        <f t="shared" ref="F59:F65" si="0">F32</f>
        <v>5.6000000000000001E-2</v>
      </c>
      <c r="I59" s="3113" t="s">
        <v>2357</v>
      </c>
      <c r="J59" s="3114">
        <f ca="1">IF(OR(M47="住宅",J51&lt;L48,J56="是"),"——",ROUND(C29*J58,0))</f>
        <v>132</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5" t="s">
        <v>2358</v>
      </c>
      <c r="J60" s="3116">
        <f ca="1">IF(OR(M47="住宅",J51&lt;L48,J56="是"),"0",ROUND(J59/(1+J52)^J53,0))</f>
        <v>132</v>
      </c>
      <c r="K60" s="3117" t="s">
        <v>2363</v>
      </c>
      <c r="L60" s="3116">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v>
      </c>
      <c r="D61" s="812" t="s">
        <v>669</v>
      </c>
      <c r="E61" s="782" t="s">
        <v>670</v>
      </c>
      <c r="F61" s="638">
        <f t="shared" si="0"/>
        <v>1.5</v>
      </c>
      <c r="K61" s="2068"/>
      <c r="O61" s="2362" t="s">
        <v>2383</v>
      </c>
      <c r="P61" s="2360" t="s">
        <v>2391</v>
      </c>
      <c r="Q61" s="2361" t="e">
        <f ca="1">L58</f>
        <v>#DIV/0!</v>
      </c>
      <c r="R61" s="2364" t="s">
        <v>2392</v>
      </c>
    </row>
    <row r="62" spans="1:18" s="2041" customFormat="1" ht="15.75" thickBot="1">
      <c r="A62" s="813"/>
      <c r="B62" s="791"/>
      <c r="C62" s="69"/>
      <c r="D62" s="814"/>
      <c r="E62" s="782" t="s">
        <v>674</v>
      </c>
      <c r="F62" s="783">
        <f t="shared" ca="1" si="0"/>
        <v>122.28</v>
      </c>
      <c r="I62" s="3118" t="s">
        <v>2364</v>
      </c>
      <c r="J62" s="3119" t="s">
        <v>2365</v>
      </c>
      <c r="K62" s="3119" t="s">
        <v>2366</v>
      </c>
      <c r="L62" s="3119" t="s">
        <v>2347</v>
      </c>
      <c r="M62" s="3120" t="s">
        <v>2931</v>
      </c>
      <c r="O62" s="2362" t="s">
        <v>2385</v>
      </c>
      <c r="P62" s="2360" t="str">
        <f>K59</f>
        <v>建设期及建筑物耐用年限下的土地年期修正系数Kn</v>
      </c>
      <c r="Q62" s="2361" t="e">
        <f ca="1">L59</f>
        <v>#DIV/0!</v>
      </c>
      <c r="R62" s="2364" t="s">
        <v>2394</v>
      </c>
    </row>
    <row r="63" spans="1:18" s="2041" customFormat="1" ht="15.75" thickBot="1">
      <c r="A63" s="1631" t="s">
        <v>1888</v>
      </c>
      <c r="B63" s="782" t="s">
        <v>676</v>
      </c>
      <c r="C63" s="53">
        <f ca="1">ROUND(C56*F63,1)</f>
        <v>3.3</v>
      </c>
      <c r="D63" s="2600" t="s">
        <v>1802</v>
      </c>
      <c r="E63" s="782" t="s">
        <v>1746</v>
      </c>
      <c r="F63" s="815">
        <f t="shared" ca="1" si="0"/>
        <v>1.4999999999999999E-2</v>
      </c>
      <c r="I63" s="3118" t="s">
        <v>2367</v>
      </c>
      <c r="J63" s="3119">
        <v>70</v>
      </c>
      <c r="K63" s="3119">
        <v>50</v>
      </c>
      <c r="L63" s="3119">
        <v>80</v>
      </c>
      <c r="M63" s="3121">
        <v>0.02</v>
      </c>
      <c r="O63" s="2359" t="s">
        <v>2388</v>
      </c>
      <c r="P63" s="2360" t="s">
        <v>2405</v>
      </c>
      <c r="Q63" s="2361">
        <f ca="1">Q57+Q58</f>
        <v>1072</v>
      </c>
      <c r="R63" s="2364" t="s">
        <v>2389</v>
      </c>
    </row>
    <row r="64" spans="1:18" s="2041" customFormat="1" ht="16.5" thickBot="1">
      <c r="A64" s="1631" t="s">
        <v>1889</v>
      </c>
      <c r="B64" s="782" t="s">
        <v>679</v>
      </c>
      <c r="C64" s="53">
        <f ca="1">ROUND(C55*F64,1)</f>
        <v>0.3</v>
      </c>
      <c r="D64" s="2600" t="s">
        <v>680</v>
      </c>
      <c r="E64" s="782" t="s">
        <v>1746</v>
      </c>
      <c r="F64" s="816">
        <f t="shared" ca="1" si="0"/>
        <v>1.5E-3</v>
      </c>
      <c r="I64" s="3118" t="s">
        <v>2368</v>
      </c>
      <c r="J64" s="3119">
        <v>50</v>
      </c>
      <c r="K64" s="3119">
        <v>35</v>
      </c>
      <c r="L64" s="3119">
        <v>60</v>
      </c>
      <c r="M64" s="844">
        <v>0</v>
      </c>
      <c r="O64" s="2365" t="s">
        <v>2412</v>
      </c>
      <c r="P64" s="1575"/>
      <c r="Q64" s="1586"/>
      <c r="R64" s="1575"/>
    </row>
    <row r="65" spans="1:18" s="2041" customFormat="1" ht="15.75" thickBot="1">
      <c r="A65" s="1631" t="s">
        <v>1890</v>
      </c>
      <c r="B65" s="782" t="s">
        <v>666</v>
      </c>
      <c r="C65" s="53">
        <f ca="1">ROUND(C47*F65,1)</f>
        <v>0</v>
      </c>
      <c r="D65" s="2600" t="s">
        <v>683</v>
      </c>
      <c r="E65" s="782" t="s">
        <v>1746</v>
      </c>
      <c r="F65" s="792">
        <f t="shared" ca="1" si="0"/>
        <v>0.01</v>
      </c>
      <c r="I65" s="3118" t="s">
        <v>2369</v>
      </c>
      <c r="J65" s="3119">
        <v>40</v>
      </c>
      <c r="K65" s="3119">
        <v>30</v>
      </c>
      <c r="L65" s="3119">
        <v>50</v>
      </c>
      <c r="M65" s="3121">
        <v>0.02</v>
      </c>
      <c r="O65" s="2356" t="s">
        <v>2372</v>
      </c>
      <c r="P65" s="2357" t="s">
        <v>2373</v>
      </c>
      <c r="Q65" s="2358" t="s">
        <v>2374</v>
      </c>
      <c r="R65" s="2357" t="s">
        <v>2375</v>
      </c>
    </row>
    <row r="66" spans="1:18" s="2041" customFormat="1" ht="24.75" thickBot="1">
      <c r="A66" s="795" t="s">
        <v>1775</v>
      </c>
      <c r="B66" s="2960" t="s">
        <v>2819</v>
      </c>
      <c r="C66" s="797">
        <f ca="1">C47-C57</f>
        <v>-4</v>
      </c>
      <c r="D66" s="2599" t="s">
        <v>700</v>
      </c>
      <c r="E66" s="2598"/>
      <c r="F66" s="818"/>
      <c r="K66" s="2068"/>
      <c r="O66" s="2359" t="s">
        <v>2376</v>
      </c>
      <c r="P66" s="2360" t="s">
        <v>2406</v>
      </c>
      <c r="Q66" s="2361">
        <f ca="1">C40+J29</f>
        <v>1072</v>
      </c>
      <c r="R66" s="2360" t="s">
        <v>2377</v>
      </c>
    </row>
    <row r="67" spans="1:18" s="2041" customFormat="1" ht="20.25" thickBot="1">
      <c r="A67" s="779" t="s">
        <v>1779</v>
      </c>
      <c r="B67" s="2214" t="s">
        <v>2298</v>
      </c>
      <c r="C67" s="781">
        <f ca="1">ROUND(C66*(1-((1+F69)/(1+F67))^F68)/(F67-F69),0)</f>
        <v>-48</v>
      </c>
      <c r="D67" s="812" t="s">
        <v>704</v>
      </c>
      <c r="E67" s="782" t="s">
        <v>705</v>
      </c>
      <c r="F67" s="792">
        <f ca="1">F40</f>
        <v>0.06</v>
      </c>
      <c r="K67" s="2068"/>
      <c r="O67" s="2359" t="s">
        <v>2378</v>
      </c>
      <c r="P67" s="2360" t="s">
        <v>2409</v>
      </c>
      <c r="Q67" s="2361">
        <f ca="1">L60</f>
        <v>0</v>
      </c>
      <c r="R67" s="2364" t="s">
        <v>2411</v>
      </c>
    </row>
    <row r="68" spans="1:18" ht="21.75" thickBot="1">
      <c r="A68" s="784"/>
      <c r="B68" s="785"/>
      <c r="C68" s="786"/>
      <c r="D68" s="819" t="s">
        <v>1807</v>
      </c>
      <c r="E68" s="782" t="s">
        <v>1783</v>
      </c>
      <c r="F68" s="820">
        <f ca="1">F41</f>
        <v>21.43</v>
      </c>
      <c r="O68" s="2362" t="s">
        <v>2380</v>
      </c>
      <c r="P68" s="2360" t="s">
        <v>2410</v>
      </c>
      <c r="Q68" s="2366">
        <f ca="1">L51</f>
        <v>675</v>
      </c>
      <c r="R68" s="2367" t="s">
        <v>2413</v>
      </c>
    </row>
    <row r="69" spans="1:18" ht="20.25" thickBot="1">
      <c r="A69" s="788"/>
      <c r="B69" s="789"/>
      <c r="C69" s="790"/>
      <c r="D69" s="814"/>
      <c r="E69" s="782" t="s">
        <v>710</v>
      </c>
      <c r="F69" s="2332"/>
      <c r="O69" s="2362" t="s">
        <v>2381</v>
      </c>
      <c r="P69" s="2368" t="s">
        <v>2395</v>
      </c>
      <c r="Q69" s="2361">
        <f ca="1">ROUND(Q70-Q71*Q72,0)</f>
        <v>51</v>
      </c>
      <c r="R69" s="2364"/>
    </row>
    <row r="70" spans="1:18" ht="15.75" thickBot="1">
      <c r="A70" s="821" t="s">
        <v>1786</v>
      </c>
      <c r="B70" s="822" t="s">
        <v>1809</v>
      </c>
      <c r="C70" s="823">
        <f ca="1">ROUND(C67*10000/F70,0)</f>
        <v>-1418</v>
      </c>
      <c r="D70" s="824" t="s">
        <v>1810</v>
      </c>
      <c r="E70" s="825" t="s">
        <v>1811</v>
      </c>
      <c r="F70" s="826">
        <f ca="1">F43</f>
        <v>338.4</v>
      </c>
      <c r="O70" s="2362" t="s">
        <v>2396</v>
      </c>
      <c r="P70" s="2368" t="s">
        <v>2397</v>
      </c>
      <c r="Q70" s="2361">
        <f ca="1">C39</f>
        <v>70</v>
      </c>
      <c r="R70" s="2360" t="s">
        <v>2377</v>
      </c>
    </row>
    <row r="71" spans="1:18" ht="15.75" thickBot="1">
      <c r="O71" s="2362" t="s">
        <v>2398</v>
      </c>
      <c r="P71" s="2368" t="s">
        <v>2399</v>
      </c>
      <c r="Q71" s="2361">
        <f ca="1">C13</f>
        <v>219</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1072</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3022</v>
      </c>
      <c r="D1" s="3074" t="s">
        <v>3035</v>
      </c>
      <c r="E1" s="2348" t="s">
        <v>869</v>
      </c>
      <c r="F1" s="2349">
        <f ca="1">J53</f>
        <v>31.439999999999998</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2564</v>
      </c>
      <c r="C2" s="2039"/>
      <c r="D2" s="2037"/>
      <c r="E2" s="2038"/>
      <c r="F2" s="2038"/>
      <c r="G2" s="1573"/>
      <c r="H2" s="2039"/>
      <c r="I2" s="2039"/>
      <c r="J2" s="2039"/>
      <c r="K2" s="2040"/>
      <c r="L2" s="2039"/>
      <c r="M2" s="2039"/>
    </row>
    <row r="3" spans="1:33" ht="18" customHeight="1" thickBot="1">
      <c r="A3" s="831" t="s">
        <v>794</v>
      </c>
      <c r="B3" s="832">
        <f ca="1">IF(ISERROR(B2*10000/F43),0,ROUND(B2*10000/F43,0))</f>
        <v>7452</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170</v>
      </c>
      <c r="D5" s="2457" t="s">
        <v>2458</v>
      </c>
      <c r="E5" s="2451"/>
      <c r="F5" s="2452"/>
      <c r="G5" s="1575"/>
      <c r="H5" s="779">
        <v>1</v>
      </c>
      <c r="I5" s="780" t="s">
        <v>2455</v>
      </c>
      <c r="J5" s="55">
        <f ca="1">J6+J10+J12</f>
        <v>0</v>
      </c>
      <c r="K5" s="2457" t="s">
        <v>2458</v>
      </c>
      <c r="L5" s="2451"/>
      <c r="M5" s="2452"/>
    </row>
    <row r="6" spans="1:33" ht="18" customHeight="1">
      <c r="A6" s="1812" t="s">
        <v>1823</v>
      </c>
      <c r="B6" s="3454" t="s">
        <v>2460</v>
      </c>
      <c r="C6" s="781">
        <f ca="1">ROUND(F6*F8*F7*(1-F9)/10000,0)</f>
        <v>170</v>
      </c>
      <c r="D6" s="2458" t="s">
        <v>2459</v>
      </c>
      <c r="E6" s="782" t="s">
        <v>1737</v>
      </c>
      <c r="F6" s="783">
        <f ca="1">INDIRECT("'数据-取费表'!u"&amp;$G$1)</f>
        <v>1.5</v>
      </c>
      <c r="G6" s="1575"/>
      <c r="H6" s="2465" t="s">
        <v>1823</v>
      </c>
      <c r="I6" s="3454" t="s">
        <v>2460</v>
      </c>
      <c r="J6" s="781">
        <f ca="1">ROUND(M6*M8*M7*(1-M9)/10000,0)</f>
        <v>0</v>
      </c>
      <c r="K6" s="339" t="s">
        <v>636</v>
      </c>
      <c r="L6" s="782" t="s">
        <v>1737</v>
      </c>
      <c r="M6" s="783">
        <f ca="1">INDIRECT("'数据-取费表'!z"&amp;$G$1)</f>
        <v>0</v>
      </c>
    </row>
    <row r="7" spans="1:33" ht="18" customHeight="1">
      <c r="A7" s="2461"/>
      <c r="B7" s="3455"/>
      <c r="C7" s="786"/>
      <c r="D7" s="787"/>
      <c r="E7" s="782" t="s">
        <v>638</v>
      </c>
      <c r="F7" s="783">
        <f ca="1">IF(INDIRECT("'数据-取费表'!ah"&amp;$G$1)="",INDIRECT("'数据-取费表'!k"&amp;$G$1),INDIRECT("'数据-取费表'!ah"&amp;$G$1))</f>
        <v>3440.91</v>
      </c>
      <c r="G7" s="1575"/>
      <c r="H7" s="2450"/>
      <c r="I7" s="3455"/>
      <c r="J7" s="786"/>
      <c r="K7" s="787"/>
      <c r="L7" s="782" t="s">
        <v>638</v>
      </c>
      <c r="M7" s="783">
        <f ca="1">F7</f>
        <v>3440.91</v>
      </c>
    </row>
    <row r="8" spans="1:33" ht="18" customHeight="1">
      <c r="A8" s="2454"/>
      <c r="B8" s="3456"/>
      <c r="C8" s="786"/>
      <c r="D8" s="787"/>
      <c r="E8" s="782" t="s">
        <v>639</v>
      </c>
      <c r="F8" s="783">
        <f ca="1">INDIRECT("'数据-取费表'!ai"&amp;$G$1)</f>
        <v>365</v>
      </c>
      <c r="G8" s="1575"/>
      <c r="H8" s="2450"/>
      <c r="I8" s="3456"/>
      <c r="J8" s="786"/>
      <c r="K8" s="787"/>
      <c r="L8" s="782" t="s">
        <v>639</v>
      </c>
      <c r="M8" s="783">
        <f ca="1">INDIRECT("'数据-取费表'!ai"&amp;$G$1)</f>
        <v>365</v>
      </c>
    </row>
    <row r="9" spans="1:33" ht="18" customHeight="1">
      <c r="A9" s="784"/>
      <c r="B9" s="3457"/>
      <c r="C9" s="786"/>
      <c r="D9" s="787"/>
      <c r="E9" s="782" t="s">
        <v>1740</v>
      </c>
      <c r="F9" s="792">
        <f ca="1">INDIRECT("'数据-取费表'!w"&amp;$G$1)</f>
        <v>0.1</v>
      </c>
      <c r="G9" s="1575"/>
      <c r="H9" s="2466"/>
      <c r="I9" s="3456"/>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1613</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1166</v>
      </c>
      <c r="D14" s="3180" t="s">
        <v>1744</v>
      </c>
      <c r="E14" s="3181"/>
      <c r="F14" s="803"/>
      <c r="G14" s="1575"/>
      <c r="H14" s="1631" t="s">
        <v>1823</v>
      </c>
      <c r="I14" s="2213" t="s">
        <v>2822</v>
      </c>
      <c r="J14" s="53">
        <f ca="1">C29</f>
        <v>1613</v>
      </c>
      <c r="K14" s="26"/>
      <c r="L14" s="799"/>
      <c r="M14" s="800"/>
    </row>
    <row r="15" spans="1:33" s="2046" customFormat="1" ht="18" customHeight="1" thickBot="1">
      <c r="A15" s="1630" t="s">
        <v>1831</v>
      </c>
      <c r="B15" s="782" t="s">
        <v>647</v>
      </c>
      <c r="C15" s="53">
        <f ca="1">ROUND(C14*F15,0)</f>
        <v>58</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160</v>
      </c>
      <c r="K16" s="1803" t="s">
        <v>1749</v>
      </c>
      <c r="L16" s="3182"/>
      <c r="M16" s="2452"/>
    </row>
    <row r="17" spans="1:33" s="2046" customFormat="1" ht="18" customHeight="1">
      <c r="A17" s="1630" t="s">
        <v>1886</v>
      </c>
      <c r="B17" s="782" t="s">
        <v>653</v>
      </c>
      <c r="C17" s="53">
        <f ca="1">ROUND(F17*(F43+INDIRECT("'数据-取费表'!S"&amp;$G$1))/10000,0)</f>
        <v>78</v>
      </c>
      <c r="D17" s="782" t="s">
        <v>654</v>
      </c>
      <c r="E17" s="782" t="s">
        <v>655</v>
      </c>
      <c r="F17" s="56">
        <f>'数据-取费表'!B35</f>
        <v>200</v>
      </c>
      <c r="G17" s="1576"/>
      <c r="H17" s="1631" t="s">
        <v>1823</v>
      </c>
      <c r="I17" s="782" t="s">
        <v>656</v>
      </c>
      <c r="J17" s="53">
        <f ca="1">ROUND(IF(项目基本情况!B11="自然人",J6*M17/(1+'数据-取费表'!C42),J18+J19+J20),0)</f>
        <v>136</v>
      </c>
      <c r="K17" s="3180" t="s">
        <v>657</v>
      </c>
      <c r="L17" s="3179"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17</v>
      </c>
      <c r="D18" s="782" t="s">
        <v>1745</v>
      </c>
      <c r="E18" s="782" t="s">
        <v>649</v>
      </c>
      <c r="F18" s="807">
        <f>'数据-取费表'!B36</f>
        <v>1.4999999999999999E-2</v>
      </c>
      <c r="G18" s="1576"/>
      <c r="H18" s="1630" t="s">
        <v>1830</v>
      </c>
      <c r="I18" s="782" t="s">
        <v>1754</v>
      </c>
      <c r="J18" s="53">
        <f ca="1">ROUND(J6*M18/(1+'数据-取费表'!C42),1)</f>
        <v>0</v>
      </c>
      <c r="K18" s="3179"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1319</v>
      </c>
      <c r="D19" s="259" t="s">
        <v>663</v>
      </c>
      <c r="E19" s="3184"/>
      <c r="F19" s="56"/>
      <c r="G19" s="1575"/>
      <c r="H19" s="1630" t="s">
        <v>1831</v>
      </c>
      <c r="I19" s="782" t="s">
        <v>664</v>
      </c>
      <c r="J19" s="53">
        <f ca="1">IF(K19="按租金收入计税",ROUND(J6*M19/(1+'数据-取费表'!C42),1),ROUND(C29*F33*0.7,1))</f>
        <v>135.5</v>
      </c>
      <c r="K19" s="809" t="s">
        <v>665</v>
      </c>
      <c r="L19" s="782" t="s">
        <v>649</v>
      </c>
      <c r="M19" s="807">
        <f>IF(K19="按租金收入计税",'数据-取费表'!B51,'数据-取费表'!B50)</f>
        <v>1.2E-2</v>
      </c>
    </row>
    <row r="20" spans="1:33" s="2046" customFormat="1" ht="18" customHeight="1">
      <c r="A20" s="1631" t="s">
        <v>1888</v>
      </c>
      <c r="B20" s="782" t="s">
        <v>666</v>
      </c>
      <c r="C20" s="53">
        <f ca="1">ROUND(C19*F20,0)</f>
        <v>33</v>
      </c>
      <c r="D20" s="810" t="s">
        <v>1758</v>
      </c>
      <c r="E20" s="782" t="s">
        <v>649</v>
      </c>
      <c r="F20" s="807">
        <f>'数据-取费表'!B37</f>
        <v>2.5000000000000001E-2</v>
      </c>
      <c r="G20" s="1576"/>
      <c r="H20" s="1633" t="s">
        <v>1832</v>
      </c>
      <c r="I20" s="339" t="s">
        <v>1759</v>
      </c>
      <c r="J20" s="54">
        <f ca="1">ROUND(M20*M21/10000,0)</f>
        <v>0</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1243.3700000000001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4"/>
      <c r="F22" s="56"/>
      <c r="G22" s="1575"/>
      <c r="H22" s="1631" t="s">
        <v>1888</v>
      </c>
      <c r="I22" s="782" t="s">
        <v>676</v>
      </c>
      <c r="J22" s="53">
        <f ca="1">ROUND(J14*M22,0)</f>
        <v>24</v>
      </c>
      <c r="K22" s="3179"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81</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9"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4"/>
      <c r="F25" s="56"/>
      <c r="G25" s="1575"/>
      <c r="H25" s="1811" t="s">
        <v>1775</v>
      </c>
      <c r="I25" s="2959" t="s">
        <v>2819</v>
      </c>
      <c r="J25" s="790">
        <f ca="1">J5-J16</f>
        <v>-160</v>
      </c>
      <c r="K25" s="2509" t="s">
        <v>1776</v>
      </c>
      <c r="L25" s="2510"/>
      <c r="M25" s="2511"/>
    </row>
    <row r="26" spans="1:33" ht="18" customHeight="1">
      <c r="A26" s="1630" t="s">
        <v>1830</v>
      </c>
      <c r="B26" s="782" t="s">
        <v>2435</v>
      </c>
      <c r="C26" s="53">
        <f ca="1">ROUND((C19+C20)*F26,0)</f>
        <v>41</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1613</v>
      </c>
      <c r="D29" s="2506"/>
      <c r="E29" s="2507"/>
      <c r="F29" s="2508"/>
      <c r="G29" s="1576"/>
      <c r="H29" s="821" t="s">
        <v>1786</v>
      </c>
      <c r="I29" s="822" t="s">
        <v>1787</v>
      </c>
      <c r="J29" s="823">
        <f ca="1">ROUND(J26/(1+F40)^F41,0)</f>
        <v>0</v>
      </c>
      <c r="K29" s="824" t="s">
        <v>1788</v>
      </c>
      <c r="L29" s="825"/>
      <c r="M29" s="826">
        <f ca="1">INDIRECT("'数据-取费表'!k"&amp;$G$1)</f>
        <v>3440.91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57</v>
      </c>
      <c r="D30" s="1803" t="s">
        <v>1749</v>
      </c>
      <c r="E30" s="3182"/>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28.7</v>
      </c>
      <c r="D31" s="3180" t="s">
        <v>657</v>
      </c>
      <c r="E31" s="3179" t="s">
        <v>690</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1754</v>
      </c>
      <c r="C32" s="53">
        <f ca="1">ROUND(C6*F32/(1+'数据-取费表'!C42),1)</f>
        <v>9.1</v>
      </c>
      <c r="D32" s="3179"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19.399999999999999</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0.2</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1243.3700000000001</v>
      </c>
      <c r="G35" s="2044"/>
      <c r="H35" s="2047"/>
      <c r="I35" s="835" t="s">
        <v>1813</v>
      </c>
      <c r="J35" s="836">
        <f ca="1">ROUND(C13*J36,0)</f>
        <v>137</v>
      </c>
      <c r="K35" s="2060"/>
      <c r="L35" s="2059"/>
      <c r="M35" s="2059"/>
    </row>
    <row r="36" spans="1:18" ht="18" customHeight="1">
      <c r="A36" s="1631" t="s">
        <v>1888</v>
      </c>
      <c r="B36" s="782" t="s">
        <v>676</v>
      </c>
      <c r="C36" s="53">
        <f ca="1">ROUND(C29*F36,1)</f>
        <v>24.2</v>
      </c>
      <c r="D36" s="3179"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2.4</v>
      </c>
      <c r="D37" s="3179"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1.7</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113</v>
      </c>
      <c r="D39" s="2509" t="s">
        <v>1776</v>
      </c>
      <c r="E39" s="2510"/>
      <c r="F39" s="2511"/>
      <c r="G39" s="2044"/>
      <c r="H39" s="2059"/>
      <c r="I39" s="835" t="s">
        <v>1817</v>
      </c>
      <c r="J39" s="843">
        <f ca="1">ROUND(J35/C39,3)</f>
        <v>1.212</v>
      </c>
      <c r="K39" s="2065"/>
      <c r="L39" s="2059"/>
      <c r="M39" s="2059"/>
    </row>
    <row r="40" spans="1:18" ht="18" customHeight="1">
      <c r="A40" s="779" t="s">
        <v>1779</v>
      </c>
      <c r="B40" s="2214" t="s">
        <v>2298</v>
      </c>
      <c r="C40" s="781">
        <f ca="1">ROUND(C39*(1-((1+F42)/(1+F40))^F41)/(F40-F42),0)</f>
        <v>2564</v>
      </c>
      <c r="D40" s="812" t="s">
        <v>704</v>
      </c>
      <c r="E40" s="782" t="s">
        <v>2416</v>
      </c>
      <c r="F40" s="792">
        <f ca="1">INDIRECT("'数据-取费表'!I"&amp;$G$1)</f>
        <v>0.05</v>
      </c>
      <c r="G40" s="2044"/>
      <c r="H40" s="2044"/>
      <c r="I40" s="835" t="s">
        <v>1818</v>
      </c>
      <c r="J40" s="843">
        <f ca="1">1-J39</f>
        <v>-0.21199999999999997</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31.439999999999998</v>
      </c>
      <c r="G41" s="2044"/>
      <c r="H41" s="1970"/>
      <c r="I41" s="841" t="s">
        <v>1819</v>
      </c>
      <c r="J41" s="844"/>
      <c r="K41" s="2064"/>
      <c r="L41" s="1970"/>
      <c r="M41" s="1970"/>
    </row>
    <row r="42" spans="1:18" ht="18" customHeight="1">
      <c r="A42" s="788"/>
      <c r="B42" s="789"/>
      <c r="C42" s="790"/>
      <c r="D42" s="814"/>
      <c r="E42" s="782" t="s">
        <v>1785</v>
      </c>
      <c r="F42" s="792">
        <f ca="1">INDIRECT("'数据-取费表'!v"&amp;$G$1)</f>
        <v>0.03</v>
      </c>
      <c r="G42" s="2044"/>
      <c r="H42" s="1970"/>
      <c r="I42" s="845" t="s">
        <v>1820</v>
      </c>
      <c r="J42" s="843">
        <f ca="1">ROUND(C13/C40,3)</f>
        <v>0.629</v>
      </c>
      <c r="K42" s="2064"/>
      <c r="L42" s="1970"/>
      <c r="M42" s="1970"/>
    </row>
    <row r="43" spans="1:18" ht="18" customHeight="1" thickBot="1">
      <c r="A43" s="821" t="s">
        <v>1786</v>
      </c>
      <c r="B43" s="822" t="s">
        <v>1809</v>
      </c>
      <c r="C43" s="823">
        <f ca="1">ROUND(C40*10000/F43,0)</f>
        <v>7452</v>
      </c>
      <c r="D43" s="824" t="s">
        <v>1810</v>
      </c>
      <c r="E43" s="825" t="s">
        <v>1811</v>
      </c>
      <c r="F43" s="826">
        <f ca="1">INDIRECT("'数据-取费表'!k"&amp;$G$1)</f>
        <v>3440.91</v>
      </c>
      <c r="G43" s="2044"/>
      <c r="H43" s="1970"/>
      <c r="I43" s="845" t="s">
        <v>1821</v>
      </c>
      <c r="J43" s="846">
        <f ca="1">1-J42</f>
        <v>0.371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-2988</v>
      </c>
      <c r="D46" s="2067"/>
      <c r="E46" s="2067"/>
      <c r="F46" s="2067"/>
      <c r="I46" s="2339" t="s">
        <v>2340</v>
      </c>
      <c r="J46" s="2340"/>
      <c r="K46" s="2341"/>
      <c r="L46" s="3105">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6" t="s">
        <v>2341</v>
      </c>
      <c r="J47" s="2342" t="s">
        <v>3038</v>
      </c>
      <c r="K47" s="3102" t="s">
        <v>2346</v>
      </c>
      <c r="L47" s="3106">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5" t="s">
        <v>2342</v>
      </c>
      <c r="J48" s="2343" t="s">
        <v>2347</v>
      </c>
      <c r="K48" s="3103" t="s">
        <v>2348</v>
      </c>
      <c r="L48" s="1890">
        <f ca="1">INDIRECT("'数据-取费表'!f"&amp;$G$1)</f>
        <v>33.94</v>
      </c>
      <c r="O48" s="2359" t="s">
        <v>2376</v>
      </c>
      <c r="P48" s="2360" t="s">
        <v>2402</v>
      </c>
      <c r="Q48" s="2361">
        <f ca="1">C40+J29</f>
        <v>2564</v>
      </c>
      <c r="R48" s="2360" t="s">
        <v>2377</v>
      </c>
    </row>
    <row r="49" spans="1:18" s="2041" customFormat="1" ht="18" customHeight="1" thickBot="1">
      <c r="A49" s="784"/>
      <c r="B49" s="785"/>
      <c r="C49" s="786"/>
      <c r="D49" s="787"/>
      <c r="E49" s="782" t="s">
        <v>638</v>
      </c>
      <c r="F49" s="783">
        <f ca="1">F7</f>
        <v>3440.91</v>
      </c>
      <c r="G49" s="2072"/>
      <c r="H49" s="2075"/>
      <c r="I49" s="3075" t="s">
        <v>2343</v>
      </c>
      <c r="J49" s="2344"/>
      <c r="K49" s="3104" t="s">
        <v>2349</v>
      </c>
      <c r="L49" s="2345"/>
      <c r="O49" s="2359" t="s">
        <v>2378</v>
      </c>
      <c r="P49" s="2360" t="s">
        <v>2403</v>
      </c>
      <c r="Q49" s="2361">
        <f ca="1">J60</f>
        <v>700</v>
      </c>
      <c r="R49" s="2360" t="s">
        <v>2379</v>
      </c>
    </row>
    <row r="50" spans="1:18" s="2041" customFormat="1" ht="18" customHeight="1" thickBot="1">
      <c r="A50" s="784"/>
      <c r="B50" s="785"/>
      <c r="C50" s="786"/>
      <c r="D50" s="787"/>
      <c r="E50" s="782" t="s">
        <v>639</v>
      </c>
      <c r="F50" s="783">
        <f ca="1">F8</f>
        <v>365</v>
      </c>
      <c r="G50" s="2077"/>
      <c r="H50" s="2075"/>
      <c r="I50" s="3075" t="s">
        <v>2344</v>
      </c>
      <c r="J50" s="3100">
        <f>SUMPRODUCT((I63:I65=J47)*(J62:L62=J48)*(J63:L65))</f>
        <v>60</v>
      </c>
      <c r="K50" s="3104" t="s">
        <v>2350</v>
      </c>
      <c r="L50" s="2345"/>
      <c r="O50" s="2362" t="s">
        <v>2380</v>
      </c>
      <c r="P50" s="2360" t="s">
        <v>2404</v>
      </c>
      <c r="Q50" s="2361">
        <f ca="1">C29</f>
        <v>1613</v>
      </c>
      <c r="R50" s="2360" t="s">
        <v>2377</v>
      </c>
    </row>
    <row r="51" spans="1:18" s="2041" customFormat="1" ht="18" customHeight="1" thickBot="1">
      <c r="A51" s="784"/>
      <c r="B51" s="785"/>
      <c r="C51" s="786"/>
      <c r="D51" s="787"/>
      <c r="E51" s="782" t="s">
        <v>640</v>
      </c>
      <c r="F51" s="2332"/>
      <c r="H51" s="2075"/>
      <c r="I51" s="3097" t="s">
        <v>2345</v>
      </c>
      <c r="J51" s="3101">
        <f>IF(J49="",J50,J49+J50-YEAR('数据-取费表'!B2))</f>
        <v>60</v>
      </c>
      <c r="K51" s="3075" t="s">
        <v>2351</v>
      </c>
      <c r="L51" s="3107">
        <f ca="1">ROUND(-PV(INDIRECT("'数据-取费表'!h"&amp;$G$1),L48,(C39-C13*J36),0),0)</f>
        <v>-415</v>
      </c>
      <c r="O51" s="2362" t="s">
        <v>2381</v>
      </c>
      <c r="P51" s="2360" t="s">
        <v>2382</v>
      </c>
      <c r="Q51" s="2363">
        <f ca="1">J58</f>
        <v>0.434</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8" t="s">
        <v>2418</v>
      </c>
      <c r="J52" s="2346"/>
      <c r="K52" s="3098"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9" t="s">
        <v>2966</v>
      </c>
      <c r="J53" s="3178">
        <f ca="1">IF(M47="住宅",IF(D1="——",MAX(J51,L48),MAX(J51,L48-'数据-取费表'!B20)),IF(D1="——",MIN(J51,L48),MIN(J51,L48-'数据-取费表'!B20)))</f>
        <v>31.439999999999998</v>
      </c>
      <c r="K53" s="3465" t="s">
        <v>2954</v>
      </c>
      <c r="L53" s="3466"/>
      <c r="O53" s="2362" t="s">
        <v>2385</v>
      </c>
      <c r="P53" s="2360" t="s">
        <v>2386</v>
      </c>
      <c r="Q53" s="2361">
        <f ca="1">J53</f>
        <v>31.439999999999998</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3264</v>
      </c>
      <c r="R54" s="2364" t="s">
        <v>2389</v>
      </c>
    </row>
    <row r="55" spans="1:18" s="2041" customFormat="1" ht="18" customHeight="1" thickTop="1" thickBot="1">
      <c r="A55" s="795">
        <v>2</v>
      </c>
      <c r="B55" s="796" t="s">
        <v>644</v>
      </c>
      <c r="C55" s="797">
        <f ca="1">C13</f>
        <v>1613</v>
      </c>
      <c r="D55" s="793"/>
      <c r="E55" s="793"/>
      <c r="F55" s="798"/>
      <c r="I55" s="3110" t="s">
        <v>2352</v>
      </c>
      <c r="J55" s="3050">
        <f ca="1">ROUND(IF(J47="钢混",J57/J50,1-(1-2%)*(J50-J57)/J50),3)</f>
        <v>0.434</v>
      </c>
      <c r="K55" s="3111" t="s">
        <v>2353</v>
      </c>
      <c r="L55" s="2347"/>
      <c r="O55" s="2365" t="s">
        <v>2408</v>
      </c>
      <c r="P55" s="1575"/>
      <c r="Q55" s="1586"/>
      <c r="R55" s="1575"/>
    </row>
    <row r="56" spans="1:18" s="2041" customFormat="1" ht="42.75" customHeight="1" thickBot="1">
      <c r="A56" s="1632"/>
      <c r="B56" s="2213" t="s">
        <v>2297</v>
      </c>
      <c r="C56" s="53">
        <f ca="1">C29</f>
        <v>1613</v>
      </c>
      <c r="D56" s="3179"/>
      <c r="E56" s="782"/>
      <c r="F56" s="807"/>
      <c r="I56" s="3112" t="s">
        <v>2354</v>
      </c>
      <c r="J56" s="3122"/>
      <c r="K56" s="3075"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27</v>
      </c>
      <c r="D57" s="26" t="s">
        <v>1749</v>
      </c>
      <c r="E57" s="3184"/>
      <c r="F57" s="56"/>
      <c r="I57" s="3113" t="s">
        <v>2355</v>
      </c>
      <c r="J57" s="3114">
        <f ca="1">IF(OR(M47="住宅",J51&lt;L48,J56="是"),"——",J51-L48)</f>
        <v>26.060000000000002</v>
      </c>
      <c r="K57" s="3075" t="s">
        <v>2360</v>
      </c>
      <c r="L57" s="1890" t="str">
        <f ca="1">IF(L48&lt;J51,"——",IF(L55="比较法",L49,IF(L55="基准地价",L50,L51)))</f>
        <v>——</v>
      </c>
      <c r="O57" s="2359" t="s">
        <v>2376</v>
      </c>
      <c r="P57" s="2360" t="s">
        <v>2402</v>
      </c>
      <c r="Q57" s="2361">
        <f ca="1">C40+J29</f>
        <v>2564</v>
      </c>
      <c r="R57" s="2360" t="s">
        <v>2377</v>
      </c>
    </row>
    <row r="58" spans="1:18" s="2041" customFormat="1" ht="28.5" customHeight="1" thickBot="1">
      <c r="A58" s="1631" t="s">
        <v>1823</v>
      </c>
      <c r="B58" s="782" t="s">
        <v>656</v>
      </c>
      <c r="C58" s="53">
        <f ca="1">ROUND(IF(项目基本情况!B11="自然人",C47*F58,C59+C60+C61),1)</f>
        <v>0.2</v>
      </c>
      <c r="D58" s="3180" t="s">
        <v>657</v>
      </c>
      <c r="E58" s="3179" t="s">
        <v>690</v>
      </c>
      <c r="F58" s="808">
        <f ca="1">IF(项目基本情况!B11="企业","",IF(INDIRECT("'数据-取费表'!c"&amp;$G$1)="住宅",5%,IF(F48*F49*F50/12/(1+'数据-取费表'!C42)&gt;20000,12%,7%)))</f>
        <v>7.0000000000000007E-2</v>
      </c>
      <c r="I58" s="3113" t="s">
        <v>2356</v>
      </c>
      <c r="J58" s="3051">
        <f ca="1">IF(J55&lt;0.4,0.4,J55)</f>
        <v>0.434</v>
      </c>
      <c r="K58" s="3075"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9" t="s">
        <v>661</v>
      </c>
      <c r="E59" s="782" t="s">
        <v>649</v>
      </c>
      <c r="F59" s="807">
        <f t="shared" ref="F59:F65" si="0">F32</f>
        <v>5.6000000000000001E-2</v>
      </c>
      <c r="I59" s="3113" t="s">
        <v>2357</v>
      </c>
      <c r="J59" s="3114">
        <f ca="1">IF(OR(M47="住宅",J51&lt;L48,J56="是"),"——",ROUND(C29*J58,0))</f>
        <v>700</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9" t="str">
        <f>D33</f>
        <v>按租金收入计税</v>
      </c>
      <c r="E60" s="782" t="s">
        <v>649</v>
      </c>
      <c r="F60" s="807">
        <f t="shared" si="0"/>
        <v>0.12</v>
      </c>
      <c r="I60" s="3115" t="s">
        <v>2358</v>
      </c>
      <c r="J60" s="3116">
        <f ca="1">IF(OR(M47="住宅",J51&lt;L48,J56="是"),"0",ROUND(J59/(1+J52)^J53,0))</f>
        <v>700</v>
      </c>
      <c r="K60" s="3117" t="s">
        <v>2363</v>
      </c>
      <c r="L60" s="3116">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0.2</v>
      </c>
      <c r="D61" s="812" t="s">
        <v>669</v>
      </c>
      <c r="E61" s="782" t="s">
        <v>670</v>
      </c>
      <c r="F61" s="638">
        <f t="shared" si="0"/>
        <v>1.5</v>
      </c>
      <c r="K61" s="2068"/>
      <c r="O61" s="2362" t="s">
        <v>2383</v>
      </c>
      <c r="P61" s="2360" t="s">
        <v>2391</v>
      </c>
      <c r="Q61" s="2361" t="e">
        <f ca="1">L58</f>
        <v>#DIV/0!</v>
      </c>
      <c r="R61" s="2364" t="s">
        <v>2392</v>
      </c>
    </row>
    <row r="62" spans="1:18" s="2041" customFormat="1" ht="15.75" thickBot="1">
      <c r="A62" s="813"/>
      <c r="B62" s="791"/>
      <c r="C62" s="69"/>
      <c r="D62" s="814"/>
      <c r="E62" s="782" t="s">
        <v>674</v>
      </c>
      <c r="F62" s="783">
        <f t="shared" ca="1" si="0"/>
        <v>1243.3700000000001</v>
      </c>
      <c r="I62" s="3118" t="s">
        <v>2364</v>
      </c>
      <c r="J62" s="3119" t="s">
        <v>2365</v>
      </c>
      <c r="K62" s="3119" t="s">
        <v>2366</v>
      </c>
      <c r="L62" s="3119" t="s">
        <v>2347</v>
      </c>
      <c r="M62" s="3120" t="s">
        <v>2931</v>
      </c>
      <c r="O62" s="2362" t="s">
        <v>2385</v>
      </c>
      <c r="P62" s="2360" t="str">
        <f>K59</f>
        <v>建设期及建筑物耐用年限下的土地年期修正系数Kn</v>
      </c>
      <c r="Q62" s="2361" t="e">
        <f ca="1">L59</f>
        <v>#DIV/0!</v>
      </c>
      <c r="R62" s="2364" t="s">
        <v>2394</v>
      </c>
    </row>
    <row r="63" spans="1:18" s="2041" customFormat="1" ht="15.75" thickBot="1">
      <c r="A63" s="1631" t="s">
        <v>1888</v>
      </c>
      <c r="B63" s="782" t="s">
        <v>676</v>
      </c>
      <c r="C63" s="53">
        <f ca="1">ROUND(C56*F63,1)</f>
        <v>24.2</v>
      </c>
      <c r="D63" s="3179" t="s">
        <v>691</v>
      </c>
      <c r="E63" s="782" t="s">
        <v>649</v>
      </c>
      <c r="F63" s="815">
        <f t="shared" ca="1" si="0"/>
        <v>1.4999999999999999E-2</v>
      </c>
      <c r="I63" s="3118" t="s">
        <v>2367</v>
      </c>
      <c r="J63" s="3119">
        <v>70</v>
      </c>
      <c r="K63" s="3119">
        <v>50</v>
      </c>
      <c r="L63" s="3119">
        <v>80</v>
      </c>
      <c r="M63" s="3121">
        <v>0.02</v>
      </c>
      <c r="O63" s="2359" t="s">
        <v>2388</v>
      </c>
      <c r="P63" s="2360" t="s">
        <v>2405</v>
      </c>
      <c r="Q63" s="2361">
        <f ca="1">Q57+Q58</f>
        <v>2564</v>
      </c>
      <c r="R63" s="2364" t="s">
        <v>2389</v>
      </c>
    </row>
    <row r="64" spans="1:18" s="2041" customFormat="1" ht="16.5" thickBot="1">
      <c r="A64" s="1631" t="s">
        <v>1889</v>
      </c>
      <c r="B64" s="782" t="s">
        <v>679</v>
      </c>
      <c r="C64" s="53">
        <f ca="1">ROUND(C55*F64,1)</f>
        <v>2.4</v>
      </c>
      <c r="D64" s="3179" t="s">
        <v>680</v>
      </c>
      <c r="E64" s="782" t="s">
        <v>649</v>
      </c>
      <c r="F64" s="816">
        <f t="shared" ca="1" si="0"/>
        <v>1.5E-3</v>
      </c>
      <c r="I64" s="3118" t="s">
        <v>2368</v>
      </c>
      <c r="J64" s="3119">
        <v>50</v>
      </c>
      <c r="K64" s="3119">
        <v>35</v>
      </c>
      <c r="L64" s="3119">
        <v>60</v>
      </c>
      <c r="M64" s="844">
        <v>0</v>
      </c>
      <c r="O64" s="2365" t="s">
        <v>2412</v>
      </c>
      <c r="P64" s="1575"/>
      <c r="Q64" s="1586"/>
      <c r="R64" s="1575"/>
    </row>
    <row r="65" spans="1:18" s="2041" customFormat="1" ht="15.75" thickBot="1">
      <c r="A65" s="1631" t="s">
        <v>1890</v>
      </c>
      <c r="B65" s="782" t="s">
        <v>666</v>
      </c>
      <c r="C65" s="53">
        <f ca="1">ROUND(C47*F65,1)</f>
        <v>0</v>
      </c>
      <c r="D65" s="3179" t="s">
        <v>683</v>
      </c>
      <c r="E65" s="782" t="s">
        <v>649</v>
      </c>
      <c r="F65" s="792">
        <f t="shared" ca="1" si="0"/>
        <v>0.01</v>
      </c>
      <c r="I65" s="3118" t="s">
        <v>2369</v>
      </c>
      <c r="J65" s="3119">
        <v>40</v>
      </c>
      <c r="K65" s="3119">
        <v>30</v>
      </c>
      <c r="L65" s="3119">
        <v>50</v>
      </c>
      <c r="M65" s="3121">
        <v>0.02</v>
      </c>
      <c r="O65" s="2356" t="s">
        <v>2372</v>
      </c>
      <c r="P65" s="2357" t="s">
        <v>2373</v>
      </c>
      <c r="Q65" s="2358" t="s">
        <v>2374</v>
      </c>
      <c r="R65" s="2357" t="s">
        <v>2375</v>
      </c>
    </row>
    <row r="66" spans="1:18" s="2041" customFormat="1" ht="24.75" thickBot="1">
      <c r="A66" s="795" t="s">
        <v>1775</v>
      </c>
      <c r="B66" s="2960" t="s">
        <v>2819</v>
      </c>
      <c r="C66" s="797">
        <f ca="1">C47-C57</f>
        <v>-27</v>
      </c>
      <c r="D66" s="3180" t="s">
        <v>700</v>
      </c>
      <c r="E66" s="3183"/>
      <c r="F66" s="818"/>
      <c r="K66" s="2068"/>
      <c r="O66" s="2359" t="s">
        <v>2376</v>
      </c>
      <c r="P66" s="2360" t="s">
        <v>2402</v>
      </c>
      <c r="Q66" s="2361">
        <f ca="1">C40+J29</f>
        <v>2564</v>
      </c>
      <c r="R66" s="2360" t="s">
        <v>2377</v>
      </c>
    </row>
    <row r="67" spans="1:18" s="2041" customFormat="1" ht="20.25" thickBot="1">
      <c r="A67" s="779" t="s">
        <v>1779</v>
      </c>
      <c r="B67" s="2214" t="s">
        <v>2298</v>
      </c>
      <c r="C67" s="781">
        <f ca="1">ROUND(C66*(1-((1+F69)/(1+F67))^F68)/(F67-F69),0)</f>
        <v>-424</v>
      </c>
      <c r="D67" s="812" t="s">
        <v>704</v>
      </c>
      <c r="E67" s="782" t="s">
        <v>705</v>
      </c>
      <c r="F67" s="792">
        <f ca="1">F40</f>
        <v>0.05</v>
      </c>
      <c r="K67" s="2068"/>
      <c r="O67" s="2359" t="s">
        <v>2378</v>
      </c>
      <c r="P67" s="2360" t="s">
        <v>2409</v>
      </c>
      <c r="Q67" s="2361">
        <f ca="1">L60</f>
        <v>0</v>
      </c>
      <c r="R67" s="2364" t="s">
        <v>2411</v>
      </c>
    </row>
    <row r="68" spans="1:18" ht="21.75" thickBot="1">
      <c r="A68" s="784"/>
      <c r="B68" s="785"/>
      <c r="C68" s="786"/>
      <c r="D68" s="819" t="s">
        <v>1807</v>
      </c>
      <c r="E68" s="782" t="s">
        <v>708</v>
      </c>
      <c r="F68" s="820">
        <f ca="1">F41</f>
        <v>31.439999999999998</v>
      </c>
      <c r="O68" s="2362" t="s">
        <v>2380</v>
      </c>
      <c r="P68" s="2360" t="s">
        <v>2410</v>
      </c>
      <c r="Q68" s="2366">
        <f ca="1">L51</f>
        <v>-415</v>
      </c>
      <c r="R68" s="2367" t="s">
        <v>2413</v>
      </c>
    </row>
    <row r="69" spans="1:18" ht="20.25" thickBot="1">
      <c r="A69" s="788"/>
      <c r="B69" s="789"/>
      <c r="C69" s="790"/>
      <c r="D69" s="814"/>
      <c r="E69" s="782" t="s">
        <v>710</v>
      </c>
      <c r="F69" s="2332"/>
      <c r="O69" s="2362" t="s">
        <v>2381</v>
      </c>
      <c r="P69" s="2368" t="s">
        <v>2395</v>
      </c>
      <c r="Q69" s="2361">
        <f ca="1">ROUND(Q70-Q71*Q72,0)</f>
        <v>-24</v>
      </c>
      <c r="R69" s="2364"/>
    </row>
    <row r="70" spans="1:18" ht="15.75" thickBot="1">
      <c r="A70" s="821" t="s">
        <v>1786</v>
      </c>
      <c r="B70" s="822" t="s">
        <v>1809</v>
      </c>
      <c r="C70" s="823">
        <f ca="1">ROUND(C67*10000/F70,0)</f>
        <v>-1232</v>
      </c>
      <c r="D70" s="824" t="s">
        <v>1810</v>
      </c>
      <c r="E70" s="825" t="s">
        <v>1811</v>
      </c>
      <c r="F70" s="826">
        <f ca="1">F43</f>
        <v>3440.91</v>
      </c>
      <c r="O70" s="2362" t="s">
        <v>2396</v>
      </c>
      <c r="P70" s="2368" t="s">
        <v>2397</v>
      </c>
      <c r="Q70" s="2361">
        <f ca="1">C39</f>
        <v>113</v>
      </c>
      <c r="R70" s="2360" t="s">
        <v>2377</v>
      </c>
    </row>
    <row r="71" spans="1:18" ht="15.75" thickBot="1">
      <c r="O71" s="2362" t="s">
        <v>2398</v>
      </c>
      <c r="P71" s="2368" t="s">
        <v>2399</v>
      </c>
      <c r="Q71" s="2361">
        <f ca="1">C13</f>
        <v>1613</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2564</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4" t="s">
        <v>3035</v>
      </c>
      <c r="E1" s="2348" t="s">
        <v>869</v>
      </c>
      <c r="F1" s="2349">
        <f ca="1">J53</f>
        <v>31.439999999999998</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12886</v>
      </c>
      <c r="C2" s="2039"/>
      <c r="D2" s="2037"/>
      <c r="E2" s="2038"/>
      <c r="F2" s="2038"/>
      <c r="G2" s="1573"/>
      <c r="H2" s="2039"/>
      <c r="I2" s="2039"/>
      <c r="J2" s="2039"/>
      <c r="K2" s="2040"/>
      <c r="L2" s="2039"/>
      <c r="M2" s="2039"/>
    </row>
    <row r="3" spans="1:33" ht="18" customHeight="1" thickBot="1">
      <c r="A3" s="831" t="s">
        <v>794</v>
      </c>
      <c r="B3" s="832">
        <f ca="1">IF(ISERROR(B2*10000/F43),0,ROUND(B2*10000/F43,0))</f>
        <v>4341</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972</v>
      </c>
      <c r="D5" s="2457" t="s">
        <v>2458</v>
      </c>
      <c r="E5" s="2451"/>
      <c r="F5" s="2452"/>
      <c r="G5" s="1575"/>
      <c r="H5" s="779">
        <v>1</v>
      </c>
      <c r="I5" s="780" t="s">
        <v>2455</v>
      </c>
      <c r="J5" s="55">
        <f ca="1">J6+J10+J12</f>
        <v>0</v>
      </c>
      <c r="K5" s="2457" t="s">
        <v>2458</v>
      </c>
      <c r="L5" s="2451"/>
      <c r="M5" s="2452"/>
    </row>
    <row r="6" spans="1:33" ht="18" customHeight="1">
      <c r="A6" s="1812" t="s">
        <v>1823</v>
      </c>
      <c r="B6" s="3454" t="s">
        <v>2460</v>
      </c>
      <c r="C6" s="781">
        <f ca="1">ROUND(F6*F8*F7*(1-F9)/10000,0)</f>
        <v>972</v>
      </c>
      <c r="D6" s="2458" t="s">
        <v>2459</v>
      </c>
      <c r="E6" s="782" t="s">
        <v>1737</v>
      </c>
      <c r="F6" s="783">
        <f ca="1">INDIRECT("'数据-取费表'!u"&amp;$G$1)</f>
        <v>900</v>
      </c>
      <c r="G6" s="1575"/>
      <c r="H6" s="2465" t="s">
        <v>1823</v>
      </c>
      <c r="I6" s="3454" t="s">
        <v>2460</v>
      </c>
      <c r="J6" s="781">
        <f ca="1">ROUND(M6*M8*M7*(1-M9)/10000,0)</f>
        <v>0</v>
      </c>
      <c r="K6" s="339" t="s">
        <v>636</v>
      </c>
      <c r="L6" s="782" t="s">
        <v>1737</v>
      </c>
      <c r="M6" s="783">
        <f ca="1">INDIRECT("'数据-取费表'!z"&amp;$G$1)</f>
        <v>0</v>
      </c>
    </row>
    <row r="7" spans="1:33" ht="18" customHeight="1">
      <c r="A7" s="2461"/>
      <c r="B7" s="3455"/>
      <c r="C7" s="786"/>
      <c r="D7" s="787"/>
      <c r="E7" s="782" t="s">
        <v>638</v>
      </c>
      <c r="F7" s="783">
        <f ca="1">IF(INDIRECT("'数据-取费表'!ah"&amp;$G$1)="",INDIRECT("'数据-取费表'!k"&amp;$G$1),INDIRECT("'数据-取费表'!ah"&amp;$G$1))</f>
        <v>947</v>
      </c>
      <c r="G7" s="1575"/>
      <c r="H7" s="2450"/>
      <c r="I7" s="3455"/>
      <c r="J7" s="786"/>
      <c r="K7" s="787"/>
      <c r="L7" s="782" t="s">
        <v>638</v>
      </c>
      <c r="M7" s="783">
        <f ca="1">F7</f>
        <v>947</v>
      </c>
    </row>
    <row r="8" spans="1:33" ht="18" customHeight="1">
      <c r="A8" s="2454"/>
      <c r="B8" s="3456"/>
      <c r="C8" s="786"/>
      <c r="D8" s="787"/>
      <c r="E8" s="782" t="s">
        <v>639</v>
      </c>
      <c r="F8" s="783">
        <f ca="1">INDIRECT("'数据-取费表'!ai"&amp;$G$1)</f>
        <v>12</v>
      </c>
      <c r="G8" s="1575"/>
      <c r="H8" s="2450"/>
      <c r="I8" s="3456"/>
      <c r="J8" s="786"/>
      <c r="K8" s="787"/>
      <c r="L8" s="782" t="s">
        <v>639</v>
      </c>
      <c r="M8" s="783">
        <f ca="1">INDIRECT("'数据-取费表'!ai"&amp;$G$1)</f>
        <v>12</v>
      </c>
    </row>
    <row r="9" spans="1:33" ht="18" customHeight="1">
      <c r="A9" s="784"/>
      <c r="B9" s="3457"/>
      <c r="C9" s="786"/>
      <c r="D9" s="787"/>
      <c r="E9" s="782" t="s">
        <v>1740</v>
      </c>
      <c r="F9" s="792">
        <f ca="1">INDIRECT("'数据-取费表'!w"&amp;$G$1)</f>
        <v>0.05</v>
      </c>
      <c r="G9" s="1575"/>
      <c r="H9" s="2466"/>
      <c r="I9" s="3456"/>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13915</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10061</v>
      </c>
      <c r="D14" s="3180" t="s">
        <v>1744</v>
      </c>
      <c r="E14" s="3181"/>
      <c r="F14" s="803"/>
      <c r="G14" s="1575"/>
      <c r="H14" s="1631" t="s">
        <v>1823</v>
      </c>
      <c r="I14" s="2213" t="s">
        <v>2822</v>
      </c>
      <c r="J14" s="53">
        <f ca="1">C29</f>
        <v>13915</v>
      </c>
      <c r="K14" s="26"/>
      <c r="L14" s="799"/>
      <c r="M14" s="800"/>
    </row>
    <row r="15" spans="1:33" s="2046" customFormat="1" ht="18" customHeight="1" thickBot="1">
      <c r="A15" s="1630" t="s">
        <v>1831</v>
      </c>
      <c r="B15" s="782" t="s">
        <v>647</v>
      </c>
      <c r="C15" s="53">
        <f ca="1">ROUND(C14*F15,0)</f>
        <v>503</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1380</v>
      </c>
      <c r="K16" s="1803" t="s">
        <v>1749</v>
      </c>
      <c r="L16" s="3182"/>
      <c r="M16" s="2452"/>
    </row>
    <row r="17" spans="1:33" s="2046" customFormat="1" ht="18" customHeight="1">
      <c r="A17" s="1630" t="s">
        <v>1886</v>
      </c>
      <c r="B17" s="782" t="s">
        <v>653</v>
      </c>
      <c r="C17" s="53">
        <f ca="1">ROUND(F17*(F43+INDIRECT("'数据-取费表'!S"&amp;$G$1))/10000,0)</f>
        <v>671</v>
      </c>
      <c r="D17" s="782" t="s">
        <v>654</v>
      </c>
      <c r="E17" s="782" t="s">
        <v>655</v>
      </c>
      <c r="F17" s="56">
        <f>'数据-取费表'!B35</f>
        <v>200</v>
      </c>
      <c r="G17" s="1576"/>
      <c r="H17" s="1631" t="s">
        <v>1823</v>
      </c>
      <c r="I17" s="782" t="s">
        <v>656</v>
      </c>
      <c r="J17" s="53">
        <f ca="1">ROUND(IF(项目基本情况!B11="自然人",J6*M17/(1+'数据-取费表'!C42),J18+J19+J20),0)</f>
        <v>1171</v>
      </c>
      <c r="K17" s="3180" t="s">
        <v>657</v>
      </c>
      <c r="L17" s="3179"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151</v>
      </c>
      <c r="D18" s="782" t="s">
        <v>1745</v>
      </c>
      <c r="E18" s="782" t="s">
        <v>649</v>
      </c>
      <c r="F18" s="807">
        <f>'数据-取费表'!B36</f>
        <v>1.4999999999999999E-2</v>
      </c>
      <c r="G18" s="1576"/>
      <c r="H18" s="1630" t="s">
        <v>1830</v>
      </c>
      <c r="I18" s="782" t="s">
        <v>1754</v>
      </c>
      <c r="J18" s="53">
        <f ca="1">ROUND(J6*M18/(1+'数据-取费表'!C42),1)</f>
        <v>0</v>
      </c>
      <c r="K18" s="3179"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11386</v>
      </c>
      <c r="D19" s="259" t="s">
        <v>663</v>
      </c>
      <c r="E19" s="3184"/>
      <c r="F19" s="56"/>
      <c r="G19" s="1575"/>
      <c r="H19" s="1630" t="s">
        <v>1831</v>
      </c>
      <c r="I19" s="782" t="s">
        <v>664</v>
      </c>
      <c r="J19" s="53">
        <f ca="1">IF(K19="按租金收入计税",ROUND(J6*M19/(1+'数据-取费表'!C42),1),ROUND(C29*F33*0.7,1))</f>
        <v>1168.9000000000001</v>
      </c>
      <c r="K19" s="809" t="s">
        <v>665</v>
      </c>
      <c r="L19" s="782" t="s">
        <v>649</v>
      </c>
      <c r="M19" s="807">
        <f>IF(K19="按租金收入计税",'数据-取费表'!B51,'数据-取费表'!B50)</f>
        <v>1.2E-2</v>
      </c>
    </row>
    <row r="20" spans="1:33" s="2046" customFormat="1" ht="18" customHeight="1">
      <c r="A20" s="1631" t="s">
        <v>1888</v>
      </c>
      <c r="B20" s="782" t="s">
        <v>666</v>
      </c>
      <c r="C20" s="53">
        <f ca="1">ROUND(C19*F20,0)</f>
        <v>285</v>
      </c>
      <c r="D20" s="810" t="s">
        <v>1758</v>
      </c>
      <c r="E20" s="782" t="s">
        <v>649</v>
      </c>
      <c r="F20" s="807">
        <f>'数据-取费表'!B37</f>
        <v>2.5000000000000001E-2</v>
      </c>
      <c r="G20" s="1576"/>
      <c r="H20" s="1633" t="s">
        <v>1832</v>
      </c>
      <c r="I20" s="339" t="s">
        <v>1759</v>
      </c>
      <c r="J20" s="54">
        <f ca="1">ROUND(M20*M21/10000,0)</f>
        <v>2</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10727.57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4"/>
      <c r="F22" s="56"/>
      <c r="G22" s="1575"/>
      <c r="H22" s="1631" t="s">
        <v>1888</v>
      </c>
      <c r="I22" s="782" t="s">
        <v>676</v>
      </c>
      <c r="J22" s="53">
        <f ca="1">ROUND(J14*M22,0)</f>
        <v>209</v>
      </c>
      <c r="K22" s="3179"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697</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9"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4"/>
      <c r="F25" s="56"/>
      <c r="G25" s="1575"/>
      <c r="H25" s="1811" t="s">
        <v>1775</v>
      </c>
      <c r="I25" s="2959" t="s">
        <v>2819</v>
      </c>
      <c r="J25" s="790">
        <f ca="1">J5-J16</f>
        <v>-1380</v>
      </c>
      <c r="K25" s="2509" t="s">
        <v>1776</v>
      </c>
      <c r="L25" s="2510"/>
      <c r="M25" s="2511"/>
    </row>
    <row r="26" spans="1:33" ht="18" customHeight="1">
      <c r="A26" s="1630" t="s">
        <v>1830</v>
      </c>
      <c r="B26" s="782" t="s">
        <v>2435</v>
      </c>
      <c r="C26" s="53">
        <f ca="1">ROUND((C19+C20)*F26,0)</f>
        <v>350</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13915</v>
      </c>
      <c r="D29" s="2506"/>
      <c r="E29" s="2507"/>
      <c r="F29" s="2508"/>
      <c r="G29" s="1576"/>
      <c r="H29" s="821" t="s">
        <v>1786</v>
      </c>
      <c r="I29" s="822" t="s">
        <v>1787</v>
      </c>
      <c r="J29" s="823">
        <f ca="1">ROUND(J26/(1+F40)^F41,0)</f>
        <v>0</v>
      </c>
      <c r="K29" s="824" t="s">
        <v>1788</v>
      </c>
      <c r="L29" s="825"/>
      <c r="M29" s="826">
        <f ca="1">INDIRECT("'数据-取费表'!k"&amp;$G$1)</f>
        <v>29687.75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404</v>
      </c>
      <c r="D30" s="1803" t="s">
        <v>1749</v>
      </c>
      <c r="E30" s="3182"/>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164.5</v>
      </c>
      <c r="D31" s="3180" t="s">
        <v>657</v>
      </c>
      <c r="E31" s="3179" t="s">
        <v>690</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1754</v>
      </c>
      <c r="C32" s="53">
        <f ca="1">ROUND(C6*F32/(1+'数据-取费表'!C42),1)</f>
        <v>51.8</v>
      </c>
      <c r="D32" s="3179"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111.1</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1.6</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10727.57</v>
      </c>
      <c r="G35" s="2044"/>
      <c r="H35" s="2047"/>
      <c r="I35" s="835" t="s">
        <v>1813</v>
      </c>
      <c r="J35" s="836">
        <f ca="1">ROUND(C13*J36,0)</f>
        <v>1183</v>
      </c>
      <c r="K35" s="2060"/>
      <c r="L35" s="2059"/>
      <c r="M35" s="2059"/>
    </row>
    <row r="36" spans="1:18" ht="18" customHeight="1">
      <c r="A36" s="1631" t="s">
        <v>1888</v>
      </c>
      <c r="B36" s="782" t="s">
        <v>676</v>
      </c>
      <c r="C36" s="53">
        <f ca="1">ROUND(C29*F36,1)</f>
        <v>208.7</v>
      </c>
      <c r="D36" s="3179"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20.9</v>
      </c>
      <c r="D37" s="3179"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9.6999999999999993</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568</v>
      </c>
      <c r="D39" s="2509" t="s">
        <v>1776</v>
      </c>
      <c r="E39" s="2510"/>
      <c r="F39" s="2511"/>
      <c r="G39" s="2044"/>
      <c r="H39" s="2059"/>
      <c r="I39" s="835" t="s">
        <v>1817</v>
      </c>
      <c r="J39" s="843">
        <f ca="1">ROUND(J35/C39,3)</f>
        <v>2.0830000000000002</v>
      </c>
      <c r="K39" s="2065"/>
      <c r="L39" s="2059"/>
      <c r="M39" s="2059"/>
    </row>
    <row r="40" spans="1:18" ht="18" customHeight="1">
      <c r="A40" s="779" t="s">
        <v>1779</v>
      </c>
      <c r="B40" s="2214" t="s">
        <v>2298</v>
      </c>
      <c r="C40" s="781">
        <f ca="1">ROUND(C39*(1-((1+F42)/(1+F40))^F41)/(F40-F42),0)</f>
        <v>12886</v>
      </c>
      <c r="D40" s="812" t="s">
        <v>704</v>
      </c>
      <c r="E40" s="782" t="s">
        <v>2416</v>
      </c>
      <c r="F40" s="792">
        <f ca="1">INDIRECT("'数据-取费表'!I"&amp;$G$1)</f>
        <v>0.05</v>
      </c>
      <c r="G40" s="2044"/>
      <c r="H40" s="2044"/>
      <c r="I40" s="835" t="s">
        <v>1818</v>
      </c>
      <c r="J40" s="843">
        <f ca="1">1-J39</f>
        <v>-1.0830000000000002</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31.439999999999998</v>
      </c>
      <c r="G41" s="2044"/>
      <c r="H41" s="1970"/>
      <c r="I41" s="841" t="s">
        <v>1819</v>
      </c>
      <c r="J41" s="844"/>
      <c r="K41" s="2064"/>
      <c r="L41" s="1970"/>
      <c r="M41" s="1970"/>
    </row>
    <row r="42" spans="1:18" ht="18" customHeight="1">
      <c r="A42" s="788"/>
      <c r="B42" s="789"/>
      <c r="C42" s="790"/>
      <c r="D42" s="814"/>
      <c r="E42" s="782" t="s">
        <v>1785</v>
      </c>
      <c r="F42" s="792">
        <f ca="1">INDIRECT("'数据-取费表'!v"&amp;$G$1)</f>
        <v>0.03</v>
      </c>
      <c r="G42" s="2044"/>
      <c r="H42" s="1970"/>
      <c r="I42" s="845" t="s">
        <v>1820</v>
      </c>
      <c r="J42" s="843">
        <f ca="1">ROUND(C13/C40,3)</f>
        <v>1.08</v>
      </c>
      <c r="K42" s="2064"/>
      <c r="L42" s="1970"/>
      <c r="M42" s="1970"/>
    </row>
    <row r="43" spans="1:18" ht="18" customHeight="1" thickBot="1">
      <c r="A43" s="821" t="s">
        <v>1786</v>
      </c>
      <c r="B43" s="822" t="s">
        <v>1809</v>
      </c>
      <c r="C43" s="823">
        <f ca="1">ROUND(C40*10000/F43,0)</f>
        <v>4341</v>
      </c>
      <c r="D43" s="824" t="s">
        <v>1810</v>
      </c>
      <c r="E43" s="825" t="s">
        <v>1811</v>
      </c>
      <c r="F43" s="826">
        <f ca="1">INDIRECT("'数据-取费表'!k"&amp;$G$1)</f>
        <v>29687.75</v>
      </c>
      <c r="G43" s="2044"/>
      <c r="H43" s="1970"/>
      <c r="I43" s="845" t="s">
        <v>1821</v>
      </c>
      <c r="J43" s="846">
        <f ca="1">1-J42</f>
        <v>-8.0000000000000071E-2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-16510</v>
      </c>
      <c r="D46" s="2067"/>
      <c r="E46" s="2067"/>
      <c r="F46" s="2067"/>
      <c r="I46" s="2339" t="s">
        <v>2340</v>
      </c>
      <c r="J46" s="2340"/>
      <c r="K46" s="2341"/>
      <c r="L46" s="3105">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6" t="s">
        <v>2341</v>
      </c>
      <c r="J47" s="2342" t="s">
        <v>3038</v>
      </c>
      <c r="K47" s="3102" t="s">
        <v>2346</v>
      </c>
      <c r="L47" s="3106">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5" t="s">
        <v>2342</v>
      </c>
      <c r="J48" s="2343" t="s">
        <v>2347</v>
      </c>
      <c r="K48" s="3103" t="s">
        <v>2348</v>
      </c>
      <c r="L48" s="1890">
        <f ca="1">INDIRECT("'数据-取费表'!f"&amp;$G$1)</f>
        <v>33.94</v>
      </c>
      <c r="O48" s="2359" t="s">
        <v>2376</v>
      </c>
      <c r="P48" s="2360" t="s">
        <v>2402</v>
      </c>
      <c r="Q48" s="2361">
        <f ca="1">C40+J29</f>
        <v>12886</v>
      </c>
      <c r="R48" s="2360" t="s">
        <v>2377</v>
      </c>
    </row>
    <row r="49" spans="1:18" s="2041" customFormat="1" ht="18" customHeight="1" thickBot="1">
      <c r="A49" s="784"/>
      <c r="B49" s="785"/>
      <c r="C49" s="786"/>
      <c r="D49" s="787"/>
      <c r="E49" s="782" t="s">
        <v>638</v>
      </c>
      <c r="F49" s="783">
        <f ca="1">F7</f>
        <v>947</v>
      </c>
      <c r="G49" s="2072"/>
      <c r="H49" s="2075"/>
      <c r="I49" s="3075" t="s">
        <v>2343</v>
      </c>
      <c r="J49" s="2344"/>
      <c r="K49" s="3104" t="s">
        <v>2349</v>
      </c>
      <c r="L49" s="2345"/>
      <c r="O49" s="2359" t="s">
        <v>2378</v>
      </c>
      <c r="P49" s="2360" t="s">
        <v>2403</v>
      </c>
      <c r="Q49" s="2361">
        <f ca="1">J60</f>
        <v>6039</v>
      </c>
      <c r="R49" s="2360" t="s">
        <v>2379</v>
      </c>
    </row>
    <row r="50" spans="1:18" s="2041" customFormat="1" ht="18" customHeight="1" thickBot="1">
      <c r="A50" s="784"/>
      <c r="B50" s="785"/>
      <c r="C50" s="786"/>
      <c r="D50" s="787"/>
      <c r="E50" s="782" t="s">
        <v>639</v>
      </c>
      <c r="F50" s="783">
        <f ca="1">F8</f>
        <v>12</v>
      </c>
      <c r="G50" s="2077"/>
      <c r="H50" s="2075"/>
      <c r="I50" s="3075" t="s">
        <v>2344</v>
      </c>
      <c r="J50" s="3100">
        <f>SUMPRODUCT((I63:I65=J47)*(J62:L62=J48)*(J63:L65))</f>
        <v>60</v>
      </c>
      <c r="K50" s="3104" t="s">
        <v>2350</v>
      </c>
      <c r="L50" s="2345"/>
      <c r="O50" s="2362" t="s">
        <v>2380</v>
      </c>
      <c r="P50" s="2360" t="s">
        <v>2404</v>
      </c>
      <c r="Q50" s="2361">
        <f ca="1">C29</f>
        <v>13915</v>
      </c>
      <c r="R50" s="2360" t="s">
        <v>2377</v>
      </c>
    </row>
    <row r="51" spans="1:18" s="2041" customFormat="1" ht="18" customHeight="1" thickBot="1">
      <c r="A51" s="784"/>
      <c r="B51" s="785"/>
      <c r="C51" s="786"/>
      <c r="D51" s="787"/>
      <c r="E51" s="782" t="s">
        <v>640</v>
      </c>
      <c r="F51" s="2332"/>
      <c r="H51" s="2075"/>
      <c r="I51" s="3097" t="s">
        <v>2345</v>
      </c>
      <c r="J51" s="3101">
        <f>IF(J49="",J50,J49+J50-YEAR('数据-取费表'!B2))</f>
        <v>60</v>
      </c>
      <c r="K51" s="3075" t="s">
        <v>2351</v>
      </c>
      <c r="L51" s="3107">
        <f ca="1">ROUND(-PV(INDIRECT("'数据-取费表'!h"&amp;$G$1),L48,(C39-C13*J36),0),0)</f>
        <v>-10595</v>
      </c>
      <c r="O51" s="2362" t="s">
        <v>2381</v>
      </c>
      <c r="P51" s="2360" t="s">
        <v>2382</v>
      </c>
      <c r="Q51" s="2363">
        <f ca="1">J58</f>
        <v>0.434</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8" t="s">
        <v>2418</v>
      </c>
      <c r="J52" s="2346"/>
      <c r="K52" s="3098"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9" t="s">
        <v>2966</v>
      </c>
      <c r="J53" s="3178">
        <f ca="1">IF(M47="住宅",IF(D1="——",MAX(J51,L48),MAX(J51,L48-'数据-取费表'!B20)),IF(D1="——",MIN(J51,L48),MIN(J51,L48-'数据-取费表'!B20)))</f>
        <v>31.439999999999998</v>
      </c>
      <c r="K53" s="3465" t="s">
        <v>2954</v>
      </c>
      <c r="L53" s="3466"/>
      <c r="O53" s="2362" t="s">
        <v>2385</v>
      </c>
      <c r="P53" s="2360" t="s">
        <v>2386</v>
      </c>
      <c r="Q53" s="2361">
        <f ca="1">J53</f>
        <v>31.439999999999998</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18925</v>
      </c>
      <c r="R54" s="2364" t="s">
        <v>2389</v>
      </c>
    </row>
    <row r="55" spans="1:18" s="2041" customFormat="1" ht="18" customHeight="1" thickTop="1" thickBot="1">
      <c r="A55" s="795">
        <v>2</v>
      </c>
      <c r="B55" s="796" t="s">
        <v>644</v>
      </c>
      <c r="C55" s="797">
        <f ca="1">C13</f>
        <v>13915</v>
      </c>
      <c r="D55" s="793"/>
      <c r="E55" s="793"/>
      <c r="F55" s="798"/>
      <c r="I55" s="3110" t="s">
        <v>2352</v>
      </c>
      <c r="J55" s="3050">
        <f ca="1">ROUND(IF(J47="钢混",J57/J50,1-(1-2%)*(J50-J57)/J50),3)</f>
        <v>0.434</v>
      </c>
      <c r="K55" s="3111" t="s">
        <v>2353</v>
      </c>
      <c r="L55" s="2347"/>
      <c r="O55" s="2365" t="s">
        <v>2408</v>
      </c>
      <c r="P55" s="1575"/>
      <c r="Q55" s="1586"/>
      <c r="R55" s="1575"/>
    </row>
    <row r="56" spans="1:18" s="2041" customFormat="1" ht="42.75" customHeight="1" thickBot="1">
      <c r="A56" s="1632"/>
      <c r="B56" s="2213" t="s">
        <v>2297</v>
      </c>
      <c r="C56" s="53">
        <f ca="1">C29</f>
        <v>13915</v>
      </c>
      <c r="D56" s="3179"/>
      <c r="E56" s="782"/>
      <c r="F56" s="807"/>
      <c r="I56" s="3112" t="s">
        <v>2354</v>
      </c>
      <c r="J56" s="3122"/>
      <c r="K56" s="3075"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231</v>
      </c>
      <c r="D57" s="26" t="s">
        <v>1749</v>
      </c>
      <c r="E57" s="3184"/>
      <c r="F57" s="56"/>
      <c r="I57" s="3113" t="s">
        <v>2355</v>
      </c>
      <c r="J57" s="3114">
        <f ca="1">IF(OR(M47="住宅",J51&lt;L48,J56="是"),"——",J51-L48)</f>
        <v>26.060000000000002</v>
      </c>
      <c r="K57" s="3075" t="s">
        <v>2360</v>
      </c>
      <c r="L57" s="1890" t="str">
        <f ca="1">IF(L48&lt;J51,"——",IF(L55="比较法",L49,IF(L55="基准地价",L50,L51)))</f>
        <v>——</v>
      </c>
      <c r="O57" s="2359" t="s">
        <v>2376</v>
      </c>
      <c r="P57" s="2360" t="s">
        <v>2402</v>
      </c>
      <c r="Q57" s="2361">
        <f ca="1">C40+J29</f>
        <v>12886</v>
      </c>
      <c r="R57" s="2360" t="s">
        <v>2377</v>
      </c>
    </row>
    <row r="58" spans="1:18" s="2041" customFormat="1" ht="28.5" customHeight="1" thickBot="1">
      <c r="A58" s="1631" t="s">
        <v>1823</v>
      </c>
      <c r="B58" s="782" t="s">
        <v>656</v>
      </c>
      <c r="C58" s="53">
        <f ca="1">ROUND(IF(项目基本情况!B11="自然人",C47*F58,C59+C60+C61),1)</f>
        <v>1.6</v>
      </c>
      <c r="D58" s="3180" t="s">
        <v>657</v>
      </c>
      <c r="E58" s="3179" t="s">
        <v>690</v>
      </c>
      <c r="F58" s="808">
        <f ca="1">IF(项目基本情况!B11="企业","",IF(INDIRECT("'数据-取费表'!c"&amp;$G$1)="住宅",5%,IF(F48*F49*F50/12/(1+'数据-取费表'!C42)&gt;20000,12%,7%)))</f>
        <v>7.0000000000000007E-2</v>
      </c>
      <c r="I58" s="3113" t="s">
        <v>2356</v>
      </c>
      <c r="J58" s="3051">
        <f ca="1">IF(J55&lt;0.4,0.4,J55)</f>
        <v>0.434</v>
      </c>
      <c r="K58" s="3075"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9" t="s">
        <v>661</v>
      </c>
      <c r="E59" s="782" t="s">
        <v>649</v>
      </c>
      <c r="F59" s="807">
        <f t="shared" ref="F59:F65" si="0">F32</f>
        <v>5.6000000000000001E-2</v>
      </c>
      <c r="I59" s="3113" t="s">
        <v>2357</v>
      </c>
      <c r="J59" s="3114">
        <f ca="1">IF(OR(M47="住宅",J51&lt;L48,J56="是"),"——",ROUND(C29*J58,0))</f>
        <v>6039</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9" t="str">
        <f>D33</f>
        <v>按租金收入计税</v>
      </c>
      <c r="E60" s="782" t="s">
        <v>649</v>
      </c>
      <c r="F60" s="807">
        <f t="shared" si="0"/>
        <v>0.12</v>
      </c>
      <c r="I60" s="3115" t="s">
        <v>2358</v>
      </c>
      <c r="J60" s="3116">
        <f ca="1">IF(OR(M47="住宅",J51&lt;L48,J56="是"),"0",ROUND(J59/(1+J52)^J53,0))</f>
        <v>6039</v>
      </c>
      <c r="K60" s="3117" t="s">
        <v>2363</v>
      </c>
      <c r="L60" s="3116">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1.6</v>
      </c>
      <c r="D61" s="812" t="s">
        <v>669</v>
      </c>
      <c r="E61" s="782" t="s">
        <v>670</v>
      </c>
      <c r="F61" s="638">
        <f t="shared" si="0"/>
        <v>1.5</v>
      </c>
      <c r="K61" s="2068"/>
      <c r="O61" s="2362" t="s">
        <v>2383</v>
      </c>
      <c r="P61" s="2360" t="s">
        <v>2391</v>
      </c>
      <c r="Q61" s="2361" t="e">
        <f ca="1">L58</f>
        <v>#DIV/0!</v>
      </c>
      <c r="R61" s="2364" t="s">
        <v>2392</v>
      </c>
    </row>
    <row r="62" spans="1:18" s="2041" customFormat="1" ht="15.75" thickBot="1">
      <c r="A62" s="813"/>
      <c r="B62" s="791"/>
      <c r="C62" s="69"/>
      <c r="D62" s="814"/>
      <c r="E62" s="782" t="s">
        <v>674</v>
      </c>
      <c r="F62" s="783">
        <f t="shared" ca="1" si="0"/>
        <v>10727.57</v>
      </c>
      <c r="I62" s="3118" t="s">
        <v>2364</v>
      </c>
      <c r="J62" s="3119" t="s">
        <v>2365</v>
      </c>
      <c r="K62" s="3119" t="s">
        <v>2366</v>
      </c>
      <c r="L62" s="3119" t="s">
        <v>2347</v>
      </c>
      <c r="M62" s="3120" t="s">
        <v>2931</v>
      </c>
      <c r="O62" s="2362" t="s">
        <v>2385</v>
      </c>
      <c r="P62" s="2360" t="str">
        <f>K59</f>
        <v>建设期及建筑物耐用年限下的土地年期修正系数Kn</v>
      </c>
      <c r="Q62" s="2361" t="e">
        <f ca="1">L59</f>
        <v>#DIV/0!</v>
      </c>
      <c r="R62" s="2364" t="s">
        <v>2394</v>
      </c>
    </row>
    <row r="63" spans="1:18" s="2041" customFormat="1" ht="15.75" thickBot="1">
      <c r="A63" s="1631" t="s">
        <v>1888</v>
      </c>
      <c r="B63" s="782" t="s">
        <v>676</v>
      </c>
      <c r="C63" s="53">
        <f ca="1">ROUND(C56*F63,1)</f>
        <v>208.7</v>
      </c>
      <c r="D63" s="3179" t="s">
        <v>691</v>
      </c>
      <c r="E63" s="782" t="s">
        <v>649</v>
      </c>
      <c r="F63" s="815">
        <f t="shared" ca="1" si="0"/>
        <v>1.4999999999999999E-2</v>
      </c>
      <c r="I63" s="3118" t="s">
        <v>2367</v>
      </c>
      <c r="J63" s="3119">
        <v>70</v>
      </c>
      <c r="K63" s="3119">
        <v>50</v>
      </c>
      <c r="L63" s="3119">
        <v>80</v>
      </c>
      <c r="M63" s="3121">
        <v>0.02</v>
      </c>
      <c r="O63" s="2359" t="s">
        <v>2388</v>
      </c>
      <c r="P63" s="2360" t="s">
        <v>2405</v>
      </c>
      <c r="Q63" s="2361">
        <f ca="1">Q57+Q58</f>
        <v>12886</v>
      </c>
      <c r="R63" s="2364" t="s">
        <v>2389</v>
      </c>
    </row>
    <row r="64" spans="1:18" s="2041" customFormat="1" ht="16.5" thickBot="1">
      <c r="A64" s="1631" t="s">
        <v>1889</v>
      </c>
      <c r="B64" s="782" t="s">
        <v>679</v>
      </c>
      <c r="C64" s="53">
        <f ca="1">ROUND(C55*F64,1)</f>
        <v>20.9</v>
      </c>
      <c r="D64" s="3179" t="s">
        <v>680</v>
      </c>
      <c r="E64" s="782" t="s">
        <v>649</v>
      </c>
      <c r="F64" s="816">
        <f t="shared" ca="1" si="0"/>
        <v>1.5E-3</v>
      </c>
      <c r="I64" s="3118" t="s">
        <v>2368</v>
      </c>
      <c r="J64" s="3119">
        <v>50</v>
      </c>
      <c r="K64" s="3119">
        <v>35</v>
      </c>
      <c r="L64" s="3119">
        <v>60</v>
      </c>
      <c r="M64" s="844">
        <v>0</v>
      </c>
      <c r="O64" s="2365" t="s">
        <v>2412</v>
      </c>
      <c r="P64" s="1575"/>
      <c r="Q64" s="1586"/>
      <c r="R64" s="1575"/>
    </row>
    <row r="65" spans="1:18" s="2041" customFormat="1" ht="15.75" thickBot="1">
      <c r="A65" s="1631" t="s">
        <v>1890</v>
      </c>
      <c r="B65" s="782" t="s">
        <v>666</v>
      </c>
      <c r="C65" s="53">
        <f ca="1">ROUND(C47*F65,1)</f>
        <v>0</v>
      </c>
      <c r="D65" s="3179" t="s">
        <v>683</v>
      </c>
      <c r="E65" s="782" t="s">
        <v>649</v>
      </c>
      <c r="F65" s="792">
        <f t="shared" ca="1" si="0"/>
        <v>0.01</v>
      </c>
      <c r="I65" s="3118" t="s">
        <v>2369</v>
      </c>
      <c r="J65" s="3119">
        <v>40</v>
      </c>
      <c r="K65" s="3119">
        <v>30</v>
      </c>
      <c r="L65" s="3119">
        <v>50</v>
      </c>
      <c r="M65" s="3121">
        <v>0.02</v>
      </c>
      <c r="O65" s="2356" t="s">
        <v>2372</v>
      </c>
      <c r="P65" s="2357" t="s">
        <v>2373</v>
      </c>
      <c r="Q65" s="2358" t="s">
        <v>2374</v>
      </c>
      <c r="R65" s="2357" t="s">
        <v>2375</v>
      </c>
    </row>
    <row r="66" spans="1:18" s="2041" customFormat="1" ht="24.75" thickBot="1">
      <c r="A66" s="795" t="s">
        <v>1775</v>
      </c>
      <c r="B66" s="2960" t="s">
        <v>2819</v>
      </c>
      <c r="C66" s="797">
        <f ca="1">C47-C57</f>
        <v>-231</v>
      </c>
      <c r="D66" s="3180" t="s">
        <v>700</v>
      </c>
      <c r="E66" s="3183"/>
      <c r="F66" s="818"/>
      <c r="K66" s="2068"/>
      <c r="O66" s="2359" t="s">
        <v>2376</v>
      </c>
      <c r="P66" s="2360" t="s">
        <v>2402</v>
      </c>
      <c r="Q66" s="2361">
        <f ca="1">C40+J29</f>
        <v>12886</v>
      </c>
      <c r="R66" s="2360" t="s">
        <v>2377</v>
      </c>
    </row>
    <row r="67" spans="1:18" s="2041" customFormat="1" ht="20.25" thickBot="1">
      <c r="A67" s="779" t="s">
        <v>1779</v>
      </c>
      <c r="B67" s="2214" t="s">
        <v>2298</v>
      </c>
      <c r="C67" s="781">
        <f ca="1">ROUND(C66*(1-((1+F69)/(1+F67))^F68)/(F67-F69),0)</f>
        <v>-3624</v>
      </c>
      <c r="D67" s="812" t="s">
        <v>704</v>
      </c>
      <c r="E67" s="782" t="s">
        <v>705</v>
      </c>
      <c r="F67" s="792">
        <f ca="1">F40</f>
        <v>0.05</v>
      </c>
      <c r="K67" s="2068"/>
      <c r="O67" s="2359" t="s">
        <v>2378</v>
      </c>
      <c r="P67" s="2360" t="s">
        <v>2409</v>
      </c>
      <c r="Q67" s="2361">
        <f ca="1">L60</f>
        <v>0</v>
      </c>
      <c r="R67" s="2364" t="s">
        <v>2411</v>
      </c>
    </row>
    <row r="68" spans="1:18" ht="21.75" thickBot="1">
      <c r="A68" s="784"/>
      <c r="B68" s="785"/>
      <c r="C68" s="786"/>
      <c r="D68" s="819" t="s">
        <v>1807</v>
      </c>
      <c r="E68" s="782" t="s">
        <v>708</v>
      </c>
      <c r="F68" s="820">
        <f ca="1">F41</f>
        <v>31.439999999999998</v>
      </c>
      <c r="O68" s="2362" t="s">
        <v>2380</v>
      </c>
      <c r="P68" s="2360" t="s">
        <v>2410</v>
      </c>
      <c r="Q68" s="2366">
        <f ca="1">L51</f>
        <v>-10595</v>
      </c>
      <c r="R68" s="2367" t="s">
        <v>2413</v>
      </c>
    </row>
    <row r="69" spans="1:18" ht="20.25" thickBot="1">
      <c r="A69" s="788"/>
      <c r="B69" s="789"/>
      <c r="C69" s="790"/>
      <c r="D69" s="814"/>
      <c r="E69" s="782" t="s">
        <v>710</v>
      </c>
      <c r="F69" s="2332"/>
      <c r="O69" s="2362" t="s">
        <v>2381</v>
      </c>
      <c r="P69" s="2368" t="s">
        <v>2395</v>
      </c>
      <c r="Q69" s="2361">
        <f ca="1">ROUND(Q70-Q71*Q72,0)</f>
        <v>-615</v>
      </c>
      <c r="R69" s="2364"/>
    </row>
    <row r="70" spans="1:18" ht="15.75" thickBot="1">
      <c r="A70" s="821" t="s">
        <v>1786</v>
      </c>
      <c r="B70" s="822" t="s">
        <v>1809</v>
      </c>
      <c r="C70" s="823">
        <f ca="1">ROUND(C67*10000/F70,0)</f>
        <v>-1221</v>
      </c>
      <c r="D70" s="824" t="s">
        <v>1810</v>
      </c>
      <c r="E70" s="825" t="s">
        <v>1811</v>
      </c>
      <c r="F70" s="826">
        <f ca="1">F43</f>
        <v>29687.75</v>
      </c>
      <c r="O70" s="2362" t="s">
        <v>2396</v>
      </c>
      <c r="P70" s="2368" t="s">
        <v>2397</v>
      </c>
      <c r="Q70" s="2361">
        <f ca="1">C39</f>
        <v>568</v>
      </c>
      <c r="R70" s="2360" t="s">
        <v>2377</v>
      </c>
    </row>
    <row r="71" spans="1:18" ht="15.75" thickBot="1">
      <c r="O71" s="2362" t="s">
        <v>2398</v>
      </c>
      <c r="P71" s="2368" t="s">
        <v>2399</v>
      </c>
      <c r="Q71" s="2361">
        <f ca="1">C13</f>
        <v>13915</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12886</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67" t="s">
        <v>2468</v>
      </c>
      <c r="B1" s="3468"/>
      <c r="C1" s="3469"/>
      <c r="D1" s="3470">
        <f>SUM(I10,I15,I20,I21,I23)</f>
        <v>0</v>
      </c>
      <c r="E1" s="3470"/>
      <c r="F1" s="3470"/>
      <c r="G1" s="3470"/>
      <c r="H1" s="3470"/>
      <c r="I1" s="3471"/>
    </row>
    <row r="2" spans="1:9">
      <c r="A2" s="3472" t="s">
        <v>2469</v>
      </c>
      <c r="B2" s="3473" t="s">
        <v>2470</v>
      </c>
      <c r="C2" s="3473"/>
      <c r="D2" s="2468" t="s">
        <v>2471</v>
      </c>
      <c r="E2" s="2468" t="s">
        <v>2472</v>
      </c>
      <c r="F2" s="2468" t="s">
        <v>2473</v>
      </c>
      <c r="G2" s="2468" t="s">
        <v>2474</v>
      </c>
      <c r="H2" s="2468" t="s">
        <v>2475</v>
      </c>
      <c r="I2" s="2469" t="s">
        <v>2476</v>
      </c>
    </row>
    <row r="3" spans="1:9">
      <c r="A3" s="3472"/>
      <c r="B3" s="3473" t="s">
        <v>2477</v>
      </c>
      <c r="C3" s="3473"/>
      <c r="D3" s="2470"/>
      <c r="E3" s="2468"/>
      <c r="F3" s="2471"/>
      <c r="G3" s="2471"/>
      <c r="H3" s="2472"/>
      <c r="I3" s="2473">
        <f>ROUND(D3*E3*F3*G3*H3/10000,0)</f>
        <v>0</v>
      </c>
    </row>
    <row r="4" spans="1:9">
      <c r="A4" s="3472"/>
      <c r="B4" s="3473" t="s">
        <v>2478</v>
      </c>
      <c r="C4" s="3473"/>
      <c r="D4" s="2470"/>
      <c r="E4" s="2468"/>
      <c r="F4" s="2471"/>
      <c r="G4" s="2471"/>
      <c r="H4" s="2472"/>
      <c r="I4" s="2473">
        <f t="shared" ref="I4:I9" si="0">ROUND(D4*E4*F4*G4*H4/10000,0)</f>
        <v>0</v>
      </c>
    </row>
    <row r="5" spans="1:9">
      <c r="A5" s="3472"/>
      <c r="B5" s="3473" t="s">
        <v>2479</v>
      </c>
      <c r="C5" s="3473"/>
      <c r="D5" s="2470"/>
      <c r="E5" s="2468"/>
      <c r="F5" s="2471"/>
      <c r="G5" s="2471"/>
      <c r="H5" s="2472"/>
      <c r="I5" s="2473">
        <f t="shared" si="0"/>
        <v>0</v>
      </c>
    </row>
    <row r="6" spans="1:9">
      <c r="A6" s="3472"/>
      <c r="B6" s="3473" t="s">
        <v>2480</v>
      </c>
      <c r="C6" s="3473"/>
      <c r="D6" s="2470"/>
      <c r="E6" s="2468"/>
      <c r="F6" s="2471"/>
      <c r="G6" s="2471"/>
      <c r="H6" s="2472"/>
      <c r="I6" s="2473">
        <f t="shared" si="0"/>
        <v>0</v>
      </c>
    </row>
    <row r="7" spans="1:9">
      <c r="A7" s="3472"/>
      <c r="B7" s="3473" t="s">
        <v>2481</v>
      </c>
      <c r="C7" s="3473"/>
      <c r="D7" s="2470"/>
      <c r="E7" s="2468"/>
      <c r="F7" s="2471"/>
      <c r="G7" s="2471"/>
      <c r="H7" s="2472"/>
      <c r="I7" s="2473">
        <f t="shared" si="0"/>
        <v>0</v>
      </c>
    </row>
    <row r="8" spans="1:9">
      <c r="A8" s="3472"/>
      <c r="B8" s="3473" t="s">
        <v>2482</v>
      </c>
      <c r="C8" s="3473"/>
      <c r="D8" s="2470"/>
      <c r="E8" s="2468"/>
      <c r="F8" s="2471"/>
      <c r="G8" s="2471"/>
      <c r="H8" s="2472"/>
      <c r="I8" s="2473">
        <f t="shared" si="0"/>
        <v>0</v>
      </c>
    </row>
    <row r="9" spans="1:9">
      <c r="A9" s="3472"/>
      <c r="B9" s="3473" t="s">
        <v>2483</v>
      </c>
      <c r="C9" s="3473"/>
      <c r="D9" s="2470"/>
      <c r="E9" s="2468"/>
      <c r="F9" s="2471"/>
      <c r="G9" s="2471"/>
      <c r="H9" s="2472"/>
      <c r="I9" s="2473">
        <f t="shared" si="0"/>
        <v>0</v>
      </c>
    </row>
    <row r="10" spans="1:9">
      <c r="A10" s="3472"/>
      <c r="B10" s="3474" t="s">
        <v>2484</v>
      </c>
      <c r="C10" s="3474"/>
      <c r="D10" s="2474">
        <v>527</v>
      </c>
      <c r="E10" s="2474" t="e">
        <f>ROUND(D1*10000/D10/H9,0)</f>
        <v>#DIV/0!</v>
      </c>
      <c r="F10" s="2475"/>
      <c r="G10" s="2475"/>
      <c r="H10" s="2476"/>
      <c r="I10" s="2477">
        <f>SUM(I3:I9)</f>
        <v>0</v>
      </c>
    </row>
    <row r="11" spans="1:9" ht="14.25">
      <c r="A11" s="3472" t="s">
        <v>2485</v>
      </c>
      <c r="B11" s="3473" t="s">
        <v>2486</v>
      </c>
      <c r="C11" s="3473"/>
      <c r="D11" s="2470" t="s">
        <v>2487</v>
      </c>
      <c r="E11" s="2470" t="s">
        <v>2488</v>
      </c>
      <c r="F11" s="2471" t="s">
        <v>2489</v>
      </c>
      <c r="G11" s="2471" t="s">
        <v>2490</v>
      </c>
      <c r="H11" s="2478" t="s">
        <v>2491</v>
      </c>
      <c r="I11" s="2469" t="s">
        <v>2492</v>
      </c>
    </row>
    <row r="12" spans="1:9">
      <c r="A12" s="3472"/>
      <c r="B12" s="3473" t="s">
        <v>2493</v>
      </c>
      <c r="C12" s="3473"/>
      <c r="D12" s="2470"/>
      <c r="E12" s="2470"/>
      <c r="F12" s="2471"/>
      <c r="G12" s="2472"/>
      <c r="H12" s="2479"/>
      <c r="I12" s="2469">
        <f>ROUND(D12*E12*F12*G12/10000,0)</f>
        <v>0</v>
      </c>
    </row>
    <row r="13" spans="1:9">
      <c r="A13" s="3472"/>
      <c r="B13" s="3473" t="s">
        <v>2494</v>
      </c>
      <c r="C13" s="3473"/>
      <c r="D13" s="2470"/>
      <c r="E13" s="2470"/>
      <c r="F13" s="2471"/>
      <c r="G13" s="2472"/>
      <c r="H13" s="2479"/>
      <c r="I13" s="2469">
        <f>ROUND(D13*E13*F13*G13/10000,0)</f>
        <v>0</v>
      </c>
    </row>
    <row r="14" spans="1:9">
      <c r="A14" s="3472"/>
      <c r="B14" s="3473" t="s">
        <v>2495</v>
      </c>
      <c r="C14" s="3473"/>
      <c r="D14" s="2470"/>
      <c r="E14" s="2470"/>
      <c r="F14" s="2471"/>
      <c r="G14" s="2472"/>
      <c r="H14" s="2479"/>
      <c r="I14" s="2469">
        <f>ROUND(D14*E14*F14*G14/10000,0)</f>
        <v>0</v>
      </c>
    </row>
    <row r="15" spans="1:9">
      <c r="A15" s="3472"/>
      <c r="B15" s="3474" t="s">
        <v>2484</v>
      </c>
      <c r="C15" s="3474"/>
      <c r="D15" s="2474"/>
      <c r="E15" s="2474">
        <f>SUM(E12:E14)</f>
        <v>0</v>
      </c>
      <c r="F15" s="2475"/>
      <c r="G15" s="2472"/>
      <c r="H15" s="2479"/>
      <c r="I15" s="2480">
        <f>SUM(I12:I14)</f>
        <v>0</v>
      </c>
    </row>
    <row r="16" spans="1:9" ht="24">
      <c r="A16" s="3472" t="s">
        <v>2496</v>
      </c>
      <c r="B16" s="3473" t="s">
        <v>2497</v>
      </c>
      <c r="C16" s="3473"/>
      <c r="D16" s="2470" t="s">
        <v>2498</v>
      </c>
      <c r="E16" s="2481" t="s">
        <v>2499</v>
      </c>
      <c r="F16" s="2471" t="s">
        <v>2500</v>
      </c>
      <c r="G16" s="2472" t="s">
        <v>2490</v>
      </c>
      <c r="H16" s="2478" t="s">
        <v>2491</v>
      </c>
      <c r="I16" s="2469" t="s">
        <v>2492</v>
      </c>
    </row>
    <row r="17" spans="1:9" ht="14.25">
      <c r="A17" s="3472"/>
      <c r="B17" s="3473" t="s">
        <v>2501</v>
      </c>
      <c r="C17" s="3473"/>
      <c r="D17" s="2470"/>
      <c r="E17" s="2470"/>
      <c r="F17" s="2471"/>
      <c r="G17" s="2472"/>
      <c r="H17" s="2482"/>
      <c r="I17" s="2483">
        <f>ROUND(D17*E17*F17*G17/10000,0)</f>
        <v>0</v>
      </c>
    </row>
    <row r="18" spans="1:9" ht="14.25">
      <c r="A18" s="3472"/>
      <c r="B18" s="3473" t="s">
        <v>2502</v>
      </c>
      <c r="C18" s="3473"/>
      <c r="D18" s="2470"/>
      <c r="E18" s="2470"/>
      <c r="F18" s="2471"/>
      <c r="G18" s="2472"/>
      <c r="H18" s="2482"/>
      <c r="I18" s="2483">
        <f>ROUND(D18*E18*F18*G18/10000,0)</f>
        <v>0</v>
      </c>
    </row>
    <row r="19" spans="1:9" ht="14.25">
      <c r="A19" s="3472"/>
      <c r="B19" s="3473" t="s">
        <v>2503</v>
      </c>
      <c r="C19" s="3473"/>
      <c r="D19" s="2470"/>
      <c r="E19" s="2470"/>
      <c r="F19" s="2471"/>
      <c r="G19" s="2472"/>
      <c r="H19" s="2482"/>
      <c r="I19" s="2483">
        <f>ROUND(D19*E19*F19*G19/10000,0)</f>
        <v>0</v>
      </c>
    </row>
    <row r="20" spans="1:9">
      <c r="A20" s="3472"/>
      <c r="B20" s="3474" t="s">
        <v>2484</v>
      </c>
      <c r="C20" s="3474"/>
      <c r="D20" s="2474">
        <f>SUM(D17:D19)</f>
        <v>0</v>
      </c>
      <c r="E20" s="2474"/>
      <c r="F20" s="2475"/>
      <c r="G20" s="2472"/>
      <c r="H20" s="2479"/>
      <c r="I20" s="2480">
        <f>SUM(I17:I19)</f>
        <v>0</v>
      </c>
    </row>
    <row r="21" spans="1:9">
      <c r="A21" s="3472" t="s">
        <v>2504</v>
      </c>
      <c r="B21" s="3476"/>
      <c r="C21" s="3476"/>
      <c r="D21" s="3476"/>
      <c r="E21" s="3476"/>
      <c r="F21" s="3476"/>
      <c r="G21" s="3476"/>
      <c r="H21" s="2484">
        <v>0.1</v>
      </c>
      <c r="I21" s="2477">
        <f>ROUND(I10*H21,0)</f>
        <v>0</v>
      </c>
    </row>
    <row r="22" spans="1:9" ht="14.25">
      <c r="A22" s="3477" t="s">
        <v>2505</v>
      </c>
      <c r="B22" s="3478"/>
      <c r="C22" s="3479"/>
      <c r="D22" s="2485" t="s">
        <v>2506</v>
      </c>
      <c r="E22" s="2485" t="s">
        <v>2507</v>
      </c>
      <c r="F22" s="2486" t="s">
        <v>2508</v>
      </c>
      <c r="G22" s="2486" t="s">
        <v>2509</v>
      </c>
      <c r="H22" s="2478" t="s">
        <v>2510</v>
      </c>
      <c r="I22" s="2469" t="s">
        <v>2511</v>
      </c>
    </row>
    <row r="23" spans="1:9" ht="14.25" thickBot="1">
      <c r="A23" s="3480"/>
      <c r="B23" s="3481"/>
      <c r="C23" s="3482"/>
      <c r="D23" s="2487"/>
      <c r="E23" s="2487"/>
      <c r="F23" s="2487"/>
      <c r="G23" s="2488"/>
      <c r="H23" s="2489"/>
      <c r="I23" s="2490">
        <f>ROUND(E23*D23*F23*(1-G23)/10000,0)</f>
        <v>0</v>
      </c>
    </row>
    <row r="26" spans="1:9">
      <c r="A26" s="2491" t="s">
        <v>2512</v>
      </c>
      <c r="B26" s="2491"/>
      <c r="C26" s="2491"/>
      <c r="D26" s="2491"/>
      <c r="E26" s="3483">
        <f>C27-C30-C31-C32</f>
        <v>0</v>
      </c>
      <c r="F26" s="3483"/>
      <c r="G26" s="3483"/>
      <c r="H26" s="2992" t="s">
        <v>2840</v>
      </c>
    </row>
    <row r="27" spans="1:9">
      <c r="A27" s="2492">
        <v>1</v>
      </c>
      <c r="B27" s="2493" t="s">
        <v>2513</v>
      </c>
      <c r="C27" s="2493"/>
      <c r="D27" s="2493"/>
      <c r="E27" s="3484"/>
      <c r="F27" s="3484"/>
      <c r="G27" s="3484"/>
    </row>
    <row r="28" spans="1:9">
      <c r="A28" s="2494" t="s">
        <v>2514</v>
      </c>
      <c r="B28" s="2493" t="s">
        <v>2515</v>
      </c>
      <c r="C28" s="2493"/>
      <c r="D28" s="2493"/>
      <c r="E28" s="3484"/>
      <c r="F28" s="3484"/>
      <c r="G28" s="3484"/>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75"/>
      <c r="F32" s="3475"/>
      <c r="G32" s="3475"/>
    </row>
    <row r="33" spans="1:7" hidden="1">
      <c r="A33" s="3485" t="s">
        <v>2523</v>
      </c>
      <c r="B33" s="3486"/>
      <c r="C33" s="3486"/>
      <c r="D33" s="3487"/>
      <c r="E33" s="3483"/>
      <c r="F33" s="3483"/>
      <c r="G33" s="3483"/>
    </row>
    <row r="34" spans="1:7" hidden="1">
      <c r="A34" s="2496">
        <v>1</v>
      </c>
      <c r="B34" s="2493" t="s">
        <v>2524</v>
      </c>
      <c r="C34" s="2493"/>
      <c r="D34" s="2493"/>
      <c r="E34" s="3484"/>
      <c r="F34" s="3484"/>
      <c r="G34" s="3484"/>
    </row>
    <row r="35" spans="1:7" hidden="1">
      <c r="A35" s="2496">
        <v>2</v>
      </c>
      <c r="B35" s="2493" t="s">
        <v>2525</v>
      </c>
      <c r="C35" s="2493"/>
      <c r="D35" s="2493"/>
      <c r="E35" s="3484"/>
      <c r="F35" s="3484"/>
      <c r="G35" s="3484"/>
    </row>
    <row r="36" spans="1:7" hidden="1">
      <c r="A36" s="2496">
        <v>3</v>
      </c>
      <c r="B36" s="2493" t="s">
        <v>2526</v>
      </c>
      <c r="C36" s="2493"/>
      <c r="D36" s="2493"/>
      <c r="E36" s="3484"/>
      <c r="F36" s="3484"/>
      <c r="G36" s="3484"/>
    </row>
    <row r="37" spans="1:7" hidden="1">
      <c r="A37" s="2496">
        <v>4</v>
      </c>
      <c r="B37" s="2493" t="s">
        <v>2527</v>
      </c>
      <c r="C37" s="2493"/>
      <c r="D37" s="2493"/>
      <c r="E37" s="3484"/>
      <c r="F37" s="3484"/>
      <c r="G37" s="3484"/>
    </row>
    <row r="38" spans="1:7" hidden="1">
      <c r="A38" s="3485" t="s">
        <v>2528</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109310.18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1010</v>
      </c>
      <c r="D12" s="756">
        <f>'数据-汇总表'!E5</f>
        <v>63135.22</v>
      </c>
      <c r="E12" s="755">
        <f>'数据-取费表'!B27</f>
        <v>160</v>
      </c>
      <c r="F12" s="753"/>
      <c r="G12" s="757"/>
    </row>
    <row r="13" spans="1:25" s="2165" customFormat="1" ht="13.5" customHeight="1">
      <c r="A13" s="2437" t="s">
        <v>2444</v>
      </c>
      <c r="B13" s="754" t="s">
        <v>612</v>
      </c>
      <c r="C13" s="755">
        <f>ROUND(D13*E13/10000,0)</f>
        <v>923</v>
      </c>
      <c r="D13" s="756">
        <f>'数据-汇总表'!E6</f>
        <v>46174.959999999992</v>
      </c>
      <c r="E13" s="755">
        <f>'数据-取费表'!B28</f>
        <v>200</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0.08</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0.875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756</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72" t="s">
        <v>522</v>
      </c>
      <c r="D4" s="3373"/>
      <c r="E4" s="3409" t="s">
        <v>523</v>
      </c>
      <c r="F4" s="3410"/>
      <c r="G4" s="3372" t="s">
        <v>524</v>
      </c>
      <c r="H4" s="3373"/>
      <c r="I4" s="3372" t="s">
        <v>525</v>
      </c>
      <c r="J4" s="3373"/>
      <c r="K4" s="512" t="s">
        <v>526</v>
      </c>
      <c r="L4" s="2115"/>
      <c r="M4" s="2116"/>
      <c r="N4" s="2116"/>
      <c r="O4" s="2116"/>
      <c r="P4" s="3374" t="s">
        <v>527</v>
      </c>
      <c r="Q4" s="3375"/>
      <c r="R4" s="3380" t="s">
        <v>523</v>
      </c>
      <c r="S4" s="3381"/>
      <c r="T4" s="3380" t="s">
        <v>524</v>
      </c>
      <c r="U4" s="3381"/>
      <c r="V4" s="3367" t="s">
        <v>525</v>
      </c>
      <c r="W4" s="3367"/>
      <c r="X4" s="1550"/>
      <c r="Y4" s="3380" t="s">
        <v>527</v>
      </c>
      <c r="Z4" s="3381"/>
      <c r="AA4" s="3369" t="s">
        <v>523</v>
      </c>
      <c r="AB4" s="3367" t="s">
        <v>524</v>
      </c>
      <c r="AC4" s="3369" t="s">
        <v>525</v>
      </c>
    </row>
    <row r="5" spans="1:29" ht="15">
      <c r="A5" s="513"/>
      <c r="B5" s="514"/>
      <c r="C5" s="3388" t="s">
        <v>2918</v>
      </c>
      <c r="D5" s="3389"/>
      <c r="E5" s="3393" t="s">
        <v>2919</v>
      </c>
      <c r="F5" s="3394"/>
      <c r="G5" s="3388" t="s">
        <v>2920</v>
      </c>
      <c r="H5" s="3389"/>
      <c r="I5" s="3388" t="s">
        <v>2921</v>
      </c>
      <c r="J5" s="3389"/>
      <c r="K5" s="512"/>
      <c r="L5" s="2115"/>
      <c r="M5" s="2116"/>
      <c r="N5" s="2116"/>
      <c r="O5" s="2116"/>
      <c r="P5" s="3376"/>
      <c r="Q5" s="3377"/>
      <c r="R5" s="3382"/>
      <c r="S5" s="3383"/>
      <c r="T5" s="3382"/>
      <c r="U5" s="3383"/>
      <c r="V5" s="3367"/>
      <c r="W5" s="3367"/>
      <c r="X5" s="1550"/>
      <c r="Y5" s="3382"/>
      <c r="Z5" s="3383"/>
      <c r="AA5" s="3370"/>
      <c r="AB5" s="3367"/>
      <c r="AC5" s="3370"/>
    </row>
    <row r="6" spans="1:29" ht="15.75" thickBot="1">
      <c r="A6" s="515"/>
      <c r="B6" s="516"/>
      <c r="C6" s="3407" t="s">
        <v>2922</v>
      </c>
      <c r="D6" s="3408"/>
      <c r="E6" s="3392" t="s">
        <v>2922</v>
      </c>
      <c r="F6" s="3387"/>
      <c r="G6" s="3407" t="s">
        <v>2922</v>
      </c>
      <c r="H6" s="3408"/>
      <c r="I6" s="3407" t="s">
        <v>2922</v>
      </c>
      <c r="J6" s="3408"/>
      <c r="K6" s="512" t="s">
        <v>528</v>
      </c>
      <c r="L6" s="2115"/>
      <c r="M6" s="2116"/>
      <c r="N6" s="2116"/>
      <c r="O6" s="2116"/>
      <c r="P6" s="3378"/>
      <c r="Q6" s="3379"/>
      <c r="R6" s="3382"/>
      <c r="S6" s="3383"/>
      <c r="T6" s="3384"/>
      <c r="U6" s="3385"/>
      <c r="V6" s="3367"/>
      <c r="W6" s="3367"/>
      <c r="X6" s="1550"/>
      <c r="Y6" s="3384"/>
      <c r="Z6" s="3385"/>
      <c r="AA6" s="3371"/>
      <c r="AB6" s="3367"/>
      <c r="AC6" s="3371"/>
    </row>
    <row r="7" spans="1:29" s="1214" customFormat="1" ht="15.75" thickBot="1">
      <c r="A7" s="2864"/>
      <c r="B7" s="2871" t="s">
        <v>529</v>
      </c>
      <c r="C7" s="517">
        <f>'数据-取费表'!B2</f>
        <v>43817</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00" t="s">
        <v>530</v>
      </c>
      <c r="Q7" s="3402"/>
      <c r="R7" s="1551" t="s">
        <v>8</v>
      </c>
      <c r="S7" s="1552">
        <f t="shared" ref="S7:S15" si="0">F7</f>
        <v>0</v>
      </c>
      <c r="T7" s="1551" t="s">
        <v>8</v>
      </c>
      <c r="U7" s="1552">
        <f t="shared" ref="U7:U15" si="1">H7</f>
        <v>0</v>
      </c>
      <c r="V7" s="1551" t="s">
        <v>8</v>
      </c>
      <c r="W7" s="1552">
        <f t="shared" ref="W7:W15" si="2">J7</f>
        <v>0</v>
      </c>
      <c r="X7" s="1553"/>
      <c r="Y7" s="3400" t="s">
        <v>530</v>
      </c>
      <c r="Z7" s="3401"/>
      <c r="AA7" s="1554" t="e">
        <f>D7/F7</f>
        <v>#DIV/0!</v>
      </c>
      <c r="AB7" s="1554" t="e">
        <f>D7/H7</f>
        <v>#DIV/0!</v>
      </c>
      <c r="AC7" s="1554" t="e">
        <f>D7/J7</f>
        <v>#DIV/0!</v>
      </c>
    </row>
    <row r="8" spans="1:29" s="1214"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00" t="s">
        <v>533</v>
      </c>
      <c r="Q8" s="3401"/>
      <c r="R8" s="1551" t="s">
        <v>8</v>
      </c>
      <c r="S8" s="1552">
        <f t="shared" si="0"/>
        <v>0</v>
      </c>
      <c r="T8" s="1551" t="s">
        <v>8</v>
      </c>
      <c r="U8" s="1552">
        <f t="shared" si="1"/>
        <v>0</v>
      </c>
      <c r="V8" s="1551" t="s">
        <v>8</v>
      </c>
      <c r="W8" s="1552">
        <f t="shared" si="2"/>
        <v>0</v>
      </c>
      <c r="X8" s="1553"/>
      <c r="Y8" s="3400" t="s">
        <v>533</v>
      </c>
      <c r="Z8" s="3401"/>
      <c r="AA8" s="1554" t="e">
        <f t="shared" ref="AA8:AA46" si="3">D8/F8</f>
        <v>#DIV/0!</v>
      </c>
      <c r="AB8" s="1554" t="e">
        <f t="shared" ref="AB8:AB46" si="4">D8/H8</f>
        <v>#DIV/0!</v>
      </c>
      <c r="AC8" s="1554" t="e">
        <f t="shared" ref="AC8:AC46" si="5">D8/J8</f>
        <v>#DIV/0!</v>
      </c>
    </row>
    <row r="9" spans="1:29" s="1214" customFormat="1" ht="15">
      <c r="A9" s="2866"/>
      <c r="B9" s="2873" t="s">
        <v>2753</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66" t="s">
        <v>535</v>
      </c>
      <c r="Q9" s="1145" t="str">
        <f t="shared" ref="Q9:Q15" si="6">B9</f>
        <v>用途</v>
      </c>
      <c r="R9" s="1551" t="s">
        <v>8</v>
      </c>
      <c r="S9" s="1552">
        <f t="shared" si="0"/>
        <v>100</v>
      </c>
      <c r="T9" s="1551" t="s">
        <v>8</v>
      </c>
      <c r="U9" s="1552">
        <f t="shared" si="1"/>
        <v>100</v>
      </c>
      <c r="V9" s="1551" t="s">
        <v>8</v>
      </c>
      <c r="W9" s="1552">
        <f t="shared" si="2"/>
        <v>100</v>
      </c>
      <c r="X9" s="1553"/>
      <c r="Y9" s="3312" t="s">
        <v>536</v>
      </c>
      <c r="Z9" s="1144" t="str">
        <f t="shared" ref="Z9:Z15" si="7">Q9</f>
        <v>用途</v>
      </c>
      <c r="AA9" s="1554">
        <f t="shared" si="3"/>
        <v>1</v>
      </c>
      <c r="AB9" s="1554">
        <f t="shared" si="4"/>
        <v>1</v>
      </c>
      <c r="AC9" s="1554">
        <f t="shared" si="5"/>
        <v>1</v>
      </c>
    </row>
    <row r="10" spans="1:29" s="1332" customFormat="1" ht="27">
      <c r="A10" s="2867"/>
      <c r="B10" s="2872" t="s">
        <v>2754</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66"/>
      <c r="Q10" s="1145" t="str">
        <f t="shared" si="6"/>
        <v>土地使用年限（年）</v>
      </c>
      <c r="R10" s="1551" t="s">
        <v>8</v>
      </c>
      <c r="S10" s="1552">
        <f t="shared" si="0"/>
        <v>100</v>
      </c>
      <c r="T10" s="1551" t="s">
        <v>8</v>
      </c>
      <c r="U10" s="1552">
        <f t="shared" si="1"/>
        <v>100</v>
      </c>
      <c r="V10" s="1551" t="s">
        <v>8</v>
      </c>
      <c r="W10" s="1552">
        <f t="shared" si="2"/>
        <v>100</v>
      </c>
      <c r="X10" s="1553"/>
      <c r="Y10" s="3312"/>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66"/>
      <c r="Q11" s="1145" t="str">
        <f t="shared" si="6"/>
        <v>容积率</v>
      </c>
      <c r="R11" s="1551" t="s">
        <v>8</v>
      </c>
      <c r="S11" s="1552" t="e">
        <f t="shared" si="0"/>
        <v>#N/A</v>
      </c>
      <c r="T11" s="1551" t="s">
        <v>8</v>
      </c>
      <c r="U11" s="1552" t="e">
        <f t="shared" si="1"/>
        <v>#N/A</v>
      </c>
      <c r="V11" s="1551" t="s">
        <v>8</v>
      </c>
      <c r="W11" s="1552" t="e">
        <f t="shared" si="2"/>
        <v>#N/A</v>
      </c>
      <c r="X11" s="1553"/>
      <c r="Y11" s="3312"/>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66"/>
      <c r="Q12" s="1145">
        <f t="shared" si="6"/>
        <v>111</v>
      </c>
      <c r="R12" s="1551" t="s">
        <v>8</v>
      </c>
      <c r="S12" s="1552">
        <f t="shared" si="0"/>
        <v>100</v>
      </c>
      <c r="T12" s="1551" t="s">
        <v>8</v>
      </c>
      <c r="U12" s="1552">
        <f t="shared" si="1"/>
        <v>100</v>
      </c>
      <c r="V12" s="1551" t="s">
        <v>8</v>
      </c>
      <c r="W12" s="1552">
        <f t="shared" si="2"/>
        <v>100</v>
      </c>
      <c r="X12" s="1553"/>
      <c r="Y12" s="3312"/>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66"/>
      <c r="Q13" s="1145">
        <f t="shared" si="6"/>
        <v>111</v>
      </c>
      <c r="R13" s="1551" t="s">
        <v>8</v>
      </c>
      <c r="S13" s="1552">
        <f t="shared" si="0"/>
        <v>100</v>
      </c>
      <c r="T13" s="1551" t="s">
        <v>8</v>
      </c>
      <c r="U13" s="1552">
        <f t="shared" si="1"/>
        <v>100</v>
      </c>
      <c r="V13" s="1551" t="s">
        <v>8</v>
      </c>
      <c r="W13" s="1552">
        <f t="shared" si="2"/>
        <v>100</v>
      </c>
      <c r="X13" s="1553"/>
      <c r="Y13" s="3312"/>
      <c r="Z13" s="1144">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66"/>
      <c r="Q14" s="1145">
        <f t="shared" si="6"/>
        <v>111</v>
      </c>
      <c r="R14" s="1551" t="s">
        <v>8</v>
      </c>
      <c r="S14" s="1552">
        <f t="shared" si="0"/>
        <v>100</v>
      </c>
      <c r="T14" s="1551" t="s">
        <v>8</v>
      </c>
      <c r="U14" s="1552">
        <f t="shared" si="1"/>
        <v>100</v>
      </c>
      <c r="V14" s="1551" t="s">
        <v>8</v>
      </c>
      <c r="W14" s="1552">
        <f t="shared" si="2"/>
        <v>100</v>
      </c>
      <c r="X14" s="1553"/>
      <c r="Y14" s="3312"/>
      <c r="Z14" s="1144">
        <f t="shared" si="7"/>
        <v>111</v>
      </c>
      <c r="AA14" s="1554">
        <f t="shared" si="3"/>
        <v>1</v>
      </c>
      <c r="AB14" s="1554">
        <f t="shared" si="4"/>
        <v>1</v>
      </c>
      <c r="AC14" s="1554">
        <f t="shared" si="5"/>
        <v>1</v>
      </c>
    </row>
    <row r="15" spans="1:29" ht="15">
      <c r="A15" s="2862"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03" t="s">
        <v>540</v>
      </c>
      <c r="Q15" s="1555" t="str">
        <f t="shared" si="6"/>
        <v>商业繁华度</v>
      </c>
      <c r="R15" s="1556" t="s">
        <v>8</v>
      </c>
      <c r="S15" s="1557">
        <f t="shared" si="0"/>
        <v>100</v>
      </c>
      <c r="T15" s="1556" t="s">
        <v>8</v>
      </c>
      <c r="U15" s="1557">
        <f t="shared" si="1"/>
        <v>100</v>
      </c>
      <c r="V15" s="1556" t="s">
        <v>8</v>
      </c>
      <c r="W15" s="1557">
        <f t="shared" si="2"/>
        <v>100</v>
      </c>
      <c r="X15" s="1550"/>
      <c r="Y15" s="3403"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04"/>
      <c r="Q16" s="1555"/>
      <c r="R16" s="1556"/>
      <c r="S16" s="1557"/>
      <c r="T16" s="1556"/>
      <c r="U16" s="1557"/>
      <c r="V16" s="1556"/>
      <c r="W16" s="1557"/>
      <c r="X16" s="1550"/>
      <c r="Y16" s="3404"/>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04"/>
      <c r="Q17" s="1555" t="str">
        <f>B17</f>
        <v>交通便捷度</v>
      </c>
      <c r="R17" s="1556" t="s">
        <v>8</v>
      </c>
      <c r="S17" s="1557">
        <f>F17</f>
        <v>100</v>
      </c>
      <c r="T17" s="1556" t="s">
        <v>8</v>
      </c>
      <c r="U17" s="1557">
        <f>H17</f>
        <v>100</v>
      </c>
      <c r="V17" s="1556" t="s">
        <v>8</v>
      </c>
      <c r="W17" s="1557">
        <f>J17</f>
        <v>100</v>
      </c>
      <c r="X17" s="1550"/>
      <c r="Y17" s="3404"/>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04"/>
      <c r="Q18" s="1555"/>
      <c r="R18" s="1556"/>
      <c r="S18" s="1557"/>
      <c r="T18" s="1556"/>
      <c r="U18" s="1557"/>
      <c r="V18" s="1556"/>
      <c r="W18" s="1557"/>
      <c r="X18" s="1550"/>
      <c r="Y18" s="3404"/>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04"/>
      <c r="Q19" s="1555" t="str">
        <f>B19</f>
        <v>公共配套设施</v>
      </c>
      <c r="R19" s="1556" t="s">
        <v>8</v>
      </c>
      <c r="S19" s="1557">
        <f>F19</f>
        <v>100</v>
      </c>
      <c r="T19" s="1556" t="s">
        <v>8</v>
      </c>
      <c r="U19" s="1557">
        <f>H19</f>
        <v>100</v>
      </c>
      <c r="V19" s="1556" t="s">
        <v>8</v>
      </c>
      <c r="W19" s="1557">
        <f>J19</f>
        <v>100</v>
      </c>
      <c r="X19" s="1550"/>
      <c r="Y19" s="3404"/>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04"/>
      <c r="Q20" s="1555"/>
      <c r="R20" s="1556"/>
      <c r="S20" s="1557"/>
      <c r="T20" s="1556"/>
      <c r="U20" s="1557"/>
      <c r="V20" s="1556"/>
      <c r="W20" s="1557"/>
      <c r="X20" s="1550"/>
      <c r="Y20" s="3404"/>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04"/>
      <c r="Q21" s="2540" t="str">
        <f>B21</f>
        <v>基础设施水平</v>
      </c>
      <c r="R21" s="1556" t="s">
        <v>8</v>
      </c>
      <c r="S21" s="1557">
        <f>F21</f>
        <v>100</v>
      </c>
      <c r="T21" s="1556" t="s">
        <v>8</v>
      </c>
      <c r="U21" s="1557">
        <f>H21</f>
        <v>100</v>
      </c>
      <c r="V21" s="1556" t="s">
        <v>8</v>
      </c>
      <c r="W21" s="1557">
        <f>J21</f>
        <v>100</v>
      </c>
      <c r="X21" s="2542"/>
      <c r="Y21" s="3404"/>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04"/>
      <c r="Q22" s="2540"/>
      <c r="R22" s="1556"/>
      <c r="S22" s="1557"/>
      <c r="T22" s="1556"/>
      <c r="U22" s="1557"/>
      <c r="V22" s="1556"/>
      <c r="W22" s="1557"/>
      <c r="X22" s="2542"/>
      <c r="Y22" s="3404"/>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04"/>
      <c r="Q23" s="1555" t="str">
        <f>B23</f>
        <v>自然及人文环境</v>
      </c>
      <c r="R23" s="1556" t="s">
        <v>8</v>
      </c>
      <c r="S23" s="1557">
        <f>F23</f>
        <v>100</v>
      </c>
      <c r="T23" s="1556" t="s">
        <v>8</v>
      </c>
      <c r="U23" s="1557">
        <f>H23</f>
        <v>100</v>
      </c>
      <c r="V23" s="1556" t="s">
        <v>8</v>
      </c>
      <c r="W23" s="1557">
        <f>J23</f>
        <v>100</v>
      </c>
      <c r="X23" s="1550"/>
      <c r="Y23" s="3404"/>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04"/>
      <c r="Q24" s="1555"/>
      <c r="R24" s="1556"/>
      <c r="S24" s="1557"/>
      <c r="T24" s="1556"/>
      <c r="U24" s="1557"/>
      <c r="V24" s="1556"/>
      <c r="W24" s="1557"/>
      <c r="X24" s="1550"/>
      <c r="Y24" s="3404"/>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04"/>
      <c r="Q25" s="1555" t="str">
        <f t="shared" ref="Q25:Q46" si="11">B25</f>
        <v>临街状况</v>
      </c>
      <c r="R25" s="1556" t="s">
        <v>8</v>
      </c>
      <c r="S25" s="1557">
        <f>F25</f>
        <v>100</v>
      </c>
      <c r="T25" s="1556" t="s">
        <v>8</v>
      </c>
      <c r="U25" s="1557">
        <f>H25</f>
        <v>100</v>
      </c>
      <c r="V25" s="1556" t="s">
        <v>8</v>
      </c>
      <c r="W25" s="1557">
        <f>J25</f>
        <v>100</v>
      </c>
      <c r="X25" s="1550"/>
      <c r="Y25" s="3404"/>
      <c r="Z25" s="1558" t="str">
        <f>Q25</f>
        <v>临街状况</v>
      </c>
      <c r="AA25" s="1559">
        <f t="shared" si="3"/>
        <v>1</v>
      </c>
      <c r="AB25" s="1559">
        <f t="shared" si="4"/>
        <v>1</v>
      </c>
      <c r="AC25" s="1559">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04"/>
      <c r="Q26" s="1555" t="str">
        <f t="shared" si="11"/>
        <v>平面位置/可视性</v>
      </c>
      <c r="R26" s="1556" t="s">
        <v>8</v>
      </c>
      <c r="S26" s="1557">
        <f>F26</f>
        <v>100</v>
      </c>
      <c r="T26" s="1556" t="s">
        <v>8</v>
      </c>
      <c r="U26" s="1557">
        <f>H26</f>
        <v>100</v>
      </c>
      <c r="V26" s="1556" t="s">
        <v>8</v>
      </c>
      <c r="W26" s="1557">
        <f>J26</f>
        <v>100</v>
      </c>
      <c r="X26" s="1550"/>
      <c r="Y26" s="3404"/>
      <c r="Z26" s="1558" t="str">
        <f>Q26</f>
        <v>平面位置/可视性</v>
      </c>
      <c r="AA26" s="1559">
        <f t="shared" si="3"/>
        <v>1</v>
      </c>
      <c r="AB26" s="1559">
        <f t="shared" si="4"/>
        <v>1</v>
      </c>
      <c r="AC26" s="1559">
        <f t="shared" si="5"/>
        <v>1</v>
      </c>
    </row>
    <row r="27" spans="1:29" s="1214"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04"/>
      <c r="Q27" s="1145" t="str">
        <f t="shared" si="11"/>
        <v>人流量</v>
      </c>
      <c r="R27" s="1551" t="s">
        <v>8</v>
      </c>
      <c r="S27" s="1552">
        <f>F27</f>
        <v>100</v>
      </c>
      <c r="T27" s="1551" t="s">
        <v>8</v>
      </c>
      <c r="U27" s="1552">
        <f>H27</f>
        <v>100</v>
      </c>
      <c r="V27" s="1551" t="s">
        <v>8</v>
      </c>
      <c r="W27" s="1552">
        <f>J27</f>
        <v>100</v>
      </c>
      <c r="X27" s="1553"/>
      <c r="Y27" s="3404"/>
      <c r="Z27" s="1144" t="str">
        <f>Q27</f>
        <v>人流量</v>
      </c>
      <c r="AA27" s="1559">
        <f>D27/F27</f>
        <v>1</v>
      </c>
      <c r="AB27" s="1559">
        <f>D27/H27</f>
        <v>1</v>
      </c>
      <c r="AC27" s="1559">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04"/>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4"/>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04"/>
      <c r="Q29" s="1555">
        <f t="shared" si="11"/>
        <v>111</v>
      </c>
      <c r="R29" s="1556" t="s">
        <v>8</v>
      </c>
      <c r="S29" s="1557">
        <f t="shared" si="12"/>
        <v>100</v>
      </c>
      <c r="T29" s="1556" t="s">
        <v>8</v>
      </c>
      <c r="U29" s="1557">
        <f t="shared" si="13"/>
        <v>100</v>
      </c>
      <c r="V29" s="1556" t="s">
        <v>8</v>
      </c>
      <c r="W29" s="1557">
        <f t="shared" si="14"/>
        <v>100</v>
      </c>
      <c r="X29" s="1550"/>
      <c r="Y29" s="3404"/>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04"/>
      <c r="Q30" s="1555">
        <f t="shared" si="11"/>
        <v>111</v>
      </c>
      <c r="R30" s="1556" t="s">
        <v>8</v>
      </c>
      <c r="S30" s="1557">
        <f t="shared" si="12"/>
        <v>100</v>
      </c>
      <c r="T30" s="1556" t="s">
        <v>8</v>
      </c>
      <c r="U30" s="1557">
        <f t="shared" si="13"/>
        <v>100</v>
      </c>
      <c r="V30" s="1556" t="s">
        <v>8</v>
      </c>
      <c r="W30" s="1557">
        <f t="shared" si="14"/>
        <v>100</v>
      </c>
      <c r="X30" s="1550"/>
      <c r="Y30" s="3404"/>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04"/>
      <c r="Q31" s="1555">
        <f t="shared" si="11"/>
        <v>111</v>
      </c>
      <c r="R31" s="1556" t="s">
        <v>8</v>
      </c>
      <c r="S31" s="1557">
        <f t="shared" si="12"/>
        <v>100</v>
      </c>
      <c r="T31" s="1556" t="s">
        <v>8</v>
      </c>
      <c r="U31" s="1557">
        <f t="shared" si="13"/>
        <v>100</v>
      </c>
      <c r="V31" s="1556" t="s">
        <v>8</v>
      </c>
      <c r="W31" s="1557">
        <f t="shared" si="14"/>
        <v>100</v>
      </c>
      <c r="X31" s="1550"/>
      <c r="Y31" s="3404"/>
      <c r="Z31" s="1558">
        <f t="shared" si="15"/>
        <v>111</v>
      </c>
      <c r="AA31" s="1559">
        <f t="shared" si="3"/>
        <v>1</v>
      </c>
      <c r="AB31" s="1559">
        <f t="shared" si="4"/>
        <v>1</v>
      </c>
      <c r="AC31" s="1559">
        <f t="shared" si="5"/>
        <v>1</v>
      </c>
    </row>
    <row r="32" spans="1:29" ht="15">
      <c r="A32" s="2859" t="s">
        <v>2752</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05" t="s">
        <v>550</v>
      </c>
      <c r="Q32" s="1555" t="str">
        <f t="shared" si="11"/>
        <v>商业类型</v>
      </c>
      <c r="R32" s="1556" t="s">
        <v>8</v>
      </c>
      <c r="S32" s="1557">
        <f t="shared" si="12"/>
        <v>100</v>
      </c>
      <c r="T32" s="1556" t="s">
        <v>8</v>
      </c>
      <c r="U32" s="1557">
        <f t="shared" si="13"/>
        <v>100</v>
      </c>
      <c r="V32" s="1556" t="s">
        <v>8</v>
      </c>
      <c r="W32" s="1557">
        <f t="shared" si="14"/>
        <v>100</v>
      </c>
      <c r="X32" s="1550"/>
      <c r="Y32" s="3406" t="s">
        <v>550</v>
      </c>
      <c r="Z32" s="1558" t="str">
        <f t="shared" si="15"/>
        <v>商业类型</v>
      </c>
      <c r="AA32" s="1559">
        <f t="shared" si="3"/>
        <v>1</v>
      </c>
      <c r="AB32" s="1559">
        <f t="shared" si="4"/>
        <v>1</v>
      </c>
      <c r="AC32" s="1559">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06"/>
      <c r="Q33" s="1587" t="str">
        <f t="shared" si="11"/>
        <v>项目建筑规模</v>
      </c>
      <c r="R33" s="1560" t="s">
        <v>8</v>
      </c>
      <c r="S33" s="1561" t="e">
        <f t="shared" si="12"/>
        <v>#N/A</v>
      </c>
      <c r="T33" s="1560" t="s">
        <v>8</v>
      </c>
      <c r="U33" s="1561" t="e">
        <f t="shared" si="13"/>
        <v>#N/A</v>
      </c>
      <c r="V33" s="1560" t="s">
        <v>8</v>
      </c>
      <c r="W33" s="1561" t="e">
        <f t="shared" si="14"/>
        <v>#N/A</v>
      </c>
      <c r="X33" s="1562"/>
      <c r="Y33" s="3406"/>
      <c r="Z33" s="1563" t="str">
        <f t="shared" si="15"/>
        <v>项目建筑规模</v>
      </c>
      <c r="AA33" s="1559" t="e">
        <f t="shared" si="3"/>
        <v>#N/A</v>
      </c>
      <c r="AB33" s="1559" t="e">
        <f t="shared" si="4"/>
        <v>#N/A</v>
      </c>
      <c r="AC33" s="1559"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06"/>
      <c r="Q34" s="1555" t="str">
        <f t="shared" si="11"/>
        <v>建筑结构</v>
      </c>
      <c r="R34" s="1556" t="s">
        <v>8</v>
      </c>
      <c r="S34" s="1557">
        <f t="shared" si="12"/>
        <v>100</v>
      </c>
      <c r="T34" s="1556" t="s">
        <v>8</v>
      </c>
      <c r="U34" s="1557">
        <f t="shared" si="13"/>
        <v>100</v>
      </c>
      <c r="V34" s="1556" t="s">
        <v>8</v>
      </c>
      <c r="W34" s="1557">
        <f t="shared" si="14"/>
        <v>100</v>
      </c>
      <c r="X34" s="1550"/>
      <c r="Y34" s="3406"/>
      <c r="Z34" s="1558" t="str">
        <f t="shared" si="15"/>
        <v>建筑结构</v>
      </c>
      <c r="AA34" s="1559">
        <f t="shared" si="3"/>
        <v>1</v>
      </c>
      <c r="AB34" s="1559">
        <f t="shared" si="4"/>
        <v>1</v>
      </c>
      <c r="AC34" s="1559">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06"/>
      <c r="Q35" s="1555" t="str">
        <f t="shared" si="11"/>
        <v>公共部分装修</v>
      </c>
      <c r="R35" s="1556" t="s">
        <v>8</v>
      </c>
      <c r="S35" s="1557">
        <f t="shared" si="12"/>
        <v>100</v>
      </c>
      <c r="T35" s="1556" t="s">
        <v>8</v>
      </c>
      <c r="U35" s="1557">
        <f t="shared" si="13"/>
        <v>100</v>
      </c>
      <c r="V35" s="1556" t="s">
        <v>8</v>
      </c>
      <c r="W35" s="1557">
        <f t="shared" si="14"/>
        <v>100</v>
      </c>
      <c r="X35" s="1550"/>
      <c r="Y35" s="3406"/>
      <c r="Z35" s="1558" t="str">
        <f t="shared" si="15"/>
        <v>公共部分装修</v>
      </c>
      <c r="AA35" s="1559">
        <f t="shared" si="3"/>
        <v>1</v>
      </c>
      <c r="AB35" s="1559">
        <f t="shared" si="4"/>
        <v>1</v>
      </c>
      <c r="AC35" s="1559">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06"/>
      <c r="Q36" s="1555" t="str">
        <f t="shared" si="11"/>
        <v>成新度</v>
      </c>
      <c r="R36" s="1556" t="s">
        <v>8</v>
      </c>
      <c r="S36" s="1557" t="e">
        <f t="shared" si="12"/>
        <v>#N/A</v>
      </c>
      <c r="T36" s="1556" t="s">
        <v>8</v>
      </c>
      <c r="U36" s="1557" t="e">
        <f t="shared" si="13"/>
        <v>#N/A</v>
      </c>
      <c r="V36" s="1556" t="s">
        <v>8</v>
      </c>
      <c r="W36" s="1557" t="e">
        <f t="shared" si="14"/>
        <v>#N/A</v>
      </c>
      <c r="X36" s="1550"/>
      <c r="Y36" s="3406"/>
      <c r="Z36" s="1558" t="str">
        <f t="shared" si="15"/>
        <v>成新度</v>
      </c>
      <c r="AA36" s="1559" t="e">
        <f t="shared" si="3"/>
        <v>#N/A</v>
      </c>
      <c r="AB36" s="1559" t="e">
        <f t="shared" si="4"/>
        <v>#N/A</v>
      </c>
      <c r="AC36" s="1559" t="e">
        <f t="shared" si="5"/>
        <v>#N/A</v>
      </c>
    </row>
    <row r="37" spans="1:29" s="1214"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06"/>
      <c r="Q37" s="1145" t="str">
        <f t="shared" si="11"/>
        <v>市政基础设施</v>
      </c>
      <c r="R37" s="1551" t="s">
        <v>8</v>
      </c>
      <c r="S37" s="1552">
        <f t="shared" si="12"/>
        <v>100</v>
      </c>
      <c r="T37" s="1551" t="s">
        <v>8</v>
      </c>
      <c r="U37" s="1552">
        <f t="shared" si="13"/>
        <v>100</v>
      </c>
      <c r="V37" s="1551" t="s">
        <v>8</v>
      </c>
      <c r="W37" s="1552">
        <f t="shared" si="14"/>
        <v>100</v>
      </c>
      <c r="X37" s="1553"/>
      <c r="Y37" s="3406"/>
      <c r="Z37" s="1144" t="str">
        <f t="shared" si="15"/>
        <v>市政基础设施</v>
      </c>
      <c r="AA37" s="1554">
        <f t="shared" si="3"/>
        <v>1</v>
      </c>
      <c r="AB37" s="1554">
        <f t="shared" si="4"/>
        <v>1</v>
      </c>
      <c r="AC37" s="1554">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06" t="s">
        <v>765</v>
      </c>
      <c r="Q38" s="1555" t="str">
        <f t="shared" si="11"/>
        <v>业态</v>
      </c>
      <c r="R38" s="1556" t="s">
        <v>8</v>
      </c>
      <c r="S38" s="1557">
        <f t="shared" si="12"/>
        <v>100</v>
      </c>
      <c r="T38" s="1556" t="s">
        <v>8</v>
      </c>
      <c r="U38" s="1557">
        <f t="shared" si="13"/>
        <v>100</v>
      </c>
      <c r="V38" s="1556" t="s">
        <v>8</v>
      </c>
      <c r="W38" s="1557">
        <f t="shared" si="14"/>
        <v>100</v>
      </c>
      <c r="X38" s="1550"/>
      <c r="Y38" s="3406" t="s">
        <v>765</v>
      </c>
      <c r="Z38" s="1558" t="str">
        <f t="shared" si="15"/>
        <v>业态</v>
      </c>
      <c r="AA38" s="1559">
        <f t="shared" si="3"/>
        <v>1</v>
      </c>
      <c r="AB38" s="1559">
        <f t="shared" si="4"/>
        <v>1</v>
      </c>
      <c r="AC38" s="1559">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6"/>
      <c r="Q39" s="1555" t="str">
        <f t="shared" si="11"/>
        <v>层高</v>
      </c>
      <c r="R39" s="1556" t="s">
        <v>8</v>
      </c>
      <c r="S39" s="1557">
        <f t="shared" si="12"/>
        <v>100</v>
      </c>
      <c r="T39" s="1556" t="s">
        <v>8</v>
      </c>
      <c r="U39" s="1557">
        <f t="shared" si="13"/>
        <v>100</v>
      </c>
      <c r="V39" s="1556" t="s">
        <v>8</v>
      </c>
      <c r="W39" s="1557">
        <f t="shared" si="14"/>
        <v>100</v>
      </c>
      <c r="X39" s="1550"/>
      <c r="Y39" s="3406"/>
      <c r="Z39" s="1558" t="str">
        <f t="shared" si="15"/>
        <v>层高</v>
      </c>
      <c r="AA39" s="1559">
        <f t="shared" si="3"/>
        <v>1</v>
      </c>
      <c r="AB39" s="1559">
        <f t="shared" si="4"/>
        <v>1</v>
      </c>
      <c r="AC39" s="1559">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06"/>
      <c r="Q40" s="1555" t="str">
        <f t="shared" si="11"/>
        <v>单套建筑面积</v>
      </c>
      <c r="R40" s="1556" t="s">
        <v>8</v>
      </c>
      <c r="S40" s="1557">
        <f t="shared" si="12"/>
        <v>100</v>
      </c>
      <c r="T40" s="1556" t="s">
        <v>8</v>
      </c>
      <c r="U40" s="1557">
        <f t="shared" si="13"/>
        <v>100</v>
      </c>
      <c r="V40" s="1556" t="s">
        <v>8</v>
      </c>
      <c r="W40" s="1557">
        <f t="shared" si="14"/>
        <v>100</v>
      </c>
      <c r="X40" s="1550"/>
      <c r="Y40" s="3406"/>
      <c r="Z40" s="1558" t="str">
        <f t="shared" si="15"/>
        <v>单套建筑面积</v>
      </c>
      <c r="AA40" s="1559">
        <f t="shared" si="3"/>
        <v>1</v>
      </c>
      <c r="AB40" s="1559">
        <f t="shared" si="4"/>
        <v>1</v>
      </c>
      <c r="AC40" s="1559">
        <f t="shared" si="5"/>
        <v>1</v>
      </c>
    </row>
    <row r="41" spans="1:29" s="1333"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06"/>
      <c r="Q41" s="1587" t="str">
        <f t="shared" si="11"/>
        <v>进深比</v>
      </c>
      <c r="R41" s="1560" t="s">
        <v>8</v>
      </c>
      <c r="S41" s="1561">
        <f t="shared" si="12"/>
        <v>100</v>
      </c>
      <c r="T41" s="1560" t="s">
        <v>8</v>
      </c>
      <c r="U41" s="1561">
        <f t="shared" si="13"/>
        <v>100</v>
      </c>
      <c r="V41" s="1560" t="s">
        <v>8</v>
      </c>
      <c r="W41" s="1561">
        <f t="shared" si="14"/>
        <v>100</v>
      </c>
      <c r="X41" s="1562"/>
      <c r="Y41" s="3406"/>
      <c r="Z41" s="1563" t="str">
        <f t="shared" si="15"/>
        <v>进深比</v>
      </c>
      <c r="AA41" s="1559">
        <f t="shared" si="3"/>
        <v>1</v>
      </c>
      <c r="AB41" s="1559">
        <f t="shared" si="4"/>
        <v>1</v>
      </c>
      <c r="AC41" s="1559">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06"/>
      <c r="Q42" s="1555" t="str">
        <f t="shared" si="11"/>
        <v>内部装修</v>
      </c>
      <c r="R42" s="1556" t="s">
        <v>8</v>
      </c>
      <c r="S42" s="1557">
        <f t="shared" si="12"/>
        <v>100</v>
      </c>
      <c r="T42" s="1556" t="s">
        <v>8</v>
      </c>
      <c r="U42" s="1557">
        <f t="shared" si="13"/>
        <v>100</v>
      </c>
      <c r="V42" s="1556" t="s">
        <v>8</v>
      </c>
      <c r="W42" s="1557">
        <f t="shared" si="14"/>
        <v>100</v>
      </c>
      <c r="X42" s="1550"/>
      <c r="Y42" s="3406"/>
      <c r="Z42" s="1558" t="str">
        <f t="shared" si="15"/>
        <v>内部装修</v>
      </c>
      <c r="AA42" s="1559">
        <f t="shared" si="3"/>
        <v>1</v>
      </c>
      <c r="AB42" s="1559">
        <f t="shared" si="4"/>
        <v>1</v>
      </c>
      <c r="AC42" s="1559">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06"/>
      <c r="Q43" s="1555" t="str">
        <f t="shared" si="11"/>
        <v>内部装修维护情况</v>
      </c>
      <c r="R43" s="1556" t="s">
        <v>8</v>
      </c>
      <c r="S43" s="1557">
        <f t="shared" si="12"/>
        <v>100</v>
      </c>
      <c r="T43" s="1556" t="s">
        <v>8</v>
      </c>
      <c r="U43" s="1557">
        <f t="shared" si="13"/>
        <v>100</v>
      </c>
      <c r="V43" s="1556" t="s">
        <v>8</v>
      </c>
      <c r="W43" s="1557">
        <f t="shared" si="14"/>
        <v>100</v>
      </c>
      <c r="X43" s="1550"/>
      <c r="Y43" s="3406"/>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06"/>
      <c r="Q44" s="1145">
        <f t="shared" si="11"/>
        <v>111</v>
      </c>
      <c r="R44" s="1551" t="s">
        <v>8</v>
      </c>
      <c r="S44" s="1552">
        <f t="shared" si="12"/>
        <v>100</v>
      </c>
      <c r="T44" s="1551" t="s">
        <v>8</v>
      </c>
      <c r="U44" s="1552">
        <f t="shared" si="13"/>
        <v>100</v>
      </c>
      <c r="V44" s="1551" t="s">
        <v>8</v>
      </c>
      <c r="W44" s="1552">
        <f t="shared" si="14"/>
        <v>100</v>
      </c>
      <c r="X44" s="1553"/>
      <c r="Y44" s="3406"/>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06"/>
      <c r="Q45" s="1555">
        <f t="shared" si="11"/>
        <v>111</v>
      </c>
      <c r="R45" s="1556" t="s">
        <v>8</v>
      </c>
      <c r="S45" s="1557">
        <f t="shared" si="12"/>
        <v>100</v>
      </c>
      <c r="T45" s="1556" t="s">
        <v>8</v>
      </c>
      <c r="U45" s="1557">
        <f t="shared" si="13"/>
        <v>100</v>
      </c>
      <c r="V45" s="1556" t="s">
        <v>8</v>
      </c>
      <c r="W45" s="1557">
        <f t="shared" si="14"/>
        <v>100</v>
      </c>
      <c r="X45" s="1550"/>
      <c r="Y45" s="3406"/>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62"/>
      <c r="Q46" s="1555">
        <f t="shared" si="11"/>
        <v>111</v>
      </c>
      <c r="R46" s="1556" t="s">
        <v>8</v>
      </c>
      <c r="S46" s="1557">
        <f t="shared" si="12"/>
        <v>100</v>
      </c>
      <c r="T46" s="1556" t="s">
        <v>8</v>
      </c>
      <c r="U46" s="1557">
        <f t="shared" si="13"/>
        <v>100</v>
      </c>
      <c r="V46" s="1556" t="s">
        <v>8</v>
      </c>
      <c r="W46" s="1557">
        <f t="shared" si="14"/>
        <v>100</v>
      </c>
      <c r="X46" s="1550"/>
      <c r="Y46" s="3462"/>
      <c r="Z46" s="1558">
        <f t="shared" si="15"/>
        <v>111</v>
      </c>
      <c r="AA46" s="1559">
        <f t="shared" si="3"/>
        <v>1</v>
      </c>
      <c r="AB46" s="1559">
        <f t="shared" si="4"/>
        <v>1</v>
      </c>
      <c r="AC46" s="1559">
        <f t="shared" si="5"/>
        <v>1</v>
      </c>
    </row>
    <row r="47" spans="1:29" ht="15">
      <c r="A47" s="605" t="s">
        <v>735</v>
      </c>
      <c r="B47" s="885"/>
      <c r="C47" s="2588" t="s">
        <v>1</v>
      </c>
      <c r="D47" s="2589"/>
      <c r="E47" s="2590"/>
      <c r="F47" s="2591"/>
      <c r="G47" s="2592"/>
      <c r="H47" s="2593"/>
      <c r="I47" s="2590"/>
      <c r="J47" s="2593"/>
      <c r="K47" s="1593"/>
      <c r="L47" s="2126"/>
      <c r="M47" s="2127"/>
      <c r="N47" s="2116"/>
      <c r="O47" s="2127"/>
      <c r="P47" s="3366" t="str">
        <f>A47</f>
        <v>成交单价（元/平方米）</v>
      </c>
      <c r="Q47" s="3366"/>
      <c r="R47" s="3461">
        <f>E47</f>
        <v>0</v>
      </c>
      <c r="S47" s="3461"/>
      <c r="T47" s="3461">
        <f>G47</f>
        <v>0</v>
      </c>
      <c r="U47" s="3461"/>
      <c r="V47" s="3461">
        <f>I47</f>
        <v>0</v>
      </c>
      <c r="W47" s="3461"/>
      <c r="X47" s="1542"/>
      <c r="Y47" s="1564"/>
      <c r="Z47" s="1542"/>
      <c r="AA47" s="1542"/>
      <c r="AB47" s="1542"/>
      <c r="AC47" s="1542"/>
    </row>
    <row r="48" spans="1:29" ht="15.75" thickBot="1">
      <c r="A48" s="613" t="s">
        <v>2757</v>
      </c>
      <c r="B48" s="886"/>
      <c r="C48" s="2594" t="e">
        <f>R49</f>
        <v>#DIV/0!</v>
      </c>
      <c r="D48" s="2595"/>
      <c r="E48" s="2596" t="e">
        <f>R48</f>
        <v>#DIV/0!</v>
      </c>
      <c r="F48" s="2596"/>
      <c r="G48" s="2594" t="e">
        <f>T48</f>
        <v>#DIV/0!</v>
      </c>
      <c r="H48" s="2595"/>
      <c r="I48" s="2596" t="e">
        <f>V48</f>
        <v>#DIV/0!</v>
      </c>
      <c r="J48" s="2595"/>
      <c r="K48" s="1594"/>
      <c r="L48" s="2126"/>
      <c r="M48" s="2127"/>
      <c r="N48" s="2116"/>
      <c r="O48" s="2127"/>
      <c r="P48" s="3366" t="str">
        <f>A48</f>
        <v>比较价格（元/平方米）</v>
      </c>
      <c r="Q48" s="3366"/>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42"/>
      <c r="Y48" s="1542"/>
      <c r="Z48" s="1542"/>
      <c r="AA48" s="1542"/>
      <c r="AB48" s="1542"/>
      <c r="AC48" s="1542"/>
    </row>
    <row r="49" spans="1:29" ht="15.75" thickBot="1">
      <c r="A49" s="619" t="s">
        <v>2924</v>
      </c>
      <c r="B49" s="620"/>
      <c r="C49" s="2597" t="e">
        <f>R49</f>
        <v>#DIV/0!</v>
      </c>
      <c r="D49" s="2597"/>
      <c r="E49" s="2597"/>
      <c r="F49" s="2597"/>
      <c r="G49" s="2597"/>
      <c r="H49" s="2597"/>
      <c r="I49" s="2597"/>
      <c r="J49" s="2597"/>
      <c r="K49" s="1595"/>
      <c r="L49" s="2126"/>
      <c r="M49" s="2127"/>
      <c r="N49" s="2116"/>
      <c r="O49" s="2127"/>
      <c r="P49" s="3363" t="str">
        <f>A49</f>
        <v>估价对象XX用房的比较价格（楼面单价，元/平方米）</v>
      </c>
      <c r="Q49" s="3364"/>
      <c r="R49" s="3460" t="e">
        <f>IF(F1="售价",ROUND(AVERAGE(R48:V48),0),ROUND(AVERAGE(R48:V48),1))</f>
        <v>#DIV/0!</v>
      </c>
      <c r="S49" s="3460"/>
      <c r="T49" s="3460"/>
      <c r="U49" s="3460"/>
      <c r="V49" s="3460"/>
      <c r="W49" s="346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4"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770</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771</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774</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775</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776</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72" t="s">
        <v>522</v>
      </c>
      <c r="D4" s="3373"/>
      <c r="E4" s="3409" t="s">
        <v>523</v>
      </c>
      <c r="F4" s="3410"/>
      <c r="G4" s="3372" t="s">
        <v>524</v>
      </c>
      <c r="H4" s="3373"/>
      <c r="I4" s="3372" t="s">
        <v>525</v>
      </c>
      <c r="J4" s="3373"/>
      <c r="K4" s="512" t="s">
        <v>526</v>
      </c>
      <c r="L4" s="2115"/>
      <c r="M4" s="2116"/>
      <c r="N4" s="2116"/>
      <c r="O4" s="2116"/>
      <c r="P4" s="3489" t="s">
        <v>527</v>
      </c>
      <c r="Q4" s="3375"/>
      <c r="R4" s="3380" t="s">
        <v>523</v>
      </c>
      <c r="S4" s="3381"/>
      <c r="T4" s="3380" t="s">
        <v>524</v>
      </c>
      <c r="U4" s="3381"/>
      <c r="V4" s="3367" t="s">
        <v>525</v>
      </c>
      <c r="W4" s="3367"/>
      <c r="X4" s="1550"/>
      <c r="Y4" s="3380" t="s">
        <v>527</v>
      </c>
      <c r="Z4" s="3381"/>
      <c r="AA4" s="3369" t="s">
        <v>523</v>
      </c>
      <c r="AB4" s="3369" t="s">
        <v>524</v>
      </c>
      <c r="AC4" s="3369" t="s">
        <v>525</v>
      </c>
    </row>
    <row r="5" spans="1:29" ht="15">
      <c r="A5" s="513"/>
      <c r="B5" s="514"/>
      <c r="C5" s="3388" t="s">
        <v>2918</v>
      </c>
      <c r="D5" s="3389"/>
      <c r="E5" s="3393" t="s">
        <v>2919</v>
      </c>
      <c r="F5" s="3394"/>
      <c r="G5" s="3388" t="s">
        <v>2920</v>
      </c>
      <c r="H5" s="3389"/>
      <c r="I5" s="3388" t="s">
        <v>2921</v>
      </c>
      <c r="J5" s="3389"/>
      <c r="K5" s="512"/>
      <c r="L5" s="2115"/>
      <c r="M5" s="2116"/>
      <c r="N5" s="2116"/>
      <c r="O5" s="2116"/>
      <c r="P5" s="3490"/>
      <c r="Q5" s="3377"/>
      <c r="R5" s="3382"/>
      <c r="S5" s="3383"/>
      <c r="T5" s="3382"/>
      <c r="U5" s="3383"/>
      <c r="V5" s="3367"/>
      <c r="W5" s="3367"/>
      <c r="X5" s="1550"/>
      <c r="Y5" s="3382"/>
      <c r="Z5" s="3383"/>
      <c r="AA5" s="3370"/>
      <c r="AB5" s="3370"/>
      <c r="AC5" s="3370"/>
    </row>
    <row r="6" spans="1:29" ht="15.75" thickBot="1">
      <c r="A6" s="515"/>
      <c r="B6" s="516"/>
      <c r="C6" s="3407" t="s">
        <v>2922</v>
      </c>
      <c r="D6" s="3408"/>
      <c r="E6" s="3392" t="s">
        <v>2922</v>
      </c>
      <c r="F6" s="3387"/>
      <c r="G6" s="3407" t="s">
        <v>2922</v>
      </c>
      <c r="H6" s="3408"/>
      <c r="I6" s="3407" t="s">
        <v>2922</v>
      </c>
      <c r="J6" s="3408"/>
      <c r="K6" s="512" t="s">
        <v>528</v>
      </c>
      <c r="L6" s="2115"/>
      <c r="M6" s="2116"/>
      <c r="N6" s="2116"/>
      <c r="O6" s="2116"/>
      <c r="P6" s="3491"/>
      <c r="Q6" s="3379"/>
      <c r="R6" s="3382"/>
      <c r="S6" s="3383"/>
      <c r="T6" s="3384"/>
      <c r="U6" s="3385"/>
      <c r="V6" s="3367"/>
      <c r="W6" s="3367"/>
      <c r="X6" s="1550"/>
      <c r="Y6" s="3384"/>
      <c r="Z6" s="3385"/>
      <c r="AA6" s="3371"/>
      <c r="AB6" s="3371"/>
      <c r="AC6" s="3371"/>
    </row>
    <row r="7" spans="1:29" s="1214" customFormat="1" ht="15.75" thickBot="1">
      <c r="A7" s="2864"/>
      <c r="B7" s="2871" t="s">
        <v>529</v>
      </c>
      <c r="C7" s="517">
        <f>'数据-取费表'!B2</f>
        <v>43817</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02" t="s">
        <v>530</v>
      </c>
      <c r="Q7" s="3402"/>
      <c r="R7" s="1551" t="s">
        <v>8</v>
      </c>
      <c r="S7" s="1552">
        <f t="shared" ref="S7:S15" si="0">F7</f>
        <v>0</v>
      </c>
      <c r="T7" s="1551" t="s">
        <v>8</v>
      </c>
      <c r="U7" s="1552">
        <f t="shared" ref="U7:U15" si="1">H7</f>
        <v>0</v>
      </c>
      <c r="V7" s="1551" t="s">
        <v>8</v>
      </c>
      <c r="W7" s="1552">
        <f t="shared" ref="W7:W15" si="2">J7</f>
        <v>0</v>
      </c>
      <c r="X7" s="1553"/>
      <c r="Y7" s="3400" t="s">
        <v>530</v>
      </c>
      <c r="Z7" s="3401"/>
      <c r="AA7" s="1554" t="e">
        <f>D7/F7</f>
        <v>#DIV/0!</v>
      </c>
      <c r="AB7" s="1554" t="e">
        <f>D7/H7</f>
        <v>#DIV/0!</v>
      </c>
      <c r="AC7" s="1554" t="e">
        <f>D7/J7</f>
        <v>#DIV/0!</v>
      </c>
    </row>
    <row r="8" spans="1:29" s="1214"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02" t="s">
        <v>533</v>
      </c>
      <c r="Q8" s="3401"/>
      <c r="R8" s="1551" t="s">
        <v>8</v>
      </c>
      <c r="S8" s="1552">
        <f t="shared" si="0"/>
        <v>0</v>
      </c>
      <c r="T8" s="1551" t="s">
        <v>8</v>
      </c>
      <c r="U8" s="1552">
        <f t="shared" si="1"/>
        <v>0</v>
      </c>
      <c r="V8" s="1551" t="s">
        <v>8</v>
      </c>
      <c r="W8" s="1552">
        <f t="shared" si="2"/>
        <v>0</v>
      </c>
      <c r="X8" s="1553"/>
      <c r="Y8" s="3400" t="s">
        <v>533</v>
      </c>
      <c r="Z8" s="3401"/>
      <c r="AA8" s="1554" t="e">
        <f t="shared" ref="AA8:AA47" si="3">D8/F8</f>
        <v>#DIV/0!</v>
      </c>
      <c r="AB8" s="1554" t="e">
        <f t="shared" ref="AB8:AB47" si="4">D8/H8</f>
        <v>#DIV/0!</v>
      </c>
      <c r="AC8" s="1554" t="e">
        <f t="shared" ref="AC8:AC47" si="5">D8/J8</f>
        <v>#DIV/0!</v>
      </c>
    </row>
    <row r="9" spans="1:29" s="1214" customFormat="1" ht="15">
      <c r="A9" s="2866"/>
      <c r="B9" s="2873" t="s">
        <v>2753</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66" t="s">
        <v>535</v>
      </c>
      <c r="Q9" s="1145" t="str">
        <f t="shared" ref="Q9:Q15" si="6">B9</f>
        <v>用途</v>
      </c>
      <c r="R9" s="1551" t="s">
        <v>8</v>
      </c>
      <c r="S9" s="1552">
        <f t="shared" si="0"/>
        <v>100</v>
      </c>
      <c r="T9" s="1551" t="s">
        <v>8</v>
      </c>
      <c r="U9" s="1552">
        <f t="shared" si="1"/>
        <v>100</v>
      </c>
      <c r="V9" s="1551" t="s">
        <v>8</v>
      </c>
      <c r="W9" s="1552">
        <f t="shared" si="2"/>
        <v>100</v>
      </c>
      <c r="X9" s="1553"/>
      <c r="Y9" s="3312" t="s">
        <v>536</v>
      </c>
      <c r="Z9" s="1144" t="str">
        <f t="shared" ref="Z9:Z15" si="7">Q9</f>
        <v>用途</v>
      </c>
      <c r="AA9" s="1554">
        <f t="shared" si="3"/>
        <v>1</v>
      </c>
      <c r="AB9" s="1554">
        <f t="shared" si="4"/>
        <v>1</v>
      </c>
      <c r="AC9" s="1554">
        <f t="shared" si="5"/>
        <v>1</v>
      </c>
    </row>
    <row r="10" spans="1:29" s="1332" customFormat="1" ht="27">
      <c r="A10" s="2867"/>
      <c r="B10" s="2872" t="s">
        <v>2754</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66"/>
      <c r="Q10" s="1145" t="str">
        <f t="shared" si="6"/>
        <v>土地使用年限（年）</v>
      </c>
      <c r="R10" s="1551" t="s">
        <v>8</v>
      </c>
      <c r="S10" s="1552">
        <f t="shared" si="0"/>
        <v>100</v>
      </c>
      <c r="T10" s="1551" t="s">
        <v>8</v>
      </c>
      <c r="U10" s="1552">
        <f t="shared" si="1"/>
        <v>100</v>
      </c>
      <c r="V10" s="1551" t="s">
        <v>8</v>
      </c>
      <c r="W10" s="1552">
        <f t="shared" si="2"/>
        <v>100</v>
      </c>
      <c r="X10" s="1553"/>
      <c r="Y10" s="3312"/>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66"/>
      <c r="Q11" s="1145" t="str">
        <f t="shared" si="6"/>
        <v>容积率</v>
      </c>
      <c r="R11" s="1551" t="s">
        <v>8</v>
      </c>
      <c r="S11" s="1552" t="e">
        <f t="shared" si="0"/>
        <v>#N/A</v>
      </c>
      <c r="T11" s="1551" t="s">
        <v>8</v>
      </c>
      <c r="U11" s="1552" t="e">
        <f t="shared" si="1"/>
        <v>#N/A</v>
      </c>
      <c r="V11" s="1551" t="s">
        <v>8</v>
      </c>
      <c r="W11" s="1552" t="e">
        <f t="shared" si="2"/>
        <v>#N/A</v>
      </c>
      <c r="X11" s="1553"/>
      <c r="Y11" s="3312"/>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66"/>
      <c r="Q12" s="1145">
        <f t="shared" si="6"/>
        <v>111</v>
      </c>
      <c r="R12" s="1551" t="s">
        <v>8</v>
      </c>
      <c r="S12" s="1552">
        <f t="shared" si="0"/>
        <v>100</v>
      </c>
      <c r="T12" s="1551" t="s">
        <v>8</v>
      </c>
      <c r="U12" s="1552">
        <f t="shared" si="1"/>
        <v>100</v>
      </c>
      <c r="V12" s="1551" t="s">
        <v>8</v>
      </c>
      <c r="W12" s="1552">
        <f t="shared" si="2"/>
        <v>100</v>
      </c>
      <c r="X12" s="1553"/>
      <c r="Y12" s="3312"/>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66"/>
      <c r="Q13" s="1145">
        <f t="shared" si="6"/>
        <v>111</v>
      </c>
      <c r="R13" s="1551" t="s">
        <v>8</v>
      </c>
      <c r="S13" s="1552">
        <f t="shared" si="0"/>
        <v>100</v>
      </c>
      <c r="T13" s="1551" t="s">
        <v>8</v>
      </c>
      <c r="U13" s="1552">
        <f t="shared" si="1"/>
        <v>100</v>
      </c>
      <c r="V13" s="1551" t="s">
        <v>8</v>
      </c>
      <c r="W13" s="1552">
        <f t="shared" si="2"/>
        <v>100</v>
      </c>
      <c r="X13" s="1553"/>
      <c r="Y13" s="3312"/>
      <c r="Z13" s="1144">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66"/>
      <c r="Q14" s="1145">
        <f t="shared" si="6"/>
        <v>111</v>
      </c>
      <c r="R14" s="1551" t="s">
        <v>8</v>
      </c>
      <c r="S14" s="1552">
        <f t="shared" si="0"/>
        <v>100</v>
      </c>
      <c r="T14" s="1551" t="s">
        <v>8</v>
      </c>
      <c r="U14" s="1552">
        <f t="shared" si="1"/>
        <v>100</v>
      </c>
      <c r="V14" s="1551" t="s">
        <v>8</v>
      </c>
      <c r="W14" s="1552">
        <f t="shared" si="2"/>
        <v>100</v>
      </c>
      <c r="X14" s="1553"/>
      <c r="Y14" s="3312"/>
      <c r="Z14" s="1144">
        <f t="shared" si="7"/>
        <v>111</v>
      </c>
      <c r="AA14" s="1554">
        <f t="shared" si="3"/>
        <v>1</v>
      </c>
      <c r="AB14" s="1554">
        <f t="shared" si="4"/>
        <v>1</v>
      </c>
      <c r="AC14" s="1554">
        <f t="shared" si="5"/>
        <v>1</v>
      </c>
    </row>
    <row r="15" spans="1:29" ht="15">
      <c r="A15" s="2862"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03" t="s">
        <v>540</v>
      </c>
      <c r="Q15" s="1555" t="str">
        <f t="shared" si="6"/>
        <v>办公集聚程度</v>
      </c>
      <c r="R15" s="1556" t="s">
        <v>8</v>
      </c>
      <c r="S15" s="1557">
        <f t="shared" si="0"/>
        <v>100</v>
      </c>
      <c r="T15" s="1556" t="s">
        <v>8</v>
      </c>
      <c r="U15" s="1557">
        <f t="shared" si="1"/>
        <v>100</v>
      </c>
      <c r="V15" s="1556" t="s">
        <v>8</v>
      </c>
      <c r="W15" s="1557">
        <f t="shared" si="2"/>
        <v>100</v>
      </c>
      <c r="X15" s="1550"/>
      <c r="Y15" s="3403"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04"/>
      <c r="Q16" s="1555"/>
      <c r="R16" s="1556"/>
      <c r="S16" s="1557"/>
      <c r="T16" s="1556"/>
      <c r="U16" s="1557"/>
      <c r="V16" s="1556"/>
      <c r="W16" s="1557"/>
      <c r="X16" s="1550"/>
      <c r="Y16" s="3404"/>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04"/>
      <c r="Q17" s="1555" t="str">
        <f>B17</f>
        <v>交通便捷度</v>
      </c>
      <c r="R17" s="1556" t="s">
        <v>8</v>
      </c>
      <c r="S17" s="1557">
        <f>F17</f>
        <v>100</v>
      </c>
      <c r="T17" s="1556" t="s">
        <v>8</v>
      </c>
      <c r="U17" s="1557">
        <f>H17</f>
        <v>100</v>
      </c>
      <c r="V17" s="1556" t="s">
        <v>8</v>
      </c>
      <c r="W17" s="1557">
        <f>J17</f>
        <v>100</v>
      </c>
      <c r="X17" s="1550"/>
      <c r="Y17" s="3404"/>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04"/>
      <c r="Q18" s="1555"/>
      <c r="R18" s="1556"/>
      <c r="S18" s="1557"/>
      <c r="T18" s="1556"/>
      <c r="U18" s="1557"/>
      <c r="V18" s="1556"/>
      <c r="W18" s="1557"/>
      <c r="X18" s="1550"/>
      <c r="Y18" s="3404"/>
      <c r="Z18" s="1558"/>
      <c r="AA18" s="1559">
        <v>1</v>
      </c>
      <c r="AB18" s="1559">
        <v>1</v>
      </c>
      <c r="AC18" s="1559">
        <v>1</v>
      </c>
    </row>
    <row r="19" spans="1:29" ht="15">
      <c r="A19" s="530"/>
      <c r="B19" s="2564" t="s">
        <v>2543</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04"/>
      <c r="Q19" s="1555" t="str">
        <f>B19</f>
        <v>公共配套设施</v>
      </c>
      <c r="R19" s="1556" t="s">
        <v>8</v>
      </c>
      <c r="S19" s="1557">
        <f>F19</f>
        <v>100</v>
      </c>
      <c r="T19" s="1556" t="s">
        <v>8</v>
      </c>
      <c r="U19" s="1557">
        <f>H19</f>
        <v>100</v>
      </c>
      <c r="V19" s="1556" t="s">
        <v>8</v>
      </c>
      <c r="W19" s="1557">
        <f>J19</f>
        <v>100</v>
      </c>
      <c r="X19" s="1550"/>
      <c r="Y19" s="3404"/>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04"/>
      <c r="Q20" s="1555"/>
      <c r="R20" s="1556"/>
      <c r="S20" s="1557"/>
      <c r="T20" s="1556"/>
      <c r="U20" s="1557"/>
      <c r="V20" s="1556"/>
      <c r="W20" s="1557"/>
      <c r="X20" s="1550"/>
      <c r="Y20" s="3404"/>
      <c r="Z20" s="1558"/>
      <c r="AA20" s="1559">
        <v>1</v>
      </c>
      <c r="AB20" s="1559">
        <v>1</v>
      </c>
      <c r="AC20" s="1559">
        <v>1</v>
      </c>
    </row>
    <row r="21" spans="1:29" ht="15">
      <c r="A21" s="530"/>
      <c r="B21" s="2552" t="s">
        <v>2555</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04"/>
      <c r="Q21" s="2540" t="str">
        <f>B21</f>
        <v>基础设施水平</v>
      </c>
      <c r="R21" s="1556" t="s">
        <v>8</v>
      </c>
      <c r="S21" s="1557">
        <f>F21</f>
        <v>100</v>
      </c>
      <c r="T21" s="1556" t="s">
        <v>8</v>
      </c>
      <c r="U21" s="1557">
        <f>H21</f>
        <v>100</v>
      </c>
      <c r="V21" s="1556" t="s">
        <v>8</v>
      </c>
      <c r="W21" s="1557">
        <f>J21</f>
        <v>100</v>
      </c>
      <c r="X21" s="2542"/>
      <c r="Y21" s="3404"/>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04"/>
      <c r="Q22" s="2540"/>
      <c r="R22" s="1556"/>
      <c r="S22" s="1557"/>
      <c r="T22" s="1556"/>
      <c r="U22" s="1557"/>
      <c r="V22" s="1556"/>
      <c r="W22" s="1557"/>
      <c r="X22" s="2542"/>
      <c r="Y22" s="3404"/>
      <c r="Z22" s="2541"/>
      <c r="AA22" s="1559">
        <v>1</v>
      </c>
      <c r="AB22" s="1559">
        <v>1</v>
      </c>
      <c r="AC22" s="1559">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04"/>
      <c r="Q23" s="1555" t="str">
        <f>B23</f>
        <v>环境质量</v>
      </c>
      <c r="R23" s="1556" t="s">
        <v>8</v>
      </c>
      <c r="S23" s="1557">
        <f>F23</f>
        <v>100</v>
      </c>
      <c r="T23" s="1556" t="s">
        <v>8</v>
      </c>
      <c r="U23" s="1557">
        <f>H23</f>
        <v>100</v>
      </c>
      <c r="V23" s="1556" t="s">
        <v>8</v>
      </c>
      <c r="W23" s="1557">
        <f>J23</f>
        <v>100</v>
      </c>
      <c r="X23" s="1550"/>
      <c r="Y23" s="3404"/>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04"/>
      <c r="Q24" s="1555"/>
      <c r="R24" s="1556"/>
      <c r="S24" s="1557"/>
      <c r="T24" s="1556"/>
      <c r="U24" s="1557"/>
      <c r="V24" s="1556"/>
      <c r="W24" s="1557"/>
      <c r="X24" s="1550"/>
      <c r="Y24" s="3404"/>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04"/>
      <c r="Q25" s="1555" t="str">
        <f>B25</f>
        <v>毗邻道路的类型与等级</v>
      </c>
      <c r="R25" s="1556" t="s">
        <v>8</v>
      </c>
      <c r="S25" s="1557">
        <f>F25</f>
        <v>100</v>
      </c>
      <c r="T25" s="1556" t="s">
        <v>8</v>
      </c>
      <c r="U25" s="1557">
        <f>H25</f>
        <v>100</v>
      </c>
      <c r="V25" s="1556" t="s">
        <v>8</v>
      </c>
      <c r="W25" s="1557">
        <f>J25</f>
        <v>100</v>
      </c>
      <c r="X25" s="1550"/>
      <c r="Y25" s="3404"/>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04"/>
      <c r="Q26" s="1555"/>
      <c r="R26" s="1556"/>
      <c r="S26" s="1557"/>
      <c r="T26" s="1556"/>
      <c r="U26" s="1557"/>
      <c r="V26" s="1556"/>
      <c r="W26" s="1557"/>
      <c r="X26" s="1550"/>
      <c r="Y26" s="3404"/>
      <c r="Z26" s="1558"/>
      <c r="AA26" s="1559">
        <v>1</v>
      </c>
      <c r="AB26" s="1559">
        <v>1</v>
      </c>
      <c r="AC26" s="1559">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04"/>
      <c r="Q27" s="1555" t="str">
        <f t="shared" ref="Q27:Q47" si="11">B27</f>
        <v>楼层</v>
      </c>
      <c r="R27" s="1556" t="s">
        <v>8</v>
      </c>
      <c r="S27" s="1557">
        <f>F27</f>
        <v>100</v>
      </c>
      <c r="T27" s="1556" t="s">
        <v>8</v>
      </c>
      <c r="U27" s="1557">
        <f>H27</f>
        <v>100</v>
      </c>
      <c r="V27" s="1556" t="s">
        <v>8</v>
      </c>
      <c r="W27" s="1557">
        <f>J27</f>
        <v>100</v>
      </c>
      <c r="X27" s="1550"/>
      <c r="Y27" s="3404"/>
      <c r="Z27" s="1558" t="str">
        <f>Q27</f>
        <v>楼层</v>
      </c>
      <c r="AA27" s="1559">
        <f t="shared" si="3"/>
        <v>1</v>
      </c>
      <c r="AB27" s="1559">
        <f t="shared" si="4"/>
        <v>1</v>
      </c>
      <c r="AC27" s="1559">
        <f t="shared" si="5"/>
        <v>1</v>
      </c>
    </row>
    <row r="28" spans="1:29" s="1214"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04"/>
      <c r="Q28" s="1145" t="str">
        <f t="shared" si="11"/>
        <v>朝向</v>
      </c>
      <c r="R28" s="1551" t="s">
        <v>8</v>
      </c>
      <c r="S28" s="1552">
        <f>F28</f>
        <v>100</v>
      </c>
      <c r="T28" s="1551" t="s">
        <v>8</v>
      </c>
      <c r="U28" s="1552">
        <f>H28</f>
        <v>100</v>
      </c>
      <c r="V28" s="1551" t="s">
        <v>8</v>
      </c>
      <c r="W28" s="1552">
        <f>J28</f>
        <v>100</v>
      </c>
      <c r="X28" s="1553"/>
      <c r="Y28" s="3404"/>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04"/>
      <c r="Q29" s="1555">
        <f t="shared" si="11"/>
        <v>111</v>
      </c>
      <c r="R29" s="1556" t="s">
        <v>8</v>
      </c>
      <c r="S29" s="1557">
        <f t="shared" ref="S29:S47" si="12">F29</f>
        <v>100</v>
      </c>
      <c r="T29" s="1556" t="s">
        <v>8</v>
      </c>
      <c r="U29" s="1557">
        <f t="shared" ref="U29:U47" si="13">H29</f>
        <v>100</v>
      </c>
      <c r="V29" s="1556" t="s">
        <v>8</v>
      </c>
      <c r="W29" s="1557">
        <f t="shared" ref="W29:W47" si="14">J29</f>
        <v>100</v>
      </c>
      <c r="X29" s="1550"/>
      <c r="Y29" s="3404"/>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04"/>
      <c r="Q30" s="1555">
        <f t="shared" si="11"/>
        <v>111</v>
      </c>
      <c r="R30" s="1556" t="s">
        <v>8</v>
      </c>
      <c r="S30" s="1557">
        <f t="shared" si="12"/>
        <v>100</v>
      </c>
      <c r="T30" s="1556" t="s">
        <v>8</v>
      </c>
      <c r="U30" s="1557">
        <f t="shared" si="13"/>
        <v>100</v>
      </c>
      <c r="V30" s="1556" t="s">
        <v>8</v>
      </c>
      <c r="W30" s="1557">
        <f t="shared" si="14"/>
        <v>100</v>
      </c>
      <c r="X30" s="1550"/>
      <c r="Y30" s="3404"/>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04"/>
      <c r="Q31" s="1555">
        <f t="shared" si="11"/>
        <v>111</v>
      </c>
      <c r="R31" s="1556" t="s">
        <v>8</v>
      </c>
      <c r="S31" s="1557">
        <f t="shared" si="12"/>
        <v>100</v>
      </c>
      <c r="T31" s="1556" t="s">
        <v>8</v>
      </c>
      <c r="U31" s="1557">
        <f t="shared" si="13"/>
        <v>100</v>
      </c>
      <c r="V31" s="1556" t="s">
        <v>8</v>
      </c>
      <c r="W31" s="1557">
        <f t="shared" si="14"/>
        <v>100</v>
      </c>
      <c r="X31" s="1550"/>
      <c r="Y31" s="3404"/>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04"/>
      <c r="Q32" s="1555">
        <f t="shared" si="11"/>
        <v>111</v>
      </c>
      <c r="R32" s="1556" t="s">
        <v>8</v>
      </c>
      <c r="S32" s="1557">
        <f t="shared" si="12"/>
        <v>100</v>
      </c>
      <c r="T32" s="1556" t="s">
        <v>8</v>
      </c>
      <c r="U32" s="1557">
        <f t="shared" si="13"/>
        <v>100</v>
      </c>
      <c r="V32" s="1556" t="s">
        <v>8</v>
      </c>
      <c r="W32" s="1557">
        <f t="shared" si="14"/>
        <v>100</v>
      </c>
      <c r="X32" s="1550"/>
      <c r="Y32" s="3404"/>
      <c r="Z32" s="1558">
        <f t="shared" si="15"/>
        <v>111</v>
      </c>
      <c r="AA32" s="1559">
        <f t="shared" si="3"/>
        <v>1</v>
      </c>
      <c r="AB32" s="1559">
        <f t="shared" si="4"/>
        <v>1</v>
      </c>
      <c r="AC32" s="1559">
        <f t="shared" si="5"/>
        <v>1</v>
      </c>
    </row>
    <row r="33" spans="1:29" ht="15">
      <c r="A33" s="2859" t="s">
        <v>2752</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05" t="s">
        <v>550</v>
      </c>
      <c r="Q33" s="1555" t="str">
        <f t="shared" si="11"/>
        <v>建筑类型</v>
      </c>
      <c r="R33" s="1556" t="s">
        <v>8</v>
      </c>
      <c r="S33" s="1557">
        <f t="shared" si="12"/>
        <v>100</v>
      </c>
      <c r="T33" s="1556" t="s">
        <v>8</v>
      </c>
      <c r="U33" s="1557">
        <f t="shared" si="13"/>
        <v>100</v>
      </c>
      <c r="V33" s="1556" t="s">
        <v>8</v>
      </c>
      <c r="W33" s="1557">
        <f t="shared" si="14"/>
        <v>100</v>
      </c>
      <c r="X33" s="1550"/>
      <c r="Y33" s="3406" t="s">
        <v>550</v>
      </c>
      <c r="Z33" s="1558" t="str">
        <f t="shared" si="15"/>
        <v>建筑类型</v>
      </c>
      <c r="AA33" s="1559">
        <f t="shared" si="3"/>
        <v>1</v>
      </c>
      <c r="AB33" s="1559">
        <f t="shared" si="4"/>
        <v>1</v>
      </c>
      <c r="AC33" s="1559">
        <f t="shared" si="5"/>
        <v>1</v>
      </c>
    </row>
    <row r="34" spans="1:29" s="1333"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06"/>
      <c r="Q34" s="1587" t="str">
        <f t="shared" si="11"/>
        <v>项目建筑规模</v>
      </c>
      <c r="R34" s="1560" t="s">
        <v>8</v>
      </c>
      <c r="S34" s="1561" t="e">
        <f t="shared" si="12"/>
        <v>#N/A</v>
      </c>
      <c r="T34" s="1560" t="s">
        <v>8</v>
      </c>
      <c r="U34" s="1561" t="e">
        <f t="shared" si="13"/>
        <v>#N/A</v>
      </c>
      <c r="V34" s="1560" t="s">
        <v>8</v>
      </c>
      <c r="W34" s="1561" t="e">
        <f t="shared" si="14"/>
        <v>#N/A</v>
      </c>
      <c r="X34" s="1562"/>
      <c r="Y34" s="3406"/>
      <c r="Z34" s="1563" t="str">
        <f t="shared" si="15"/>
        <v>项目建筑规模</v>
      </c>
      <c r="AA34" s="1559" t="e">
        <f t="shared" si="3"/>
        <v>#N/A</v>
      </c>
      <c r="AB34" s="1559" t="e">
        <f t="shared" si="4"/>
        <v>#N/A</v>
      </c>
      <c r="AC34" s="1559"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06"/>
      <c r="Q35" s="1555" t="str">
        <f t="shared" si="11"/>
        <v>建筑结构</v>
      </c>
      <c r="R35" s="1556" t="s">
        <v>8</v>
      </c>
      <c r="S35" s="1557">
        <f t="shared" si="12"/>
        <v>100</v>
      </c>
      <c r="T35" s="1556" t="s">
        <v>8</v>
      </c>
      <c r="U35" s="1557">
        <f t="shared" si="13"/>
        <v>100</v>
      </c>
      <c r="V35" s="1556" t="s">
        <v>8</v>
      </c>
      <c r="W35" s="1557">
        <f t="shared" si="14"/>
        <v>100</v>
      </c>
      <c r="X35" s="1550"/>
      <c r="Y35" s="3406"/>
      <c r="Z35" s="1558" t="str">
        <f t="shared" si="15"/>
        <v>建筑结构</v>
      </c>
      <c r="AA35" s="1559">
        <f t="shared" si="3"/>
        <v>1</v>
      </c>
      <c r="AB35" s="1559">
        <f t="shared" si="4"/>
        <v>1</v>
      </c>
      <c r="AC35" s="1559">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06"/>
      <c r="Q36" s="1555" t="str">
        <f t="shared" si="11"/>
        <v>公共部分装修</v>
      </c>
      <c r="R36" s="1556" t="s">
        <v>8</v>
      </c>
      <c r="S36" s="1557">
        <f t="shared" si="12"/>
        <v>100</v>
      </c>
      <c r="T36" s="1556" t="s">
        <v>8</v>
      </c>
      <c r="U36" s="1557">
        <f t="shared" si="13"/>
        <v>100</v>
      </c>
      <c r="V36" s="1556" t="s">
        <v>8</v>
      </c>
      <c r="W36" s="1557">
        <f t="shared" si="14"/>
        <v>100</v>
      </c>
      <c r="X36" s="1550"/>
      <c r="Y36" s="3406"/>
      <c r="Z36" s="1558" t="str">
        <f t="shared" si="15"/>
        <v>公共部分装修</v>
      </c>
      <c r="AA36" s="1559">
        <f t="shared" si="3"/>
        <v>1</v>
      </c>
      <c r="AB36" s="1559">
        <f t="shared" si="4"/>
        <v>1</v>
      </c>
      <c r="AC36" s="1559">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06"/>
      <c r="Q37" s="1555" t="str">
        <f t="shared" si="11"/>
        <v>成新度</v>
      </c>
      <c r="R37" s="1556" t="s">
        <v>8</v>
      </c>
      <c r="S37" s="1557" t="e">
        <f t="shared" si="12"/>
        <v>#N/A</v>
      </c>
      <c r="T37" s="1556" t="s">
        <v>8</v>
      </c>
      <c r="U37" s="1557" t="e">
        <f t="shared" si="13"/>
        <v>#N/A</v>
      </c>
      <c r="V37" s="1556" t="s">
        <v>8</v>
      </c>
      <c r="W37" s="1557" t="e">
        <f t="shared" si="14"/>
        <v>#N/A</v>
      </c>
      <c r="X37" s="1550"/>
      <c r="Y37" s="3406"/>
      <c r="Z37" s="1558" t="str">
        <f t="shared" si="15"/>
        <v>成新度</v>
      </c>
      <c r="AA37" s="1559" t="e">
        <f t="shared" si="3"/>
        <v>#N/A</v>
      </c>
      <c r="AB37" s="1559" t="e">
        <f t="shared" si="4"/>
        <v>#N/A</v>
      </c>
      <c r="AC37" s="1559" t="e">
        <f t="shared" si="5"/>
        <v>#N/A</v>
      </c>
    </row>
    <row r="38" spans="1:29" s="1214"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06"/>
      <c r="Q38" s="1145" t="str">
        <f t="shared" si="11"/>
        <v>写字楼等级</v>
      </c>
      <c r="R38" s="1551" t="s">
        <v>8</v>
      </c>
      <c r="S38" s="1552">
        <f t="shared" si="12"/>
        <v>100</v>
      </c>
      <c r="T38" s="1551" t="s">
        <v>8</v>
      </c>
      <c r="U38" s="1552">
        <f t="shared" si="13"/>
        <v>100</v>
      </c>
      <c r="V38" s="1551" t="s">
        <v>8</v>
      </c>
      <c r="W38" s="1552">
        <f t="shared" si="14"/>
        <v>100</v>
      </c>
      <c r="X38" s="1553"/>
      <c r="Y38" s="3406"/>
      <c r="Z38" s="1144" t="str">
        <f t="shared" si="15"/>
        <v>写字楼等级</v>
      </c>
      <c r="AA38" s="1554">
        <f t="shared" si="3"/>
        <v>1</v>
      </c>
      <c r="AB38" s="1554">
        <f t="shared" si="4"/>
        <v>1</v>
      </c>
      <c r="AC38" s="1554">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06" t="s">
        <v>550</v>
      </c>
      <c r="Q39" s="1555" t="str">
        <f t="shared" si="11"/>
        <v>物业管理</v>
      </c>
      <c r="R39" s="1556" t="s">
        <v>8</v>
      </c>
      <c r="S39" s="1557">
        <f t="shared" si="12"/>
        <v>100</v>
      </c>
      <c r="T39" s="1556" t="s">
        <v>8</v>
      </c>
      <c r="U39" s="1557">
        <f t="shared" si="13"/>
        <v>100</v>
      </c>
      <c r="V39" s="1556" t="s">
        <v>8</v>
      </c>
      <c r="W39" s="1557">
        <f t="shared" si="14"/>
        <v>100</v>
      </c>
      <c r="X39" s="1550"/>
      <c r="Y39" s="3406"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06"/>
      <c r="Q40" s="1555" t="str">
        <f t="shared" si="11"/>
        <v>市政基础设施</v>
      </c>
      <c r="R40" s="1556" t="s">
        <v>8</v>
      </c>
      <c r="S40" s="1557">
        <f t="shared" si="12"/>
        <v>100</v>
      </c>
      <c r="T40" s="1556" t="s">
        <v>8</v>
      </c>
      <c r="U40" s="1557">
        <f t="shared" si="13"/>
        <v>100</v>
      </c>
      <c r="V40" s="1556" t="s">
        <v>8</v>
      </c>
      <c r="W40" s="1557">
        <f t="shared" si="14"/>
        <v>100</v>
      </c>
      <c r="X40" s="1550"/>
      <c r="Y40" s="3406"/>
      <c r="Z40" s="1558" t="str">
        <f t="shared" si="15"/>
        <v>市政基础设施</v>
      </c>
      <c r="AA40" s="1559">
        <f t="shared" si="3"/>
        <v>1</v>
      </c>
      <c r="AB40" s="1559">
        <f t="shared" si="4"/>
        <v>1</v>
      </c>
      <c r="AC40" s="1559">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06"/>
      <c r="Q41" s="1555" t="str">
        <f t="shared" si="11"/>
        <v>层高</v>
      </c>
      <c r="R41" s="1556" t="s">
        <v>8</v>
      </c>
      <c r="S41" s="1557">
        <f t="shared" si="12"/>
        <v>100</v>
      </c>
      <c r="T41" s="1556" t="s">
        <v>8</v>
      </c>
      <c r="U41" s="1557">
        <f t="shared" si="13"/>
        <v>100</v>
      </c>
      <c r="V41" s="1556" t="s">
        <v>8</v>
      </c>
      <c r="W41" s="1557">
        <f t="shared" si="14"/>
        <v>100</v>
      </c>
      <c r="X41" s="1550"/>
      <c r="Y41" s="3406"/>
      <c r="Z41" s="1558" t="str">
        <f t="shared" si="15"/>
        <v>层高</v>
      </c>
      <c r="AA41" s="1559">
        <f t="shared" si="3"/>
        <v>1</v>
      </c>
      <c r="AB41" s="1559">
        <f t="shared" si="4"/>
        <v>1</v>
      </c>
      <c r="AC41" s="1559">
        <f t="shared" si="5"/>
        <v>1</v>
      </c>
    </row>
    <row r="42" spans="1:29" s="1333"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06"/>
      <c r="Q42" s="1587" t="str">
        <f t="shared" si="11"/>
        <v>单套建筑面积</v>
      </c>
      <c r="R42" s="1560" t="s">
        <v>8</v>
      </c>
      <c r="S42" s="1561">
        <f t="shared" si="12"/>
        <v>100</v>
      </c>
      <c r="T42" s="1560" t="s">
        <v>8</v>
      </c>
      <c r="U42" s="1561">
        <f t="shared" si="13"/>
        <v>100</v>
      </c>
      <c r="V42" s="1560" t="s">
        <v>8</v>
      </c>
      <c r="W42" s="1561">
        <f t="shared" si="14"/>
        <v>100</v>
      </c>
      <c r="X42" s="1562"/>
      <c r="Y42" s="3406"/>
      <c r="Z42" s="1563" t="str">
        <f t="shared" si="15"/>
        <v>单套建筑面积</v>
      </c>
      <c r="AA42" s="1559">
        <f t="shared" si="3"/>
        <v>1</v>
      </c>
      <c r="AB42" s="1559">
        <f t="shared" si="4"/>
        <v>1</v>
      </c>
      <c r="AC42" s="1559">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06"/>
      <c r="Q43" s="1555" t="str">
        <f t="shared" si="11"/>
        <v>内部装修</v>
      </c>
      <c r="R43" s="1556" t="s">
        <v>8</v>
      </c>
      <c r="S43" s="1557">
        <f t="shared" si="12"/>
        <v>100</v>
      </c>
      <c r="T43" s="1556" t="s">
        <v>8</v>
      </c>
      <c r="U43" s="1557">
        <f t="shared" si="13"/>
        <v>100</v>
      </c>
      <c r="V43" s="1556" t="s">
        <v>8</v>
      </c>
      <c r="W43" s="1557">
        <f t="shared" si="14"/>
        <v>100</v>
      </c>
      <c r="X43" s="1550"/>
      <c r="Y43" s="3406"/>
      <c r="Z43" s="1558" t="str">
        <f t="shared" si="15"/>
        <v>内部装修</v>
      </c>
      <c r="AA43" s="1559">
        <f t="shared" si="3"/>
        <v>1</v>
      </c>
      <c r="AB43" s="1559">
        <f t="shared" si="4"/>
        <v>1</v>
      </c>
      <c r="AC43" s="1559">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06"/>
      <c r="Q44" s="1555" t="str">
        <f t="shared" si="11"/>
        <v>内部装修维护情况</v>
      </c>
      <c r="R44" s="1556" t="s">
        <v>8</v>
      </c>
      <c r="S44" s="1557">
        <f t="shared" si="12"/>
        <v>100</v>
      </c>
      <c r="T44" s="1556" t="s">
        <v>8</v>
      </c>
      <c r="U44" s="1557">
        <f t="shared" si="13"/>
        <v>100</v>
      </c>
      <c r="V44" s="1556" t="s">
        <v>8</v>
      </c>
      <c r="W44" s="1557">
        <f t="shared" si="14"/>
        <v>100</v>
      </c>
      <c r="X44" s="1550"/>
      <c r="Y44" s="3406"/>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06"/>
      <c r="Q45" s="1145">
        <f t="shared" si="11"/>
        <v>111</v>
      </c>
      <c r="R45" s="1551" t="s">
        <v>8</v>
      </c>
      <c r="S45" s="1552">
        <f t="shared" si="12"/>
        <v>100</v>
      </c>
      <c r="T45" s="1551" t="s">
        <v>8</v>
      </c>
      <c r="U45" s="1552">
        <f t="shared" si="13"/>
        <v>100</v>
      </c>
      <c r="V45" s="1551" t="s">
        <v>8</v>
      </c>
      <c r="W45" s="1552">
        <f t="shared" si="14"/>
        <v>100</v>
      </c>
      <c r="X45" s="1553"/>
      <c r="Y45" s="3406"/>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06"/>
      <c r="Q46" s="1555">
        <f t="shared" si="11"/>
        <v>111</v>
      </c>
      <c r="R46" s="1556" t="s">
        <v>8</v>
      </c>
      <c r="S46" s="1557">
        <f t="shared" si="12"/>
        <v>100</v>
      </c>
      <c r="T46" s="1556" t="s">
        <v>8</v>
      </c>
      <c r="U46" s="1557">
        <f t="shared" si="13"/>
        <v>100</v>
      </c>
      <c r="V46" s="1556" t="s">
        <v>8</v>
      </c>
      <c r="W46" s="1557">
        <f t="shared" si="14"/>
        <v>100</v>
      </c>
      <c r="X46" s="1550"/>
      <c r="Y46" s="3406"/>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62"/>
      <c r="Q47" s="1555">
        <f t="shared" si="11"/>
        <v>111</v>
      </c>
      <c r="R47" s="1556" t="s">
        <v>8</v>
      </c>
      <c r="S47" s="1557">
        <f t="shared" si="12"/>
        <v>100</v>
      </c>
      <c r="T47" s="1556" t="s">
        <v>8</v>
      </c>
      <c r="U47" s="1557">
        <f t="shared" si="13"/>
        <v>100</v>
      </c>
      <c r="V47" s="1556" t="s">
        <v>8</v>
      </c>
      <c r="W47" s="1557">
        <f t="shared" si="14"/>
        <v>100</v>
      </c>
      <c r="X47" s="1550"/>
      <c r="Y47" s="3462"/>
      <c r="Z47" s="1558">
        <f t="shared" si="15"/>
        <v>111</v>
      </c>
      <c r="AA47" s="1559">
        <f t="shared" si="3"/>
        <v>1</v>
      </c>
      <c r="AB47" s="1559">
        <f t="shared" si="4"/>
        <v>1</v>
      </c>
      <c r="AC47" s="1559">
        <f t="shared" si="5"/>
        <v>1</v>
      </c>
    </row>
    <row r="48" spans="1:29" ht="15">
      <c r="A48" s="605" t="s">
        <v>735</v>
      </c>
      <c r="B48" s="885"/>
      <c r="C48" s="2588" t="s">
        <v>1</v>
      </c>
      <c r="D48" s="2589"/>
      <c r="E48" s="2590"/>
      <c r="F48" s="2591"/>
      <c r="G48" s="2592"/>
      <c r="H48" s="2593"/>
      <c r="I48" s="2590"/>
      <c r="J48" s="2593"/>
      <c r="K48" s="1593"/>
      <c r="L48" s="2126"/>
      <c r="M48" s="2116"/>
      <c r="N48" s="2116"/>
      <c r="O48" s="2116"/>
      <c r="P48" s="3364" t="str">
        <f>A48</f>
        <v>成交单价（元/平方米）</v>
      </c>
      <c r="Q48" s="3366"/>
      <c r="R48" s="3461">
        <f>E48</f>
        <v>0</v>
      </c>
      <c r="S48" s="3461"/>
      <c r="T48" s="3461">
        <f>G48</f>
        <v>0</v>
      </c>
      <c r="U48" s="3461"/>
      <c r="V48" s="3461">
        <f>I48</f>
        <v>0</v>
      </c>
      <c r="W48" s="3461"/>
      <c r="X48" s="1542"/>
      <c r="Y48" s="1564"/>
      <c r="Z48" s="1542"/>
      <c r="AA48" s="1542"/>
      <c r="AB48" s="1542"/>
      <c r="AC48" s="1542"/>
    </row>
    <row r="49" spans="1:29" ht="15.75" thickBot="1">
      <c r="A49" s="613" t="s">
        <v>2757</v>
      </c>
      <c r="B49" s="886"/>
      <c r="C49" s="2594" t="e">
        <f>R50</f>
        <v>#DIV/0!</v>
      </c>
      <c r="D49" s="2595"/>
      <c r="E49" s="2596" t="e">
        <f>R49</f>
        <v>#DIV/0!</v>
      </c>
      <c r="F49" s="2596"/>
      <c r="G49" s="2594" t="e">
        <f>T49</f>
        <v>#DIV/0!</v>
      </c>
      <c r="H49" s="2595"/>
      <c r="I49" s="2596" t="e">
        <f>V49</f>
        <v>#DIV/0!</v>
      </c>
      <c r="J49" s="2595"/>
      <c r="K49" s="1594"/>
      <c r="L49" s="2126"/>
      <c r="M49" s="2116"/>
      <c r="N49" s="2116"/>
      <c r="O49" s="2116"/>
      <c r="P49" s="3364" t="str">
        <f>A49</f>
        <v>比较价格（元/平方米）</v>
      </c>
      <c r="Q49" s="3366"/>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42"/>
      <c r="Y49" s="1542"/>
      <c r="Z49" s="1542"/>
      <c r="AA49" s="1542"/>
      <c r="AB49" s="1542"/>
      <c r="AC49" s="1542"/>
    </row>
    <row r="50" spans="1:29" ht="15.75" thickBot="1">
      <c r="A50" s="619" t="s">
        <v>2924</v>
      </c>
      <c r="B50" s="620"/>
      <c r="C50" s="2597" t="e">
        <f>R50</f>
        <v>#DIV/0!</v>
      </c>
      <c r="D50" s="2597"/>
      <c r="E50" s="2597"/>
      <c r="F50" s="2597"/>
      <c r="G50" s="2597"/>
      <c r="H50" s="2597"/>
      <c r="I50" s="2597"/>
      <c r="J50" s="2597"/>
      <c r="K50" s="1595"/>
      <c r="L50" s="2126"/>
      <c r="M50" s="2116"/>
      <c r="N50" s="2116"/>
      <c r="O50" s="2116"/>
      <c r="P50" s="3488" t="str">
        <f>A50</f>
        <v>估价对象XX用房的比较价格（楼面单价，元/平方米）</v>
      </c>
      <c r="Q50" s="3364"/>
      <c r="R50" s="3460" t="e">
        <f>IF(F1="售价",ROUND(AVERAGE(R49:V49),0),ROUND(AVERAGE(R49:V49),1))</f>
        <v>#DIV/0!</v>
      </c>
      <c r="S50" s="3460"/>
      <c r="T50" s="3460"/>
      <c r="U50" s="3460"/>
      <c r="V50" s="3460"/>
      <c r="W50" s="3460"/>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3" t="s">
        <v>529</v>
      </c>
      <c r="B59" s="644"/>
      <c r="C59" s="2754" t="str">
        <f>YEAR(C7)&amp;"-"&amp;MONTH(C7)</f>
        <v>2019-12</v>
      </c>
      <c r="D59" s="2756">
        <f>EDATE(C59,-1)</f>
        <v>43770</v>
      </c>
      <c r="E59" s="2756">
        <f t="shared" ref="E59:O59" si="16">EDATE(D59,-1)</f>
        <v>43739</v>
      </c>
      <c r="F59" s="2756">
        <f t="shared" si="16"/>
        <v>43709</v>
      </c>
      <c r="G59" s="2756">
        <f t="shared" si="16"/>
        <v>43678</v>
      </c>
      <c r="H59" s="2756">
        <f t="shared" si="16"/>
        <v>43647</v>
      </c>
      <c r="I59" s="2756">
        <f t="shared" si="16"/>
        <v>43617</v>
      </c>
      <c r="J59" s="2756">
        <f t="shared" si="16"/>
        <v>43586</v>
      </c>
      <c r="K59" s="2756">
        <f t="shared" si="16"/>
        <v>43556</v>
      </c>
      <c r="L59" s="2756">
        <f t="shared" si="16"/>
        <v>43525</v>
      </c>
      <c r="M59" s="2756">
        <f t="shared" si="16"/>
        <v>43497</v>
      </c>
      <c r="N59" s="2756">
        <f t="shared" si="16"/>
        <v>43466</v>
      </c>
      <c r="O59" s="2756">
        <f t="shared" si="16"/>
        <v>43435</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783</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784</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746</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748</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750</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785</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752</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786</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774</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754</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93.75">
      <c r="A7" s="2825" t="s">
        <v>2745</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2019年12月18日（评估专业人员勘察现场之日）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2746</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row>
    <row r="26" spans="1:1" ht="93.75">
      <c r="A26" s="177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787</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72" t="s">
        <v>522</v>
      </c>
      <c r="D4" s="3373"/>
      <c r="E4" s="3409" t="s">
        <v>523</v>
      </c>
      <c r="F4" s="3410"/>
      <c r="G4" s="3372" t="s">
        <v>524</v>
      </c>
      <c r="H4" s="3373"/>
      <c r="I4" s="3372" t="s">
        <v>525</v>
      </c>
      <c r="J4" s="3373"/>
      <c r="K4" s="512" t="s">
        <v>526</v>
      </c>
      <c r="L4" s="2115"/>
      <c r="M4" s="2116"/>
      <c r="N4" s="2116"/>
      <c r="O4" s="2116"/>
      <c r="P4" s="3374" t="s">
        <v>527</v>
      </c>
      <c r="Q4" s="3375"/>
      <c r="R4" s="3380" t="s">
        <v>523</v>
      </c>
      <c r="S4" s="3381"/>
      <c r="T4" s="3380" t="s">
        <v>524</v>
      </c>
      <c r="U4" s="3381"/>
      <c r="V4" s="3367" t="s">
        <v>525</v>
      </c>
      <c r="W4" s="3367"/>
      <c r="X4" s="1550"/>
      <c r="Y4" s="3380" t="s">
        <v>527</v>
      </c>
      <c r="Z4" s="3381"/>
      <c r="AA4" s="3369" t="s">
        <v>523</v>
      </c>
      <c r="AB4" s="3370" t="s">
        <v>524</v>
      </c>
      <c r="AC4" s="3369" t="s">
        <v>525</v>
      </c>
    </row>
    <row r="5" spans="1:29" ht="15">
      <c r="A5" s="513"/>
      <c r="B5" s="514"/>
      <c r="C5" s="3388" t="s">
        <v>2918</v>
      </c>
      <c r="D5" s="3389"/>
      <c r="E5" s="3393" t="s">
        <v>2919</v>
      </c>
      <c r="F5" s="3394"/>
      <c r="G5" s="3388" t="s">
        <v>2920</v>
      </c>
      <c r="H5" s="3389"/>
      <c r="I5" s="3388" t="s">
        <v>2921</v>
      </c>
      <c r="J5" s="3389"/>
      <c r="K5" s="512"/>
      <c r="L5" s="2115"/>
      <c r="M5" s="2116"/>
      <c r="N5" s="2116"/>
      <c r="O5" s="2116"/>
      <c r="P5" s="3376"/>
      <c r="Q5" s="3377"/>
      <c r="R5" s="3382"/>
      <c r="S5" s="3383"/>
      <c r="T5" s="3382"/>
      <c r="U5" s="3383"/>
      <c r="V5" s="3367"/>
      <c r="W5" s="3367"/>
      <c r="X5" s="1550"/>
      <c r="Y5" s="3382"/>
      <c r="Z5" s="3383"/>
      <c r="AA5" s="3370"/>
      <c r="AB5" s="3370"/>
      <c r="AC5" s="3370"/>
    </row>
    <row r="6" spans="1:29" ht="15.75" thickBot="1">
      <c r="A6" s="515"/>
      <c r="B6" s="516"/>
      <c r="C6" s="3407" t="s">
        <v>2922</v>
      </c>
      <c r="D6" s="3408"/>
      <c r="E6" s="3392" t="s">
        <v>2922</v>
      </c>
      <c r="F6" s="3387"/>
      <c r="G6" s="3407" t="s">
        <v>2922</v>
      </c>
      <c r="H6" s="3408"/>
      <c r="I6" s="3407" t="s">
        <v>2922</v>
      </c>
      <c r="J6" s="3408"/>
      <c r="K6" s="512" t="s">
        <v>528</v>
      </c>
      <c r="L6" s="2115"/>
      <c r="M6" s="2116"/>
      <c r="N6" s="2116"/>
      <c r="O6" s="2116"/>
      <c r="P6" s="3378"/>
      <c r="Q6" s="3379"/>
      <c r="R6" s="3382"/>
      <c r="S6" s="3383"/>
      <c r="T6" s="3384"/>
      <c r="U6" s="3385"/>
      <c r="V6" s="3367"/>
      <c r="W6" s="3367"/>
      <c r="X6" s="1550"/>
      <c r="Y6" s="3384"/>
      <c r="Z6" s="3385"/>
      <c r="AA6" s="3371"/>
      <c r="AB6" s="3371"/>
      <c r="AC6" s="3371"/>
    </row>
    <row r="7" spans="1:29" s="1214" customFormat="1" ht="15.75" thickBot="1">
      <c r="A7" s="2864"/>
      <c r="B7" s="2871" t="s">
        <v>529</v>
      </c>
      <c r="C7" s="517">
        <f>'数据-取费表'!B2</f>
        <v>43817</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00" t="s">
        <v>530</v>
      </c>
      <c r="Q7" s="3402"/>
      <c r="R7" s="1551" t="s">
        <v>8</v>
      </c>
      <c r="S7" s="1552">
        <f t="shared" ref="S7:S15" si="0">F7</f>
        <v>0</v>
      </c>
      <c r="T7" s="1551" t="s">
        <v>8</v>
      </c>
      <c r="U7" s="1552">
        <f t="shared" ref="U7:U15" si="1">H7</f>
        <v>0</v>
      </c>
      <c r="V7" s="1551" t="s">
        <v>8</v>
      </c>
      <c r="W7" s="1552">
        <f t="shared" ref="W7:W15" si="2">J7</f>
        <v>0</v>
      </c>
      <c r="X7" s="1553"/>
      <c r="Y7" s="3400" t="s">
        <v>530</v>
      </c>
      <c r="Z7" s="3401"/>
      <c r="AA7" s="1554" t="e">
        <f>D7/F7</f>
        <v>#DIV/0!</v>
      </c>
      <c r="AB7" s="1554" t="e">
        <f>D7/H7</f>
        <v>#DIV/0!</v>
      </c>
      <c r="AC7" s="1554" t="e">
        <f>D7/J7</f>
        <v>#DIV/0!</v>
      </c>
    </row>
    <row r="8" spans="1:29" s="1214"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00" t="s">
        <v>533</v>
      </c>
      <c r="Q8" s="3401"/>
      <c r="R8" s="1551" t="s">
        <v>8</v>
      </c>
      <c r="S8" s="1552">
        <f t="shared" si="0"/>
        <v>0</v>
      </c>
      <c r="T8" s="1551" t="s">
        <v>8</v>
      </c>
      <c r="U8" s="1552">
        <f t="shared" si="1"/>
        <v>0</v>
      </c>
      <c r="V8" s="1551" t="s">
        <v>8</v>
      </c>
      <c r="W8" s="1552">
        <f t="shared" si="2"/>
        <v>0</v>
      </c>
      <c r="X8" s="1553"/>
      <c r="Y8" s="3400" t="s">
        <v>533</v>
      </c>
      <c r="Z8" s="3401"/>
      <c r="AA8" s="1554" t="e">
        <f t="shared" ref="AA8:AA40" si="3">D8/F8</f>
        <v>#DIV/0!</v>
      </c>
      <c r="AB8" s="1554" t="e">
        <f t="shared" ref="AB8:AB40" si="4">D8/H8</f>
        <v>#DIV/0!</v>
      </c>
      <c r="AC8" s="1554" t="e">
        <f t="shared" ref="AC8:AC40" si="5">D8/J8</f>
        <v>#DIV/0!</v>
      </c>
    </row>
    <row r="9" spans="1:29" s="1214" customFormat="1" ht="15">
      <c r="A9" s="2866"/>
      <c r="B9" s="2873" t="s">
        <v>2753</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66" t="s">
        <v>535</v>
      </c>
      <c r="Q9" s="1145" t="str">
        <f t="shared" ref="Q9:Q15" si="6">B9</f>
        <v>用途</v>
      </c>
      <c r="R9" s="1551" t="s">
        <v>8</v>
      </c>
      <c r="S9" s="1552">
        <f t="shared" si="0"/>
        <v>100</v>
      </c>
      <c r="T9" s="1551" t="s">
        <v>8</v>
      </c>
      <c r="U9" s="1552">
        <f t="shared" si="1"/>
        <v>100</v>
      </c>
      <c r="V9" s="1551" t="s">
        <v>8</v>
      </c>
      <c r="W9" s="1552">
        <f t="shared" si="2"/>
        <v>100</v>
      </c>
      <c r="X9" s="1553"/>
      <c r="Y9" s="3312" t="s">
        <v>536</v>
      </c>
      <c r="Z9" s="1144" t="str">
        <f t="shared" ref="Z9:Z15" si="7">Q9</f>
        <v>用途</v>
      </c>
      <c r="AA9" s="1554">
        <f t="shared" si="3"/>
        <v>1</v>
      </c>
      <c r="AB9" s="1554">
        <f t="shared" si="4"/>
        <v>1</v>
      </c>
      <c r="AC9" s="1554">
        <f t="shared" si="5"/>
        <v>1</v>
      </c>
    </row>
    <row r="10" spans="1:29" s="1332" customFormat="1" ht="27">
      <c r="A10" s="2867"/>
      <c r="B10" s="2872" t="s">
        <v>2754</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66"/>
      <c r="Q10" s="1145" t="str">
        <f t="shared" si="6"/>
        <v>土地使用年限（年）</v>
      </c>
      <c r="R10" s="1551" t="s">
        <v>8</v>
      </c>
      <c r="S10" s="1552">
        <f t="shared" si="0"/>
        <v>100</v>
      </c>
      <c r="T10" s="1551" t="s">
        <v>8</v>
      </c>
      <c r="U10" s="1552">
        <f t="shared" si="1"/>
        <v>100</v>
      </c>
      <c r="V10" s="1551" t="s">
        <v>8</v>
      </c>
      <c r="W10" s="1552">
        <f t="shared" si="2"/>
        <v>100</v>
      </c>
      <c r="X10" s="1553"/>
      <c r="Y10" s="3312"/>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66"/>
      <c r="Q11" s="1145" t="str">
        <f t="shared" si="6"/>
        <v>容积率</v>
      </c>
      <c r="R11" s="1551" t="s">
        <v>8</v>
      </c>
      <c r="S11" s="1552" t="e">
        <f t="shared" si="0"/>
        <v>#N/A</v>
      </c>
      <c r="T11" s="1551" t="s">
        <v>8</v>
      </c>
      <c r="U11" s="1552" t="e">
        <f t="shared" si="1"/>
        <v>#N/A</v>
      </c>
      <c r="V11" s="1551" t="s">
        <v>8</v>
      </c>
      <c r="W11" s="1552" t="e">
        <f t="shared" si="2"/>
        <v>#N/A</v>
      </c>
      <c r="X11" s="1553"/>
      <c r="Y11" s="3312"/>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66"/>
      <c r="Q12" s="1145">
        <f t="shared" si="6"/>
        <v>111</v>
      </c>
      <c r="R12" s="1551" t="s">
        <v>8</v>
      </c>
      <c r="S12" s="1552">
        <f t="shared" si="0"/>
        <v>100</v>
      </c>
      <c r="T12" s="1551" t="s">
        <v>8</v>
      </c>
      <c r="U12" s="1552">
        <f t="shared" si="1"/>
        <v>100</v>
      </c>
      <c r="V12" s="1551" t="s">
        <v>8</v>
      </c>
      <c r="W12" s="1552">
        <f t="shared" si="2"/>
        <v>100</v>
      </c>
      <c r="X12" s="1553"/>
      <c r="Y12" s="3312"/>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66"/>
      <c r="Q13" s="1145">
        <f t="shared" si="6"/>
        <v>111</v>
      </c>
      <c r="R13" s="1551" t="s">
        <v>8</v>
      </c>
      <c r="S13" s="1552">
        <f t="shared" si="0"/>
        <v>100</v>
      </c>
      <c r="T13" s="1551" t="s">
        <v>8</v>
      </c>
      <c r="U13" s="1552">
        <f t="shared" si="1"/>
        <v>100</v>
      </c>
      <c r="V13" s="1551" t="s">
        <v>8</v>
      </c>
      <c r="W13" s="1552">
        <f t="shared" si="2"/>
        <v>100</v>
      </c>
      <c r="X13" s="1553"/>
      <c r="Y13" s="3312"/>
      <c r="Z13" s="1144">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66"/>
      <c r="Q14" s="1145">
        <f t="shared" si="6"/>
        <v>111</v>
      </c>
      <c r="R14" s="1551" t="s">
        <v>8</v>
      </c>
      <c r="S14" s="1552">
        <f t="shared" si="0"/>
        <v>100</v>
      </c>
      <c r="T14" s="1551" t="s">
        <v>8</v>
      </c>
      <c r="U14" s="1552">
        <f t="shared" si="1"/>
        <v>100</v>
      </c>
      <c r="V14" s="1551" t="s">
        <v>8</v>
      </c>
      <c r="W14" s="1552">
        <f t="shared" si="2"/>
        <v>100</v>
      </c>
      <c r="X14" s="1553"/>
      <c r="Y14" s="3312"/>
      <c r="Z14" s="1144">
        <f t="shared" si="7"/>
        <v>111</v>
      </c>
      <c r="AA14" s="1554">
        <f t="shared" si="3"/>
        <v>1</v>
      </c>
      <c r="AB14" s="1554">
        <f t="shared" si="4"/>
        <v>1</v>
      </c>
      <c r="AC14" s="1554">
        <f t="shared" si="5"/>
        <v>1</v>
      </c>
    </row>
    <row r="15" spans="1:29" ht="15">
      <c r="A15" s="2862" t="s">
        <v>2751</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03" t="s">
        <v>540</v>
      </c>
      <c r="Q15" s="1555" t="str">
        <f t="shared" si="6"/>
        <v>产业集聚程度</v>
      </c>
      <c r="R15" s="1556" t="s">
        <v>8</v>
      </c>
      <c r="S15" s="1557">
        <f t="shared" si="0"/>
        <v>100</v>
      </c>
      <c r="T15" s="1556" t="s">
        <v>8</v>
      </c>
      <c r="U15" s="1557">
        <f t="shared" si="1"/>
        <v>100</v>
      </c>
      <c r="V15" s="1556" t="s">
        <v>8</v>
      </c>
      <c r="W15" s="1557">
        <f t="shared" si="2"/>
        <v>100</v>
      </c>
      <c r="X15" s="1550"/>
      <c r="Y15" s="3403"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04"/>
      <c r="Q16" s="1555"/>
      <c r="R16" s="1556"/>
      <c r="S16" s="1557"/>
      <c r="T16" s="1556"/>
      <c r="U16" s="1557"/>
      <c r="V16" s="1556"/>
      <c r="W16" s="1557"/>
      <c r="X16" s="1550"/>
      <c r="Y16" s="3404"/>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04"/>
      <c r="Q17" s="1555" t="str">
        <f>B17</f>
        <v>交通便捷度</v>
      </c>
      <c r="R17" s="1556" t="s">
        <v>8</v>
      </c>
      <c r="S17" s="1557">
        <f>F17</f>
        <v>100</v>
      </c>
      <c r="T17" s="1556" t="s">
        <v>8</v>
      </c>
      <c r="U17" s="1557">
        <f>H17</f>
        <v>100</v>
      </c>
      <c r="V17" s="1556" t="s">
        <v>8</v>
      </c>
      <c r="W17" s="1557">
        <f>J17</f>
        <v>100</v>
      </c>
      <c r="X17" s="1550"/>
      <c r="Y17" s="3404"/>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04"/>
      <c r="Q18" s="1555"/>
      <c r="R18" s="1556"/>
      <c r="S18" s="1557"/>
      <c r="T18" s="1556"/>
      <c r="U18" s="1557"/>
      <c r="V18" s="1556"/>
      <c r="W18" s="1557"/>
      <c r="X18" s="1550"/>
      <c r="Y18" s="3404"/>
      <c r="Z18" s="1558"/>
      <c r="AA18" s="1559">
        <v>1</v>
      </c>
      <c r="AB18" s="1559">
        <v>1</v>
      </c>
      <c r="AC18" s="1559">
        <v>1</v>
      </c>
    </row>
    <row r="19" spans="1:29" ht="15">
      <c r="A19" s="530"/>
      <c r="B19" s="2564"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04"/>
      <c r="Q19" s="1555" t="str">
        <f>B19</f>
        <v>公共配套设施</v>
      </c>
      <c r="R19" s="1556" t="s">
        <v>8</v>
      </c>
      <c r="S19" s="1557">
        <f>F19</f>
        <v>100</v>
      </c>
      <c r="T19" s="1556" t="s">
        <v>8</v>
      </c>
      <c r="U19" s="1557">
        <f>H19</f>
        <v>100</v>
      </c>
      <c r="V19" s="1556" t="s">
        <v>8</v>
      </c>
      <c r="W19" s="1557">
        <f>J19</f>
        <v>100</v>
      </c>
      <c r="X19" s="1550"/>
      <c r="Y19" s="3404"/>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04"/>
      <c r="Q20" s="1555"/>
      <c r="R20" s="1556"/>
      <c r="S20" s="1557"/>
      <c r="T20" s="1556"/>
      <c r="U20" s="1557"/>
      <c r="V20" s="1556"/>
      <c r="W20" s="1557"/>
      <c r="X20" s="1550"/>
      <c r="Y20" s="3404"/>
      <c r="Z20" s="1558"/>
      <c r="AA20" s="1559">
        <v>1</v>
      </c>
      <c r="AB20" s="1559">
        <v>1</v>
      </c>
      <c r="AC20" s="1559">
        <v>1</v>
      </c>
    </row>
    <row r="21" spans="1:29" ht="15">
      <c r="A21" s="530"/>
      <c r="B21" s="2552"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04"/>
      <c r="Q21" s="2540" t="str">
        <f>B21</f>
        <v>基础设施水平</v>
      </c>
      <c r="R21" s="1556" t="s">
        <v>8</v>
      </c>
      <c r="S21" s="1557">
        <f>F21</f>
        <v>100</v>
      </c>
      <c r="T21" s="1556" t="s">
        <v>8</v>
      </c>
      <c r="U21" s="1557">
        <f>H21</f>
        <v>100</v>
      </c>
      <c r="V21" s="1556" t="s">
        <v>8</v>
      </c>
      <c r="W21" s="1557">
        <f>J21</f>
        <v>100</v>
      </c>
      <c r="X21" s="2542"/>
      <c r="Y21" s="3404"/>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04"/>
      <c r="Q22" s="2540"/>
      <c r="R22" s="1556"/>
      <c r="S22" s="1557"/>
      <c r="T22" s="1556"/>
      <c r="U22" s="1557"/>
      <c r="V22" s="1556"/>
      <c r="W22" s="1557"/>
      <c r="X22" s="2542"/>
      <c r="Y22" s="3404"/>
      <c r="Z22" s="2541"/>
      <c r="AA22" s="1559">
        <v>1</v>
      </c>
      <c r="AB22" s="1559">
        <v>1</v>
      </c>
      <c r="AC22" s="1559">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04"/>
      <c r="Q23" s="1555" t="str">
        <f>B23</f>
        <v>环境质量</v>
      </c>
      <c r="R23" s="1556" t="s">
        <v>8</v>
      </c>
      <c r="S23" s="1557">
        <f>F23</f>
        <v>100</v>
      </c>
      <c r="T23" s="1556" t="s">
        <v>8</v>
      </c>
      <c r="U23" s="1557">
        <f>H23</f>
        <v>100</v>
      </c>
      <c r="V23" s="1556" t="s">
        <v>8</v>
      </c>
      <c r="W23" s="1557">
        <f>J23</f>
        <v>100</v>
      </c>
      <c r="X23" s="1550"/>
      <c r="Y23" s="3404"/>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04"/>
      <c r="Q24" s="1555"/>
      <c r="R24" s="1556"/>
      <c r="S24" s="1557"/>
      <c r="T24" s="1556"/>
      <c r="U24" s="1557"/>
      <c r="V24" s="1556"/>
      <c r="W24" s="1557"/>
      <c r="X24" s="1550"/>
      <c r="Y24" s="3404"/>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04"/>
      <c r="Q25" s="1555">
        <f>B25</f>
        <v>111</v>
      </c>
      <c r="R25" s="1556" t="s">
        <v>8</v>
      </c>
      <c r="S25" s="1557">
        <f>F25</f>
        <v>100</v>
      </c>
      <c r="T25" s="1556" t="s">
        <v>8</v>
      </c>
      <c r="U25" s="1557">
        <f>H25</f>
        <v>100</v>
      </c>
      <c r="V25" s="1556" t="s">
        <v>8</v>
      </c>
      <c r="W25" s="1557">
        <f>J25</f>
        <v>100</v>
      </c>
      <c r="X25" s="1550"/>
      <c r="Y25" s="3404"/>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04"/>
      <c r="Q26" s="1555">
        <f t="shared" ref="Q26:Q40" si="11">B26</f>
        <v>111</v>
      </c>
      <c r="R26" s="1556" t="s">
        <v>8</v>
      </c>
      <c r="S26" s="1557">
        <f>F26</f>
        <v>100</v>
      </c>
      <c r="T26" s="1556" t="s">
        <v>8</v>
      </c>
      <c r="U26" s="1557">
        <f>H26</f>
        <v>100</v>
      </c>
      <c r="V26" s="1556" t="s">
        <v>8</v>
      </c>
      <c r="W26" s="1557">
        <f>J26</f>
        <v>100</v>
      </c>
      <c r="X26" s="1550"/>
      <c r="Y26" s="3404"/>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04"/>
      <c r="Q27" s="1145">
        <f t="shared" si="11"/>
        <v>111</v>
      </c>
      <c r="R27" s="1551" t="s">
        <v>8</v>
      </c>
      <c r="S27" s="1552">
        <f>F27</f>
        <v>100</v>
      </c>
      <c r="T27" s="1551" t="s">
        <v>8</v>
      </c>
      <c r="U27" s="1552">
        <f>H27</f>
        <v>100</v>
      </c>
      <c r="V27" s="1551" t="s">
        <v>8</v>
      </c>
      <c r="W27" s="1552">
        <f>J27</f>
        <v>100</v>
      </c>
      <c r="X27" s="1553"/>
      <c r="Y27" s="3404"/>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04"/>
      <c r="Q28" s="1555">
        <f t="shared" si="11"/>
        <v>111</v>
      </c>
      <c r="R28" s="1556" t="s">
        <v>8</v>
      </c>
      <c r="S28" s="1557">
        <f t="shared" ref="S28:S40" si="12">F28</f>
        <v>100</v>
      </c>
      <c r="T28" s="1556" t="s">
        <v>8</v>
      </c>
      <c r="U28" s="1557">
        <f t="shared" ref="U28:U40" si="13">H28</f>
        <v>100</v>
      </c>
      <c r="V28" s="1556" t="s">
        <v>8</v>
      </c>
      <c r="W28" s="1557">
        <f t="shared" ref="W28:W40" si="14">J28</f>
        <v>100</v>
      </c>
      <c r="X28" s="1550"/>
      <c r="Y28" s="3404"/>
      <c r="Z28" s="1558">
        <f t="shared" ref="Z28:Z40" si="15">Q28</f>
        <v>111</v>
      </c>
      <c r="AA28" s="1559">
        <f t="shared" si="3"/>
        <v>1</v>
      </c>
      <c r="AB28" s="1559">
        <f t="shared" si="4"/>
        <v>1</v>
      </c>
      <c r="AC28" s="1559">
        <f t="shared" si="5"/>
        <v>1</v>
      </c>
    </row>
    <row r="29" spans="1:29" ht="15">
      <c r="A29" s="2859" t="s">
        <v>2752</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05" t="s">
        <v>550</v>
      </c>
      <c r="Q29" s="1555" t="str">
        <f t="shared" si="11"/>
        <v>建筑类型</v>
      </c>
      <c r="R29" s="1556" t="s">
        <v>8</v>
      </c>
      <c r="S29" s="1557">
        <f t="shared" si="12"/>
        <v>100</v>
      </c>
      <c r="T29" s="1556" t="s">
        <v>8</v>
      </c>
      <c r="U29" s="1557">
        <f t="shared" si="13"/>
        <v>100</v>
      </c>
      <c r="V29" s="1556" t="s">
        <v>8</v>
      </c>
      <c r="W29" s="1557">
        <f t="shared" si="14"/>
        <v>100</v>
      </c>
      <c r="X29" s="1550"/>
      <c r="Y29" s="3406" t="s">
        <v>550</v>
      </c>
      <c r="Z29" s="1558" t="str">
        <f t="shared" si="15"/>
        <v>建筑类型</v>
      </c>
      <c r="AA29" s="1559">
        <f t="shared" si="3"/>
        <v>1</v>
      </c>
      <c r="AB29" s="1559">
        <f t="shared" si="4"/>
        <v>1</v>
      </c>
      <c r="AC29" s="1559">
        <f t="shared" si="5"/>
        <v>1</v>
      </c>
    </row>
    <row r="30" spans="1:29" s="1333"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06"/>
      <c r="Q30" s="1587" t="str">
        <f t="shared" si="11"/>
        <v>项目建筑规模</v>
      </c>
      <c r="R30" s="1560" t="s">
        <v>8</v>
      </c>
      <c r="S30" s="1561" t="e">
        <f t="shared" si="12"/>
        <v>#N/A</v>
      </c>
      <c r="T30" s="1560" t="s">
        <v>8</v>
      </c>
      <c r="U30" s="1561" t="e">
        <f t="shared" si="13"/>
        <v>#N/A</v>
      </c>
      <c r="V30" s="1560" t="s">
        <v>8</v>
      </c>
      <c r="W30" s="1561" t="e">
        <f t="shared" si="14"/>
        <v>#N/A</v>
      </c>
      <c r="X30" s="1562"/>
      <c r="Y30" s="3406"/>
      <c r="Z30" s="1563" t="str">
        <f t="shared" si="15"/>
        <v>项目建筑规模</v>
      </c>
      <c r="AA30" s="1559" t="e">
        <f t="shared" si="3"/>
        <v>#N/A</v>
      </c>
      <c r="AB30" s="1559" t="e">
        <f t="shared" si="4"/>
        <v>#N/A</v>
      </c>
      <c r="AC30" s="1559"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06"/>
      <c r="Q31" s="1555" t="str">
        <f t="shared" si="11"/>
        <v>建筑结构</v>
      </c>
      <c r="R31" s="1556" t="s">
        <v>8</v>
      </c>
      <c r="S31" s="1557">
        <f t="shared" si="12"/>
        <v>100</v>
      </c>
      <c r="T31" s="1556" t="s">
        <v>8</v>
      </c>
      <c r="U31" s="1557">
        <f t="shared" si="13"/>
        <v>100</v>
      </c>
      <c r="V31" s="1556" t="s">
        <v>8</v>
      </c>
      <c r="W31" s="1557">
        <f t="shared" si="14"/>
        <v>100</v>
      </c>
      <c r="X31" s="1550"/>
      <c r="Y31" s="3406"/>
      <c r="Z31" s="1558" t="str">
        <f t="shared" si="15"/>
        <v>建筑结构</v>
      </c>
      <c r="AA31" s="1559">
        <f t="shared" si="3"/>
        <v>1</v>
      </c>
      <c r="AB31" s="1559">
        <f t="shared" si="4"/>
        <v>1</v>
      </c>
      <c r="AC31" s="1559">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06"/>
      <c r="Q32" s="1555" t="str">
        <f t="shared" si="11"/>
        <v>公共部分装修</v>
      </c>
      <c r="R32" s="1556" t="s">
        <v>8</v>
      </c>
      <c r="S32" s="1557">
        <f t="shared" si="12"/>
        <v>100</v>
      </c>
      <c r="T32" s="1556" t="s">
        <v>8</v>
      </c>
      <c r="U32" s="1557">
        <f t="shared" si="13"/>
        <v>100</v>
      </c>
      <c r="V32" s="1556" t="s">
        <v>8</v>
      </c>
      <c r="W32" s="1557">
        <f t="shared" si="14"/>
        <v>100</v>
      </c>
      <c r="X32" s="1550"/>
      <c r="Y32" s="3406"/>
      <c r="Z32" s="1558" t="str">
        <f t="shared" si="15"/>
        <v>公共部分装修</v>
      </c>
      <c r="AA32" s="1559">
        <f t="shared" si="3"/>
        <v>1</v>
      </c>
      <c r="AB32" s="1559">
        <f t="shared" si="4"/>
        <v>1</v>
      </c>
      <c r="AC32" s="1559">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06"/>
      <c r="Q33" s="1555" t="str">
        <f t="shared" si="11"/>
        <v>成新度</v>
      </c>
      <c r="R33" s="1556" t="s">
        <v>8</v>
      </c>
      <c r="S33" s="1557" t="e">
        <f t="shared" si="12"/>
        <v>#N/A</v>
      </c>
      <c r="T33" s="1556" t="s">
        <v>8</v>
      </c>
      <c r="U33" s="1557" t="e">
        <f t="shared" si="13"/>
        <v>#N/A</v>
      </c>
      <c r="V33" s="1556" t="s">
        <v>8</v>
      </c>
      <c r="W33" s="1557" t="e">
        <f t="shared" si="14"/>
        <v>#N/A</v>
      </c>
      <c r="X33" s="1550"/>
      <c r="Y33" s="3406"/>
      <c r="Z33" s="1558" t="str">
        <f t="shared" si="15"/>
        <v>成新度</v>
      </c>
      <c r="AA33" s="1559" t="e">
        <f t="shared" si="3"/>
        <v>#N/A</v>
      </c>
      <c r="AB33" s="1559" t="e">
        <f t="shared" si="4"/>
        <v>#N/A</v>
      </c>
      <c r="AC33" s="1559" t="e">
        <f t="shared" si="5"/>
        <v>#N/A</v>
      </c>
    </row>
    <row r="34" spans="1:29" s="1214"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06"/>
      <c r="Q34" s="1145" t="str">
        <f t="shared" si="11"/>
        <v>物业管理</v>
      </c>
      <c r="R34" s="1551" t="s">
        <v>8</v>
      </c>
      <c r="S34" s="1552">
        <f t="shared" si="12"/>
        <v>100</v>
      </c>
      <c r="T34" s="1551" t="s">
        <v>8</v>
      </c>
      <c r="U34" s="1552">
        <f t="shared" si="13"/>
        <v>100</v>
      </c>
      <c r="V34" s="1551" t="s">
        <v>8</v>
      </c>
      <c r="W34" s="1552">
        <f t="shared" si="14"/>
        <v>100</v>
      </c>
      <c r="X34" s="1553"/>
      <c r="Y34" s="3406"/>
      <c r="Z34" s="1144"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06" t="s">
        <v>550</v>
      </c>
      <c r="Q35" s="1555" t="str">
        <f t="shared" si="11"/>
        <v>市政基础设施</v>
      </c>
      <c r="R35" s="1556" t="s">
        <v>8</v>
      </c>
      <c r="S35" s="1557">
        <f t="shared" si="12"/>
        <v>100</v>
      </c>
      <c r="T35" s="1556" t="s">
        <v>8</v>
      </c>
      <c r="U35" s="1557">
        <f t="shared" si="13"/>
        <v>100</v>
      </c>
      <c r="V35" s="1556" t="s">
        <v>8</v>
      </c>
      <c r="W35" s="1557">
        <f t="shared" si="14"/>
        <v>100</v>
      </c>
      <c r="X35" s="1550"/>
      <c r="Y35" s="3406" t="s">
        <v>550</v>
      </c>
      <c r="Z35" s="1558" t="str">
        <f t="shared" si="15"/>
        <v>市政基础设施</v>
      </c>
      <c r="AA35" s="1559">
        <f t="shared" si="3"/>
        <v>1</v>
      </c>
      <c r="AB35" s="1559">
        <f t="shared" si="4"/>
        <v>1</v>
      </c>
      <c r="AC35" s="1559">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06"/>
      <c r="Q36" s="1555" t="str">
        <f t="shared" si="11"/>
        <v>内部装修</v>
      </c>
      <c r="R36" s="1556" t="s">
        <v>8</v>
      </c>
      <c r="S36" s="1557">
        <f t="shared" si="12"/>
        <v>100</v>
      </c>
      <c r="T36" s="1556" t="s">
        <v>8</v>
      </c>
      <c r="U36" s="1557">
        <f t="shared" si="13"/>
        <v>100</v>
      </c>
      <c r="V36" s="1556" t="s">
        <v>8</v>
      </c>
      <c r="W36" s="1557">
        <f t="shared" si="14"/>
        <v>100</v>
      </c>
      <c r="X36" s="1550"/>
      <c r="Y36" s="3406"/>
      <c r="Z36" s="1558" t="str">
        <f t="shared" si="15"/>
        <v>内部装修</v>
      </c>
      <c r="AA36" s="1559">
        <f t="shared" si="3"/>
        <v>1</v>
      </c>
      <c r="AB36" s="1559">
        <f t="shared" si="4"/>
        <v>1</v>
      </c>
      <c r="AC36" s="1559">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06"/>
      <c r="Q37" s="1555" t="str">
        <f t="shared" si="11"/>
        <v>内部装修状况</v>
      </c>
      <c r="R37" s="1556" t="s">
        <v>8</v>
      </c>
      <c r="S37" s="1557">
        <f t="shared" si="12"/>
        <v>100</v>
      </c>
      <c r="T37" s="1556" t="s">
        <v>8</v>
      </c>
      <c r="U37" s="1557">
        <f t="shared" si="13"/>
        <v>100</v>
      </c>
      <c r="V37" s="1556" t="s">
        <v>8</v>
      </c>
      <c r="W37" s="1557">
        <f t="shared" si="14"/>
        <v>100</v>
      </c>
      <c r="X37" s="1550"/>
      <c r="Y37" s="3406"/>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06"/>
      <c r="Q38" s="1587">
        <f t="shared" si="11"/>
        <v>111</v>
      </c>
      <c r="R38" s="1560" t="s">
        <v>8</v>
      </c>
      <c r="S38" s="1561">
        <f t="shared" si="12"/>
        <v>100</v>
      </c>
      <c r="T38" s="1560" t="s">
        <v>8</v>
      </c>
      <c r="U38" s="1561">
        <f t="shared" si="13"/>
        <v>100</v>
      </c>
      <c r="V38" s="1560" t="s">
        <v>8</v>
      </c>
      <c r="W38" s="1561">
        <f t="shared" si="14"/>
        <v>100</v>
      </c>
      <c r="X38" s="1562"/>
      <c r="Y38" s="3406"/>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06"/>
      <c r="Q39" s="1555">
        <f t="shared" si="11"/>
        <v>111</v>
      </c>
      <c r="R39" s="1556" t="s">
        <v>8</v>
      </c>
      <c r="S39" s="1557">
        <f t="shared" si="12"/>
        <v>100</v>
      </c>
      <c r="T39" s="1556" t="s">
        <v>8</v>
      </c>
      <c r="U39" s="1557">
        <f t="shared" si="13"/>
        <v>100</v>
      </c>
      <c r="V39" s="1556" t="s">
        <v>8</v>
      </c>
      <c r="W39" s="1557">
        <f t="shared" si="14"/>
        <v>100</v>
      </c>
      <c r="X39" s="1550"/>
      <c r="Y39" s="3406"/>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62"/>
      <c r="Q40" s="1555">
        <f t="shared" si="11"/>
        <v>111</v>
      </c>
      <c r="R40" s="1556" t="s">
        <v>8</v>
      </c>
      <c r="S40" s="1557">
        <f t="shared" si="12"/>
        <v>100</v>
      </c>
      <c r="T40" s="1556" t="s">
        <v>8</v>
      </c>
      <c r="U40" s="1557">
        <f t="shared" si="13"/>
        <v>100</v>
      </c>
      <c r="V40" s="1556" t="s">
        <v>8</v>
      </c>
      <c r="W40" s="1557">
        <f t="shared" si="14"/>
        <v>100</v>
      </c>
      <c r="X40" s="1550"/>
      <c r="Y40" s="3462"/>
      <c r="Z40" s="1558">
        <f t="shared" si="15"/>
        <v>111</v>
      </c>
      <c r="AA40" s="1559">
        <f t="shared" si="3"/>
        <v>1</v>
      </c>
      <c r="AB40" s="1559">
        <f t="shared" si="4"/>
        <v>1</v>
      </c>
      <c r="AC40" s="1559">
        <f t="shared" si="5"/>
        <v>1</v>
      </c>
    </row>
    <row r="41" spans="1:29" ht="15">
      <c r="A41" s="605" t="s">
        <v>735</v>
      </c>
      <c r="B41" s="885"/>
      <c r="C41" s="2588" t="s">
        <v>1</v>
      </c>
      <c r="D41" s="2589"/>
      <c r="E41" s="2590"/>
      <c r="F41" s="2591"/>
      <c r="G41" s="2592"/>
      <c r="H41" s="2593"/>
      <c r="I41" s="2590"/>
      <c r="J41" s="2593"/>
      <c r="K41" s="1593"/>
      <c r="L41" s="2126"/>
      <c r="M41" s="2127"/>
      <c r="N41" s="2116"/>
      <c r="O41" s="2127"/>
      <c r="P41" s="3366" t="str">
        <f>A41</f>
        <v>成交单价（元/平方米）</v>
      </c>
      <c r="Q41" s="3366"/>
      <c r="R41" s="3461">
        <f>E41</f>
        <v>0</v>
      </c>
      <c r="S41" s="3461"/>
      <c r="T41" s="3461">
        <f>G41</f>
        <v>0</v>
      </c>
      <c r="U41" s="3461"/>
      <c r="V41" s="3461">
        <f>I41</f>
        <v>0</v>
      </c>
      <c r="W41" s="3461"/>
      <c r="X41" s="1542"/>
      <c r="Y41" s="1564"/>
      <c r="Z41" s="1542"/>
      <c r="AA41" s="1542"/>
      <c r="AB41" s="1542"/>
      <c r="AC41" s="1542"/>
    </row>
    <row r="42" spans="1:29" ht="15.75" thickBot="1">
      <c r="A42" s="613" t="s">
        <v>2757</v>
      </c>
      <c r="B42" s="886"/>
      <c r="C42" s="2594" t="e">
        <f>R43</f>
        <v>#DIV/0!</v>
      </c>
      <c r="D42" s="2595"/>
      <c r="E42" s="2596" t="e">
        <f>R42</f>
        <v>#DIV/0!</v>
      </c>
      <c r="F42" s="2596"/>
      <c r="G42" s="2594" t="e">
        <f>T42</f>
        <v>#DIV/0!</v>
      </c>
      <c r="H42" s="2595"/>
      <c r="I42" s="2596" t="e">
        <f>V42</f>
        <v>#DIV/0!</v>
      </c>
      <c r="J42" s="2595"/>
      <c r="K42" s="1594"/>
      <c r="L42" s="2126"/>
      <c r="M42" s="2127"/>
      <c r="N42" s="2116"/>
      <c r="O42" s="2127"/>
      <c r="P42" s="3366" t="str">
        <f>A42</f>
        <v>比较价格（元/平方米）</v>
      </c>
      <c r="Q42" s="3366"/>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42"/>
      <c r="Y42" s="1542"/>
      <c r="Z42" s="1542"/>
      <c r="AA42" s="1542"/>
      <c r="AB42" s="1542"/>
      <c r="AC42" s="1542"/>
    </row>
    <row r="43" spans="1:29" ht="15.75" thickBot="1">
      <c r="A43" s="619" t="s">
        <v>2924</v>
      </c>
      <c r="B43" s="620"/>
      <c r="C43" s="2597" t="e">
        <f>R43</f>
        <v>#DIV/0!</v>
      </c>
      <c r="D43" s="2597"/>
      <c r="E43" s="2597"/>
      <c r="F43" s="2597"/>
      <c r="G43" s="2597"/>
      <c r="H43" s="2597"/>
      <c r="I43" s="2597"/>
      <c r="J43" s="2597"/>
      <c r="K43" s="1595"/>
      <c r="L43" s="2126"/>
      <c r="M43" s="2127"/>
      <c r="N43" s="2127"/>
      <c r="O43" s="2127"/>
      <c r="P43" s="3363" t="str">
        <f>A43</f>
        <v>估价对象XX用房的比较价格（楼面单价，元/平方米）</v>
      </c>
      <c r="Q43" s="3364"/>
      <c r="R43" s="3460" t="e">
        <f>IF(F1="售价",ROUND(AVERAGE(R42:V42),0),ROUND(AVERAGE(R42:V42),1))</f>
        <v>#DIV/0!</v>
      </c>
      <c r="S43" s="3460"/>
      <c r="T43" s="3460"/>
      <c r="U43" s="3460"/>
      <c r="V43" s="3460"/>
      <c r="W43" s="3460"/>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3" t="s">
        <v>529</v>
      </c>
      <c r="B52" s="644"/>
      <c r="C52" s="2754" t="str">
        <f>YEAR(C7)&amp;"-"&amp;MONTH(C7)</f>
        <v>2019-12</v>
      </c>
      <c r="D52" s="2756">
        <f>EDATE(C52,-1)</f>
        <v>43770</v>
      </c>
      <c r="E52" s="2756">
        <f t="shared" ref="E52:O52" si="16">EDATE(D52,-1)</f>
        <v>43739</v>
      </c>
      <c r="F52" s="2756">
        <f t="shared" si="16"/>
        <v>43709</v>
      </c>
      <c r="G52" s="2756">
        <f t="shared" si="16"/>
        <v>43678</v>
      </c>
      <c r="H52" s="2756">
        <f t="shared" si="16"/>
        <v>43647</v>
      </c>
      <c r="I52" s="2756">
        <f t="shared" si="16"/>
        <v>43617</v>
      </c>
      <c r="J52" s="2756">
        <f t="shared" si="16"/>
        <v>43586</v>
      </c>
      <c r="K52" s="2756">
        <f t="shared" si="16"/>
        <v>43556</v>
      </c>
      <c r="L52" s="2756">
        <f t="shared" si="16"/>
        <v>43525</v>
      </c>
      <c r="M52" s="2756">
        <f t="shared" si="16"/>
        <v>43497</v>
      </c>
      <c r="N52" s="2756">
        <f t="shared" si="16"/>
        <v>43466</v>
      </c>
      <c r="O52" s="2756">
        <f t="shared" si="16"/>
        <v>43435</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783</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750</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752</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754</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790</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64" zoomScale="80" zoomScaleNormal="80" workbookViewId="0">
      <selection activeCell="C91" sqref="C91:F92"/>
    </sheetView>
  </sheetViews>
  <sheetFormatPr defaultColWidth="9" defaultRowHeight="14.25"/>
  <cols>
    <col min="1" max="1" width="10.5" style="1331" customWidth="1"/>
    <col min="2" max="2" width="15.75" style="1331" customWidth="1"/>
    <col min="3" max="3" width="16.25" style="1331" customWidth="1"/>
    <col min="4" max="4" width="12.25" style="1331" customWidth="1"/>
    <col min="5" max="5" width="15.5" style="1331" customWidth="1"/>
    <col min="6" max="6" width="12.25" style="1331" customWidth="1"/>
    <col min="7" max="7" width="15.625" style="1331" customWidth="1"/>
    <col min="8" max="8" width="12.25" style="1331" customWidth="1"/>
    <col min="9" max="9" width="16.1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t="s">
        <v>922</v>
      </c>
      <c r="C1" s="502" t="s">
        <v>791</v>
      </c>
      <c r="D1" s="847" t="s">
        <v>35</v>
      </c>
      <c r="E1" s="504"/>
      <c r="F1" s="2759" t="s">
        <v>3085</v>
      </c>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f>IF(B37="元/平方米",ROUND(B3*D3/10000,0),ROUND(F3*C39/10000,0))</f>
        <v>23568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f>IF(B37="元/平方米",C39,ROUND(B2*10000/D3,0))</f>
        <v>7939</v>
      </c>
      <c r="C3" s="850" t="s">
        <v>795</v>
      </c>
      <c r="D3" s="849">
        <f>SUMIF('数据-汇总表'!$C19:$C33,D1,'数据-汇总表'!$E19:$E33)</f>
        <v>29687.75</v>
      </c>
      <c r="E3" s="1830" t="s">
        <v>2073</v>
      </c>
      <c r="F3" s="849">
        <f>SUMIF('数据-取费表'!A5:A15,D1,'数据-取费表'!AH5:AH15)</f>
        <v>947</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796</v>
      </c>
      <c r="B4" s="511"/>
      <c r="C4" s="3372" t="s">
        <v>797</v>
      </c>
      <c r="D4" s="3373"/>
      <c r="E4" s="3372" t="s">
        <v>798</v>
      </c>
      <c r="F4" s="3373"/>
      <c r="G4" s="3372" t="s">
        <v>799</v>
      </c>
      <c r="H4" s="3373"/>
      <c r="I4" s="3372" t="s">
        <v>800</v>
      </c>
      <c r="J4" s="3373"/>
      <c r="K4" s="512" t="s">
        <v>801</v>
      </c>
      <c r="L4" s="2115"/>
      <c r="M4" s="2116"/>
      <c r="N4" s="2116"/>
      <c r="O4" s="2116"/>
      <c r="P4" s="3374" t="s">
        <v>802</v>
      </c>
      <c r="Q4" s="3375"/>
      <c r="R4" s="3380" t="s">
        <v>798</v>
      </c>
      <c r="S4" s="3381"/>
      <c r="T4" s="3380" t="s">
        <v>799</v>
      </c>
      <c r="U4" s="3381"/>
      <c r="V4" s="3367" t="s">
        <v>800</v>
      </c>
      <c r="W4" s="3367"/>
      <c r="X4" s="1550"/>
      <c r="Y4" s="3380" t="s">
        <v>802</v>
      </c>
      <c r="Z4" s="3381"/>
      <c r="AA4" s="3369" t="s">
        <v>798</v>
      </c>
      <c r="AB4" s="3370" t="s">
        <v>799</v>
      </c>
      <c r="AC4" s="3369" t="s">
        <v>800</v>
      </c>
    </row>
    <row r="5" spans="1:29" ht="15.75" thickBot="1">
      <c r="A5" s="513"/>
      <c r="B5" s="514"/>
      <c r="C5" s="3388" t="s">
        <v>2918</v>
      </c>
      <c r="D5" s="3389"/>
      <c r="E5" s="3463" t="s">
        <v>3105</v>
      </c>
      <c r="F5" s="3389"/>
      <c r="G5" s="3463" t="s">
        <v>3104</v>
      </c>
      <c r="H5" s="3389"/>
      <c r="I5" s="3463" t="s">
        <v>3101</v>
      </c>
      <c r="J5" s="3389"/>
      <c r="K5" s="512"/>
      <c r="L5" s="2115"/>
      <c r="M5" s="2116"/>
      <c r="N5" s="2116"/>
      <c r="O5" s="2116"/>
      <c r="P5" s="3376"/>
      <c r="Q5" s="3377"/>
      <c r="R5" s="3382"/>
      <c r="S5" s="3383"/>
      <c r="T5" s="3382"/>
      <c r="U5" s="3383"/>
      <c r="V5" s="3367"/>
      <c r="W5" s="3367"/>
      <c r="X5" s="1550"/>
      <c r="Y5" s="3382"/>
      <c r="Z5" s="3383"/>
      <c r="AA5" s="3370"/>
      <c r="AB5" s="3370"/>
      <c r="AC5" s="3370"/>
    </row>
    <row r="6" spans="1:29" ht="15.75" hidden="1" thickBot="1">
      <c r="A6" s="515"/>
      <c r="B6" s="516"/>
      <c r="C6" s="3407"/>
      <c r="D6" s="3408"/>
      <c r="E6" s="3390"/>
      <c r="F6" s="3391"/>
      <c r="G6" s="3407"/>
      <c r="H6" s="3408"/>
      <c r="I6" s="3407"/>
      <c r="J6" s="3408"/>
      <c r="K6" s="512" t="s">
        <v>528</v>
      </c>
      <c r="L6" s="2115"/>
      <c r="M6" s="2116"/>
      <c r="N6" s="2116"/>
      <c r="O6" s="2116"/>
      <c r="P6" s="3378"/>
      <c r="Q6" s="3379"/>
      <c r="R6" s="3382"/>
      <c r="S6" s="3383"/>
      <c r="T6" s="3384"/>
      <c r="U6" s="3385"/>
      <c r="V6" s="3367"/>
      <c r="W6" s="3367"/>
      <c r="X6" s="1550"/>
      <c r="Y6" s="3384"/>
      <c r="Z6" s="3385"/>
      <c r="AA6" s="3371"/>
      <c r="AB6" s="3371"/>
      <c r="AC6" s="3371"/>
    </row>
    <row r="7" spans="1:29" s="1214" customFormat="1" ht="15.75" thickBot="1">
      <c r="A7" s="2864"/>
      <c r="B7" s="2871" t="s">
        <v>529</v>
      </c>
      <c r="C7" s="517">
        <f>'数据-取费表'!B2</f>
        <v>43817</v>
      </c>
      <c r="D7" s="518">
        <v>100</v>
      </c>
      <c r="E7" s="519">
        <f>C7</f>
        <v>43817</v>
      </c>
      <c r="F7" s="520">
        <f>SUMIF(48:48,YEAR(E7)&amp;"-"&amp;MONTH(E7),49:49)</f>
        <v>100</v>
      </c>
      <c r="G7" s="521">
        <f>C7</f>
        <v>43817</v>
      </c>
      <c r="H7" s="518">
        <f>SUMIF(48:48,YEAR(G7)&amp;"-"&amp;MONTH(G7),49:49)</f>
        <v>100</v>
      </c>
      <c r="I7" s="521">
        <f>C7</f>
        <v>43817</v>
      </c>
      <c r="J7" s="518">
        <f>SUMIF(48:48,YEAR(I7)&amp;"-"&amp;MONTH(I7),49:49)</f>
        <v>100</v>
      </c>
      <c r="K7" s="522"/>
      <c r="L7" s="2117"/>
      <c r="M7" s="2118"/>
      <c r="N7" s="2118"/>
      <c r="O7" s="2118"/>
      <c r="P7" s="3400" t="s">
        <v>530</v>
      </c>
      <c r="Q7" s="3402"/>
      <c r="R7" s="1551" t="s">
        <v>8</v>
      </c>
      <c r="S7" s="1552">
        <f t="shared" ref="S7:S14" si="0">F7</f>
        <v>100</v>
      </c>
      <c r="T7" s="1551" t="s">
        <v>8</v>
      </c>
      <c r="U7" s="1552">
        <f t="shared" ref="U7:U14" si="1">H7</f>
        <v>100</v>
      </c>
      <c r="V7" s="1551" t="s">
        <v>8</v>
      </c>
      <c r="W7" s="1552">
        <f t="shared" ref="W7:W14" si="2">J7</f>
        <v>100</v>
      </c>
      <c r="X7" s="1553"/>
      <c r="Y7" s="3400" t="s">
        <v>530</v>
      </c>
      <c r="Z7" s="3401"/>
      <c r="AA7" s="1554">
        <f>D7/F7</f>
        <v>1</v>
      </c>
      <c r="AB7" s="1554">
        <f>D7/H7</f>
        <v>1</v>
      </c>
      <c r="AC7" s="1554">
        <f>D7/J7</f>
        <v>1</v>
      </c>
    </row>
    <row r="8" spans="1:29" s="1214" customFormat="1" ht="15.75" thickBot="1">
      <c r="A8" s="2865"/>
      <c r="B8" s="2872" t="s">
        <v>531</v>
      </c>
      <c r="C8" s="523" t="s">
        <v>576</v>
      </c>
      <c r="D8" s="518">
        <v>100</v>
      </c>
      <c r="E8" s="523" t="s">
        <v>3005</v>
      </c>
      <c r="F8" s="520">
        <f>SUMIF(51:51,E8,52:52)-SUMIF(51:51,C8,52:52)+100</f>
        <v>100</v>
      </c>
      <c r="G8" s="523" t="s">
        <v>3005</v>
      </c>
      <c r="H8" s="518">
        <f>SUMIF(51:51,G8,52:52)-SUMIF(51:51,C8,52:52)+100</f>
        <v>100</v>
      </c>
      <c r="I8" s="523" t="s">
        <v>3005</v>
      </c>
      <c r="J8" s="518">
        <f>SUMIF(51:51,I8,52:52)-SUMIF(51:51,C8,52:52)+100</f>
        <v>100</v>
      </c>
      <c r="K8" s="522"/>
      <c r="L8" s="2117"/>
      <c r="M8" s="2118"/>
      <c r="N8" s="2118"/>
      <c r="O8" s="2118"/>
      <c r="P8" s="3400" t="s">
        <v>533</v>
      </c>
      <c r="Q8" s="3401"/>
      <c r="R8" s="1551" t="s">
        <v>8</v>
      </c>
      <c r="S8" s="1552">
        <f t="shared" si="0"/>
        <v>100</v>
      </c>
      <c r="T8" s="1551" t="s">
        <v>8</v>
      </c>
      <c r="U8" s="1552">
        <f t="shared" si="1"/>
        <v>100</v>
      </c>
      <c r="V8" s="1551" t="s">
        <v>8</v>
      </c>
      <c r="W8" s="1552">
        <f t="shared" si="2"/>
        <v>100</v>
      </c>
      <c r="X8" s="1553"/>
      <c r="Y8" s="3400" t="s">
        <v>533</v>
      </c>
      <c r="Z8" s="3401"/>
      <c r="AA8" s="1554">
        <f t="shared" ref="AA8:AA36" si="3">D8/F8</f>
        <v>1</v>
      </c>
      <c r="AB8" s="1554">
        <f t="shared" ref="AB8:AB36" si="4">D8/H8</f>
        <v>1</v>
      </c>
      <c r="AC8" s="1554">
        <f t="shared" ref="AC8:AC36" si="5">D8/J8</f>
        <v>1</v>
      </c>
    </row>
    <row r="9" spans="1:29" s="1214" customFormat="1" ht="15">
      <c r="A9" s="2866"/>
      <c r="B9" s="2873" t="s">
        <v>2753</v>
      </c>
      <c r="C9" s="3193" t="s">
        <v>3095</v>
      </c>
      <c r="D9" s="252">
        <v>100</v>
      </c>
      <c r="E9" s="858" t="s">
        <v>2989</v>
      </c>
      <c r="F9" s="252">
        <f>SUMIF(53:53,E9,54:54)-SUMIF(53:53,C9,54:54)+100</f>
        <v>100</v>
      </c>
      <c r="G9" s="856" t="s">
        <v>2989</v>
      </c>
      <c r="H9" s="252">
        <f>SUMIF(53:53,G9,54:54)-SUMIF(53:53,C9,54:54)+100</f>
        <v>100</v>
      </c>
      <c r="I9" s="856" t="s">
        <v>2989</v>
      </c>
      <c r="J9" s="252">
        <f>SUMIF(53:53,I9,54:54)-SUMIF(53:53,C9,54:54)+100</f>
        <v>100</v>
      </c>
      <c r="K9" s="522"/>
      <c r="L9" s="2117"/>
      <c r="M9" s="2118"/>
      <c r="N9" s="2118"/>
      <c r="O9" s="2119"/>
      <c r="P9" s="3366" t="s">
        <v>535</v>
      </c>
      <c r="Q9" s="1145" t="str">
        <f t="shared" ref="Q9:Q14" si="6">B9</f>
        <v>用途</v>
      </c>
      <c r="R9" s="1551" t="s">
        <v>8</v>
      </c>
      <c r="S9" s="1552">
        <f t="shared" si="0"/>
        <v>100</v>
      </c>
      <c r="T9" s="1551" t="s">
        <v>8</v>
      </c>
      <c r="U9" s="1552">
        <f t="shared" si="1"/>
        <v>100</v>
      </c>
      <c r="V9" s="1551" t="s">
        <v>8</v>
      </c>
      <c r="W9" s="1552">
        <f t="shared" si="2"/>
        <v>100</v>
      </c>
      <c r="X9" s="1553"/>
      <c r="Y9" s="3312" t="s">
        <v>536</v>
      </c>
      <c r="Z9" s="1144" t="str">
        <f t="shared" ref="Z9:Z14" si="7">Q9</f>
        <v>用途</v>
      </c>
      <c r="AA9" s="1554">
        <f t="shared" si="3"/>
        <v>1</v>
      </c>
      <c r="AB9" s="1554">
        <f t="shared" si="4"/>
        <v>1</v>
      </c>
      <c r="AC9" s="1554">
        <f t="shared" si="5"/>
        <v>1</v>
      </c>
    </row>
    <row r="10" spans="1:29" s="1332" customFormat="1" ht="27.75" thickBot="1">
      <c r="A10" s="2867"/>
      <c r="B10" s="2872" t="s">
        <v>2754</v>
      </c>
      <c r="C10" s="859" t="s">
        <v>3100</v>
      </c>
      <c r="D10" s="253">
        <v>100</v>
      </c>
      <c r="E10" s="859" t="s">
        <v>3094</v>
      </c>
      <c r="F10" s="253">
        <f>SUMIF(55:55,E10,56:56)-SUMIF(55:55,C10,56:56)+100</f>
        <v>101</v>
      </c>
      <c r="G10" s="859" t="s">
        <v>3100</v>
      </c>
      <c r="H10" s="253">
        <f>SUMIF(55:55,G10,56:56)-SUMIF(55:55,C10,56:56)+100</f>
        <v>100</v>
      </c>
      <c r="I10" s="859" t="s">
        <v>3094</v>
      </c>
      <c r="J10" s="253">
        <f>SUMIF(55:55,I10,56:56)-SUMIF(55:55,C10,56:56)+100</f>
        <v>101</v>
      </c>
      <c r="K10" s="582">
        <v>1</v>
      </c>
      <c r="L10" s="2120"/>
      <c r="M10" s="2160"/>
      <c r="N10" s="2160"/>
      <c r="O10" s="2121"/>
      <c r="P10" s="3366"/>
      <c r="Q10" s="1145" t="str">
        <f t="shared" si="6"/>
        <v>土地使用年限（年）</v>
      </c>
      <c r="R10" s="1551" t="s">
        <v>8</v>
      </c>
      <c r="S10" s="1552">
        <f t="shared" si="0"/>
        <v>101</v>
      </c>
      <c r="T10" s="1551" t="s">
        <v>8</v>
      </c>
      <c r="U10" s="1552">
        <f t="shared" si="1"/>
        <v>100</v>
      </c>
      <c r="V10" s="1551" t="s">
        <v>8</v>
      </c>
      <c r="W10" s="1552">
        <f t="shared" si="2"/>
        <v>101</v>
      </c>
      <c r="X10" s="1553"/>
      <c r="Y10" s="3312"/>
      <c r="Z10" s="1144" t="str">
        <f t="shared" si="7"/>
        <v>土地使用年限（年）</v>
      </c>
      <c r="AA10" s="1554">
        <f t="shared" si="3"/>
        <v>0.99009900990099009</v>
      </c>
      <c r="AB10" s="1554">
        <f t="shared" si="4"/>
        <v>1</v>
      </c>
      <c r="AC10" s="1554">
        <f t="shared" si="5"/>
        <v>0.99009900990099009</v>
      </c>
    </row>
    <row r="11" spans="1:29" ht="15" hidden="1">
      <c r="A11" s="2869"/>
      <c r="B11" s="2875"/>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66"/>
      <c r="Q11" s="1145">
        <f t="shared" si="6"/>
        <v>0</v>
      </c>
      <c r="R11" s="1551" t="s">
        <v>8</v>
      </c>
      <c r="S11" s="1552">
        <f t="shared" si="0"/>
        <v>100</v>
      </c>
      <c r="T11" s="1551" t="s">
        <v>8</v>
      </c>
      <c r="U11" s="1552">
        <f t="shared" si="1"/>
        <v>100</v>
      </c>
      <c r="V11" s="1551" t="s">
        <v>8</v>
      </c>
      <c r="W11" s="1552">
        <f t="shared" si="2"/>
        <v>100</v>
      </c>
      <c r="X11" s="1553"/>
      <c r="Y11" s="3312"/>
      <c r="Z11" s="1144">
        <f t="shared" si="7"/>
        <v>0</v>
      </c>
      <c r="AA11" s="1554">
        <f t="shared" si="3"/>
        <v>1</v>
      </c>
      <c r="AB11" s="1554">
        <f t="shared" si="4"/>
        <v>1</v>
      </c>
      <c r="AC11" s="1554">
        <f t="shared" si="5"/>
        <v>1</v>
      </c>
    </row>
    <row r="12" spans="1:29" s="1214" customFormat="1" ht="15" hidden="1">
      <c r="A12" s="2869"/>
      <c r="B12" s="2875"/>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66"/>
      <c r="Q12" s="1145">
        <f t="shared" si="6"/>
        <v>0</v>
      </c>
      <c r="R12" s="1551" t="s">
        <v>8</v>
      </c>
      <c r="S12" s="1552">
        <f t="shared" si="0"/>
        <v>100</v>
      </c>
      <c r="T12" s="1551" t="s">
        <v>8</v>
      </c>
      <c r="U12" s="1552">
        <f t="shared" si="1"/>
        <v>100</v>
      </c>
      <c r="V12" s="1551" t="s">
        <v>8</v>
      </c>
      <c r="W12" s="1552">
        <f t="shared" si="2"/>
        <v>100</v>
      </c>
      <c r="X12" s="1553"/>
      <c r="Y12" s="3312"/>
      <c r="Z12" s="1144">
        <f t="shared" si="7"/>
        <v>0</v>
      </c>
      <c r="AA12" s="1554">
        <f>D12/F12</f>
        <v>1</v>
      </c>
      <c r="AB12" s="1554">
        <f>D12/H12</f>
        <v>1</v>
      </c>
      <c r="AC12" s="1554">
        <f>D12/J12</f>
        <v>1</v>
      </c>
    </row>
    <row r="13" spans="1:29" ht="15.75" hidden="1" thickBot="1">
      <c r="A13" s="2870"/>
      <c r="B13" s="2876"/>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66"/>
      <c r="Q13" s="1145">
        <f t="shared" si="6"/>
        <v>0</v>
      </c>
      <c r="R13" s="1551" t="s">
        <v>8</v>
      </c>
      <c r="S13" s="1552">
        <f t="shared" si="0"/>
        <v>100</v>
      </c>
      <c r="T13" s="1551" t="s">
        <v>8</v>
      </c>
      <c r="U13" s="1552">
        <f t="shared" si="1"/>
        <v>100</v>
      </c>
      <c r="V13" s="1551" t="s">
        <v>8</v>
      </c>
      <c r="W13" s="1552">
        <f t="shared" si="2"/>
        <v>100</v>
      </c>
      <c r="X13" s="1553"/>
      <c r="Y13" s="3312"/>
      <c r="Z13" s="1144">
        <f t="shared" si="7"/>
        <v>0</v>
      </c>
      <c r="AA13" s="1554">
        <f t="shared" si="3"/>
        <v>1</v>
      </c>
      <c r="AB13" s="1554">
        <f t="shared" si="4"/>
        <v>1</v>
      </c>
      <c r="AC13" s="1554">
        <f t="shared" si="5"/>
        <v>1</v>
      </c>
    </row>
    <row r="14" spans="1:29" ht="15">
      <c r="A14" s="2862" t="s">
        <v>2751</v>
      </c>
      <c r="B14" s="545" t="s">
        <v>543</v>
      </c>
      <c r="C14" s="919">
        <f>IF(B1="工业",估价对象房地状况!G4,估价对象房地状况!C6)</f>
        <v>0</v>
      </c>
      <c r="D14" s="547">
        <v>100</v>
      </c>
      <c r="E14" s="548"/>
      <c r="F14" s="549">
        <f>SUMIF(63:63,E15,64:64)-SUMIF(63:63,C15,64:64)+100</f>
        <v>100</v>
      </c>
      <c r="G14" s="548"/>
      <c r="H14" s="547">
        <f>SUMIF(63:63,G15,64:64)-SUMIF(63:63,C15,64:64)+100</f>
        <v>100</v>
      </c>
      <c r="I14" s="548"/>
      <c r="J14" s="547">
        <f>SUMIF(63:63,I15,64:64)-SUMIF(63:63,C15,64:64)+100</f>
        <v>100</v>
      </c>
      <c r="K14" s="896">
        <v>2</v>
      </c>
      <c r="L14" s="2124"/>
      <c r="M14" s="2116"/>
      <c r="N14" s="2116"/>
      <c r="O14" s="2123"/>
      <c r="P14" s="3403" t="s">
        <v>540</v>
      </c>
      <c r="Q14" s="1555" t="str">
        <f t="shared" si="6"/>
        <v>交通便捷度</v>
      </c>
      <c r="R14" s="1556" t="s">
        <v>8</v>
      </c>
      <c r="S14" s="1557">
        <f t="shared" si="0"/>
        <v>100</v>
      </c>
      <c r="T14" s="1556" t="s">
        <v>8</v>
      </c>
      <c r="U14" s="1557">
        <f t="shared" si="1"/>
        <v>100</v>
      </c>
      <c r="V14" s="1556" t="s">
        <v>8</v>
      </c>
      <c r="W14" s="1557">
        <f t="shared" si="2"/>
        <v>100</v>
      </c>
      <c r="X14" s="1550"/>
      <c r="Y14" s="3403" t="s">
        <v>540</v>
      </c>
      <c r="Z14" s="1558" t="str">
        <f t="shared" si="7"/>
        <v>交通便捷度</v>
      </c>
      <c r="AA14" s="1559">
        <f t="shared" si="3"/>
        <v>1</v>
      </c>
      <c r="AB14" s="1559">
        <f t="shared" si="4"/>
        <v>1</v>
      </c>
      <c r="AC14" s="1559">
        <f t="shared" si="5"/>
        <v>1</v>
      </c>
    </row>
    <row r="15" spans="1:29" ht="15">
      <c r="A15" s="513"/>
      <c r="B15" s="922"/>
      <c r="C15" s="574" t="s">
        <v>3008</v>
      </c>
      <c r="D15" s="553"/>
      <c r="E15" s="574" t="s">
        <v>3008</v>
      </c>
      <c r="F15" s="555"/>
      <c r="G15" s="574" t="s">
        <v>3008</v>
      </c>
      <c r="H15" s="557"/>
      <c r="I15" s="574" t="s">
        <v>3008</v>
      </c>
      <c r="J15" s="553"/>
      <c r="K15" s="897"/>
      <c r="L15" s="2124"/>
      <c r="M15" s="2116"/>
      <c r="N15" s="2116"/>
      <c r="O15" s="2123"/>
      <c r="P15" s="3404"/>
      <c r="Q15" s="1555"/>
      <c r="R15" s="1556"/>
      <c r="S15" s="1557"/>
      <c r="T15" s="1556"/>
      <c r="U15" s="1557"/>
      <c r="V15" s="1556"/>
      <c r="W15" s="1557"/>
      <c r="X15" s="1550"/>
      <c r="Y15" s="3404"/>
      <c r="Z15" s="1558"/>
      <c r="AA15" s="1559">
        <v>1</v>
      </c>
      <c r="AB15" s="1559">
        <v>1</v>
      </c>
      <c r="AC15" s="1559">
        <v>1</v>
      </c>
    </row>
    <row r="16" spans="1:29" ht="15">
      <c r="A16" s="513"/>
      <c r="B16" s="2564" t="s">
        <v>2543</v>
      </c>
      <c r="C16" s="870">
        <f>IF(B1="工业",估价对象房地状况!G5,估价对象房地状况!C7)</f>
        <v>0</v>
      </c>
      <c r="D16" s="563">
        <v>100</v>
      </c>
      <c r="E16" s="570"/>
      <c r="F16" s="569">
        <f>SUMIF(65:65,E17,66:66)-SUMIF(65:65,C17,66:66)+100</f>
        <v>98</v>
      </c>
      <c r="G16" s="568"/>
      <c r="H16" s="563">
        <f>SUMIF(65:65,G17,66:66)-SUMIF(65:65,C17,66:66)+100</f>
        <v>100</v>
      </c>
      <c r="I16" s="570"/>
      <c r="J16" s="563">
        <f>SUMIF(65:65,I17,66:66)-SUMIF(65:65,C17,66:66)+100</f>
        <v>100</v>
      </c>
      <c r="K16" s="896">
        <v>2</v>
      </c>
      <c r="L16" s="2124"/>
      <c r="M16" s="2116"/>
      <c r="N16" s="2116"/>
      <c r="O16" s="2123"/>
      <c r="P16" s="3404"/>
      <c r="Q16" s="1555" t="str">
        <f>B16</f>
        <v>公共配套设施</v>
      </c>
      <c r="R16" s="1556" t="s">
        <v>8</v>
      </c>
      <c r="S16" s="1557">
        <f>F16</f>
        <v>98</v>
      </c>
      <c r="T16" s="1556" t="s">
        <v>8</v>
      </c>
      <c r="U16" s="1557">
        <f>H16</f>
        <v>100</v>
      </c>
      <c r="V16" s="1556" t="s">
        <v>8</v>
      </c>
      <c r="W16" s="1557">
        <f>J16</f>
        <v>100</v>
      </c>
      <c r="X16" s="1550"/>
      <c r="Y16" s="3404"/>
      <c r="Z16" s="1558" t="str">
        <f>Q16</f>
        <v>公共配套设施</v>
      </c>
      <c r="AA16" s="1559">
        <f t="shared" si="3"/>
        <v>1.0204081632653061</v>
      </c>
      <c r="AB16" s="1559">
        <f t="shared" si="4"/>
        <v>1</v>
      </c>
      <c r="AC16" s="1559">
        <f t="shared" si="5"/>
        <v>1</v>
      </c>
    </row>
    <row r="17" spans="1:29" ht="15">
      <c r="A17" s="513"/>
      <c r="B17" s="564"/>
      <c r="C17" s="871" t="s">
        <v>3009</v>
      </c>
      <c r="D17" s="553"/>
      <c r="E17" s="574" t="s">
        <v>3008</v>
      </c>
      <c r="F17" s="555"/>
      <c r="G17" s="574" t="s">
        <v>3009</v>
      </c>
      <c r="H17" s="553"/>
      <c r="I17" s="574" t="s">
        <v>3009</v>
      </c>
      <c r="J17" s="553"/>
      <c r="K17" s="897"/>
      <c r="L17" s="2124"/>
      <c r="M17" s="2116"/>
      <c r="N17" s="2116"/>
      <c r="O17" s="2123"/>
      <c r="P17" s="3404"/>
      <c r="Q17" s="1555"/>
      <c r="R17" s="1556"/>
      <c r="S17" s="1557"/>
      <c r="T17" s="1556"/>
      <c r="U17" s="1557"/>
      <c r="V17" s="1556"/>
      <c r="W17" s="1557"/>
      <c r="X17" s="1550"/>
      <c r="Y17" s="3404"/>
      <c r="Z17" s="1558"/>
      <c r="AA17" s="1559">
        <v>1</v>
      </c>
      <c r="AB17" s="1559">
        <v>1</v>
      </c>
      <c r="AC17" s="1559">
        <v>1</v>
      </c>
    </row>
    <row r="18" spans="1:29" ht="15">
      <c r="A18" s="513"/>
      <c r="B18" s="2552" t="s">
        <v>2555</v>
      </c>
      <c r="C18" s="870">
        <f>IF(B1="工业",估价对象房地状况!G6,估价对象房地状况!C8)</f>
        <v>0</v>
      </c>
      <c r="D18" s="557">
        <v>100</v>
      </c>
      <c r="E18" s="570"/>
      <c r="F18" s="569">
        <f>SUMIF(67:67,E19,68:68)-SUMIF(67:67,C19,68:68)+100</f>
        <v>100</v>
      </c>
      <c r="G18" s="560"/>
      <c r="H18" s="563">
        <f>SUMIF(67:67,G19,68:68)-SUMIF(67:67,C19,68:68)+100</f>
        <v>100</v>
      </c>
      <c r="I18" s="570"/>
      <c r="J18" s="563">
        <f>SUMIF(67:67,I19,68:68)-SUMIF(67:67,C19,68:68)+100</f>
        <v>100</v>
      </c>
      <c r="K18" s="896">
        <v>3</v>
      </c>
      <c r="L18" s="2124"/>
      <c r="M18" s="2116"/>
      <c r="N18" s="2116"/>
      <c r="O18" s="2123"/>
      <c r="P18" s="3404"/>
      <c r="Q18" s="2540" t="str">
        <f>B18</f>
        <v>基础设施水平</v>
      </c>
      <c r="R18" s="1556" t="s">
        <v>8</v>
      </c>
      <c r="S18" s="1557">
        <f>F18</f>
        <v>100</v>
      </c>
      <c r="T18" s="1556" t="s">
        <v>8</v>
      </c>
      <c r="U18" s="1557">
        <f>H18</f>
        <v>100</v>
      </c>
      <c r="V18" s="1556" t="s">
        <v>8</v>
      </c>
      <c r="W18" s="1557">
        <f>J18</f>
        <v>100</v>
      </c>
      <c r="X18" s="2542"/>
      <c r="Y18" s="3404"/>
      <c r="Z18" s="2541" t="str">
        <f>Q18</f>
        <v>基础设施水平</v>
      </c>
      <c r="AA18" s="1559">
        <f t="shared" ref="AA18" si="8">D18/F18</f>
        <v>1</v>
      </c>
      <c r="AB18" s="1559">
        <f t="shared" ref="AB18" si="9">D18/H18</f>
        <v>1</v>
      </c>
      <c r="AC18" s="1559">
        <f t="shared" ref="AC18" si="10">D18/J18</f>
        <v>1</v>
      </c>
    </row>
    <row r="19" spans="1:29" ht="15">
      <c r="A19" s="513"/>
      <c r="B19" s="576"/>
      <c r="C19" s="871" t="s">
        <v>3010</v>
      </c>
      <c r="D19" s="557"/>
      <c r="E19" s="574" t="s">
        <v>3010</v>
      </c>
      <c r="F19" s="555"/>
      <c r="G19" s="574" t="s">
        <v>3010</v>
      </c>
      <c r="H19" s="553"/>
      <c r="I19" s="574" t="s">
        <v>3010</v>
      </c>
      <c r="J19" s="553"/>
      <c r="K19" s="2563"/>
      <c r="L19" s="2124"/>
      <c r="M19" s="2116"/>
      <c r="N19" s="2116"/>
      <c r="O19" s="2123"/>
      <c r="P19" s="3404"/>
      <c r="Q19" s="2540"/>
      <c r="R19" s="1556"/>
      <c r="S19" s="1557"/>
      <c r="T19" s="1556"/>
      <c r="U19" s="1557"/>
      <c r="V19" s="1556"/>
      <c r="W19" s="1557"/>
      <c r="X19" s="2542"/>
      <c r="Y19" s="3404"/>
      <c r="Z19" s="2541"/>
      <c r="AA19" s="1559">
        <v>1</v>
      </c>
      <c r="AB19" s="1559">
        <v>1</v>
      </c>
      <c r="AC19" s="1559">
        <v>1</v>
      </c>
    </row>
    <row r="20" spans="1:29" ht="15">
      <c r="A20" s="513"/>
      <c r="B20" s="558" t="s">
        <v>803</v>
      </c>
      <c r="C20" s="870">
        <f>IF(B1="工业",估价对象房地状况!G7,估价对象房地状况!C9)</f>
        <v>0</v>
      </c>
      <c r="D20" s="563">
        <v>100</v>
      </c>
      <c r="E20" s="560"/>
      <c r="F20" s="561">
        <f>SUMIF(69:69,E21,70:70)-SUMIF(69:69,C21,70:70)+100</f>
        <v>100</v>
      </c>
      <c r="G20" s="560"/>
      <c r="H20" s="557">
        <f>SUMIF(69:69,G21,70:70)-SUMIF(69:69,C21,70:70)+100</f>
        <v>103</v>
      </c>
      <c r="I20" s="560"/>
      <c r="J20" s="557">
        <f>SUMIF(69:69,I21,70:70)-SUMIF(69:69,C21,70:70)+100</f>
        <v>100</v>
      </c>
      <c r="K20" s="896">
        <v>3</v>
      </c>
      <c r="L20" s="2124"/>
      <c r="M20" s="2116"/>
      <c r="N20" s="2116"/>
      <c r="O20" s="2123"/>
      <c r="P20" s="3404"/>
      <c r="Q20" s="1555" t="str">
        <f>B20</f>
        <v>自然及人文环境</v>
      </c>
      <c r="R20" s="1556" t="s">
        <v>8</v>
      </c>
      <c r="S20" s="1557">
        <f>F20</f>
        <v>100</v>
      </c>
      <c r="T20" s="1556" t="s">
        <v>8</v>
      </c>
      <c r="U20" s="1557">
        <f>H20</f>
        <v>103</v>
      </c>
      <c r="V20" s="1556" t="s">
        <v>8</v>
      </c>
      <c r="W20" s="1557">
        <f>J20</f>
        <v>100</v>
      </c>
      <c r="X20" s="1550"/>
      <c r="Y20" s="3404"/>
      <c r="Z20" s="1558" t="str">
        <f>Q20</f>
        <v>自然及人文环境</v>
      </c>
      <c r="AA20" s="1559">
        <f t="shared" si="3"/>
        <v>1</v>
      </c>
      <c r="AB20" s="1559">
        <f t="shared" si="4"/>
        <v>0.970873786407767</v>
      </c>
      <c r="AC20" s="1559">
        <f t="shared" si="5"/>
        <v>1</v>
      </c>
    </row>
    <row r="21" spans="1:29" ht="15.75" thickBot="1">
      <c r="A21" s="513"/>
      <c r="B21" s="564"/>
      <c r="C21" s="574" t="s">
        <v>3008</v>
      </c>
      <c r="D21" s="553"/>
      <c r="E21" s="574" t="s">
        <v>3008</v>
      </c>
      <c r="F21" s="555"/>
      <c r="G21" s="574" t="s">
        <v>3009</v>
      </c>
      <c r="H21" s="553"/>
      <c r="I21" s="574" t="s">
        <v>3008</v>
      </c>
      <c r="J21" s="553"/>
      <c r="K21" s="897"/>
      <c r="L21" s="2124"/>
      <c r="M21" s="2116"/>
      <c r="N21" s="2116"/>
      <c r="O21" s="2123"/>
      <c r="P21" s="3404"/>
      <c r="Q21" s="1555"/>
      <c r="R21" s="1556"/>
      <c r="S21" s="1557"/>
      <c r="T21" s="1556"/>
      <c r="U21" s="1557"/>
      <c r="V21" s="1556"/>
      <c r="W21" s="1557"/>
      <c r="X21" s="1550"/>
      <c r="Y21" s="3404"/>
      <c r="Z21" s="1558"/>
      <c r="AA21" s="1559">
        <v>1</v>
      </c>
      <c r="AB21" s="1559">
        <v>1</v>
      </c>
      <c r="AC21" s="1559">
        <v>1</v>
      </c>
    </row>
    <row r="22" spans="1:29" ht="15" hidden="1">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04"/>
      <c r="Q22" s="1555" t="str">
        <f>B22</f>
        <v>楼层</v>
      </c>
      <c r="R22" s="1556" t="s">
        <v>8</v>
      </c>
      <c r="S22" s="1557">
        <f>F22</f>
        <v>100</v>
      </c>
      <c r="T22" s="1556" t="s">
        <v>8</v>
      </c>
      <c r="U22" s="1557">
        <f>H22</f>
        <v>100</v>
      </c>
      <c r="V22" s="1556" t="s">
        <v>8</v>
      </c>
      <c r="W22" s="1557">
        <f>J22</f>
        <v>100</v>
      </c>
      <c r="X22" s="1550"/>
      <c r="Y22" s="3404"/>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04"/>
      <c r="Q23" s="1555">
        <f>B23</f>
        <v>111</v>
      </c>
      <c r="R23" s="1556" t="s">
        <v>8</v>
      </c>
      <c r="S23" s="1557">
        <f>F23</f>
        <v>100</v>
      </c>
      <c r="T23" s="1556" t="s">
        <v>8</v>
      </c>
      <c r="U23" s="1557">
        <f>H23</f>
        <v>100</v>
      </c>
      <c r="V23" s="1556" t="s">
        <v>8</v>
      </c>
      <c r="W23" s="1557">
        <f>J23</f>
        <v>100</v>
      </c>
      <c r="X23" s="1550"/>
      <c r="Y23" s="3404"/>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04"/>
      <c r="Q24" s="1555">
        <f t="shared" ref="Q24:Q36" si="11">B24</f>
        <v>111</v>
      </c>
      <c r="R24" s="1556" t="s">
        <v>8</v>
      </c>
      <c r="S24" s="1557">
        <f>F24</f>
        <v>100</v>
      </c>
      <c r="T24" s="1556" t="s">
        <v>8</v>
      </c>
      <c r="U24" s="1557">
        <f>H24</f>
        <v>100</v>
      </c>
      <c r="V24" s="1556" t="s">
        <v>8</v>
      </c>
      <c r="W24" s="1557">
        <f>J24</f>
        <v>100</v>
      </c>
      <c r="X24" s="1550"/>
      <c r="Y24" s="3404"/>
      <c r="Z24" s="1558">
        <f>Q24</f>
        <v>111</v>
      </c>
      <c r="AA24" s="1559">
        <f t="shared" si="3"/>
        <v>1</v>
      </c>
      <c r="AB24" s="1559">
        <f t="shared" si="4"/>
        <v>1</v>
      </c>
      <c r="AC24" s="1559">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04"/>
      <c r="Q25" s="1145">
        <f t="shared" si="11"/>
        <v>111</v>
      </c>
      <c r="R25" s="1551" t="s">
        <v>8</v>
      </c>
      <c r="S25" s="1552">
        <f>F25</f>
        <v>100</v>
      </c>
      <c r="T25" s="1551" t="s">
        <v>8</v>
      </c>
      <c r="U25" s="1552">
        <f>H25</f>
        <v>100</v>
      </c>
      <c r="V25" s="1551" t="s">
        <v>8</v>
      </c>
      <c r="W25" s="1552">
        <f>J25</f>
        <v>100</v>
      </c>
      <c r="X25" s="1553"/>
      <c r="Y25" s="3404"/>
      <c r="Z25" s="1144">
        <f>Q25</f>
        <v>111</v>
      </c>
      <c r="AA25" s="1559">
        <f>D25/F25</f>
        <v>1</v>
      </c>
      <c r="AB25" s="1559">
        <f>D25/H25</f>
        <v>1</v>
      </c>
      <c r="AC25" s="1559">
        <f>D25/J25</f>
        <v>1</v>
      </c>
    </row>
    <row r="26" spans="1:29" ht="15">
      <c r="A26" s="2859" t="s">
        <v>2752</v>
      </c>
      <c r="B26" s="170" t="s">
        <v>805</v>
      </c>
      <c r="C26" s="926" t="str">
        <f>B1</f>
        <v>住宅</v>
      </c>
      <c r="D26" s="553">
        <v>100</v>
      </c>
      <c r="E26" s="574" t="s">
        <v>922</v>
      </c>
      <c r="F26" s="555">
        <f>SUMIF(79:79,E26,80:80)-SUMIF(79:79,C26,80:80)+100</f>
        <v>100</v>
      </c>
      <c r="G26" s="574" t="s">
        <v>922</v>
      </c>
      <c r="H26" s="553">
        <f>SUMIF(79:79,G26,80:80)-SUMIF(79:79,C26,80:80)+100</f>
        <v>100</v>
      </c>
      <c r="I26" s="574" t="s">
        <v>922</v>
      </c>
      <c r="J26" s="553">
        <f>SUMIF(79:79,I26,80:80)-SUMIF(79:79,C26,80:80)+100</f>
        <v>100</v>
      </c>
      <c r="K26" s="582">
        <v>3</v>
      </c>
      <c r="L26" s="2124"/>
      <c r="M26" s="2116"/>
      <c r="N26" s="2116"/>
      <c r="O26" s="2123"/>
      <c r="P26" s="3405"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6" t="s">
        <v>550</v>
      </c>
      <c r="Z26" s="1558" t="str">
        <f t="shared" ref="Z26:Z36" si="15">Q26</f>
        <v>配套类型</v>
      </c>
      <c r="AA26" s="1559">
        <f t="shared" si="3"/>
        <v>1</v>
      </c>
      <c r="AB26" s="1559">
        <f t="shared" si="4"/>
        <v>1</v>
      </c>
      <c r="AC26" s="1559">
        <f t="shared" si="5"/>
        <v>1</v>
      </c>
    </row>
    <row r="27" spans="1:29" s="1333" customFormat="1" ht="15" hidden="1">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06"/>
      <c r="Q27" s="1587" t="str">
        <f t="shared" si="11"/>
        <v>项目停车位配比</v>
      </c>
      <c r="R27" s="1560" t="s">
        <v>8</v>
      </c>
      <c r="S27" s="1561">
        <f t="shared" si="12"/>
        <v>100</v>
      </c>
      <c r="T27" s="1560" t="s">
        <v>8</v>
      </c>
      <c r="U27" s="1561">
        <f t="shared" si="13"/>
        <v>100</v>
      </c>
      <c r="V27" s="1560" t="s">
        <v>8</v>
      </c>
      <c r="W27" s="1561">
        <f t="shared" si="14"/>
        <v>100</v>
      </c>
      <c r="X27" s="1562"/>
      <c r="Y27" s="3406"/>
      <c r="Z27" s="1563" t="str">
        <f t="shared" si="15"/>
        <v>项目停车位配比</v>
      </c>
      <c r="AA27" s="1559">
        <f t="shared" si="3"/>
        <v>1</v>
      </c>
      <c r="AB27" s="1559">
        <f t="shared" si="4"/>
        <v>1</v>
      </c>
      <c r="AC27" s="1559">
        <f t="shared" si="5"/>
        <v>1</v>
      </c>
    </row>
    <row r="28" spans="1:29" ht="15">
      <c r="A28" s="929"/>
      <c r="B28" s="580" t="s">
        <v>807</v>
      </c>
      <c r="C28" s="3195" t="s">
        <v>3097</v>
      </c>
      <c r="D28" s="538">
        <v>100</v>
      </c>
      <c r="E28" s="3195" t="s">
        <v>3097</v>
      </c>
      <c r="F28" s="573">
        <f>SUMIF(83:83,E28,84:84)-SUMIF(83:83,C28,84:84)+100</f>
        <v>100</v>
      </c>
      <c r="G28" s="572" t="s">
        <v>3102</v>
      </c>
      <c r="H28" s="538">
        <f>SUMIF(83:83,G28,84:84)-SUMIF(83:83,C28,84:84)+100</f>
        <v>100</v>
      </c>
      <c r="I28" s="3195" t="s">
        <v>3097</v>
      </c>
      <c r="J28" s="538">
        <f>SUMIF(83:83,I28,84:84)-SUMIF(83:83,C28,84:84)+100</f>
        <v>100</v>
      </c>
      <c r="K28" s="582">
        <v>1</v>
      </c>
      <c r="L28" s="2124"/>
      <c r="M28" s="2116"/>
      <c r="N28" s="2116"/>
      <c r="O28" s="2123"/>
      <c r="P28" s="3406"/>
      <c r="Q28" s="1555" t="str">
        <f t="shared" si="11"/>
        <v>公共部分装修</v>
      </c>
      <c r="R28" s="1556" t="s">
        <v>8</v>
      </c>
      <c r="S28" s="1557">
        <f t="shared" si="12"/>
        <v>100</v>
      </c>
      <c r="T28" s="1556" t="s">
        <v>8</v>
      </c>
      <c r="U28" s="1557">
        <f t="shared" si="13"/>
        <v>100</v>
      </c>
      <c r="V28" s="1556" t="s">
        <v>8</v>
      </c>
      <c r="W28" s="1557">
        <f t="shared" si="14"/>
        <v>100</v>
      </c>
      <c r="X28" s="1550"/>
      <c r="Y28" s="3406"/>
      <c r="Z28" s="1558" t="str">
        <f t="shared" si="15"/>
        <v>公共部分装修</v>
      </c>
      <c r="AA28" s="1559">
        <f t="shared" si="3"/>
        <v>1</v>
      </c>
      <c r="AB28" s="1559">
        <f t="shared" si="4"/>
        <v>1</v>
      </c>
      <c r="AC28" s="1559">
        <f t="shared" si="5"/>
        <v>1</v>
      </c>
    </row>
    <row r="29" spans="1:29" ht="15">
      <c r="A29" s="929"/>
      <c r="B29" s="580" t="s">
        <v>808</v>
      </c>
      <c r="C29" s="881">
        <v>1</v>
      </c>
      <c r="D29" s="538">
        <v>100</v>
      </c>
      <c r="E29" s="881">
        <f>ROUND(1-(2019-2012)/60,2)</f>
        <v>0.88</v>
      </c>
      <c r="F29" s="573">
        <f>LOOKUP(E29,86:86,87:87)-LOOKUP(C29,86:86,87:87)+100</f>
        <v>99</v>
      </c>
      <c r="G29" s="881">
        <f>ROUND(1-(2019-2014)/60,2)</f>
        <v>0.92</v>
      </c>
      <c r="H29" s="573">
        <f>LOOKUP(G29,86:86,87:87)-LOOKUP(C29,86:86,87:87)+100</f>
        <v>100</v>
      </c>
      <c r="I29" s="881">
        <f>ROUND(1-(2019-2014)/60,2)</f>
        <v>0.92</v>
      </c>
      <c r="J29" s="538">
        <f>LOOKUP(I29,86:86,87:87)-LOOKUP(C29,86:86,87:87)+100</f>
        <v>100</v>
      </c>
      <c r="K29" s="582">
        <v>1</v>
      </c>
      <c r="L29" s="2124"/>
      <c r="M29" s="2116"/>
      <c r="N29" s="2116"/>
      <c r="O29" s="2123"/>
      <c r="P29" s="3406"/>
      <c r="Q29" s="1555" t="str">
        <f t="shared" si="11"/>
        <v>成新率</v>
      </c>
      <c r="R29" s="1556" t="s">
        <v>8</v>
      </c>
      <c r="S29" s="1557">
        <f t="shared" si="12"/>
        <v>99</v>
      </c>
      <c r="T29" s="1556" t="s">
        <v>8</v>
      </c>
      <c r="U29" s="1557">
        <f t="shared" si="13"/>
        <v>100</v>
      </c>
      <c r="V29" s="1556" t="s">
        <v>8</v>
      </c>
      <c r="W29" s="1557">
        <f t="shared" si="14"/>
        <v>100</v>
      </c>
      <c r="X29" s="1550"/>
      <c r="Y29" s="3406"/>
      <c r="Z29" s="1558" t="str">
        <f t="shared" si="15"/>
        <v>成新率</v>
      </c>
      <c r="AA29" s="1559">
        <f t="shared" si="3"/>
        <v>1.0101010101010102</v>
      </c>
      <c r="AB29" s="1559">
        <f t="shared" si="4"/>
        <v>1</v>
      </c>
      <c r="AC29" s="1559">
        <f t="shared" si="5"/>
        <v>1</v>
      </c>
    </row>
    <row r="30" spans="1:29" ht="15">
      <c r="A30" s="929"/>
      <c r="B30" s="580" t="s">
        <v>809</v>
      </c>
      <c r="C30" s="3196" t="s">
        <v>3098</v>
      </c>
      <c r="D30" s="538">
        <v>100</v>
      </c>
      <c r="E30" s="3196" t="s">
        <v>3098</v>
      </c>
      <c r="F30" s="573">
        <f>SUMIF(88:88,E30,89:89)-SUMIF(88:88,C30,89:89)+100</f>
        <v>100</v>
      </c>
      <c r="G30" s="930" t="s">
        <v>3089</v>
      </c>
      <c r="H30" s="538">
        <f>SUMIF(88:88,E30,89:89)-SUMIF(88:88,C30,89:89)+100</f>
        <v>100</v>
      </c>
      <c r="I30" s="3196" t="s">
        <v>3098</v>
      </c>
      <c r="J30" s="538">
        <f>SUMIF(88:88,E30,89:89)-SUMIF(88:88,C30,89:89)+100</f>
        <v>100</v>
      </c>
      <c r="K30" s="582">
        <v>1</v>
      </c>
      <c r="L30" s="2124"/>
      <c r="M30" s="2116"/>
      <c r="N30" s="2116"/>
      <c r="O30" s="2123"/>
      <c r="P30" s="3406"/>
      <c r="Q30" s="1555" t="str">
        <f t="shared" si="11"/>
        <v>物业等级</v>
      </c>
      <c r="R30" s="1556" t="s">
        <v>8</v>
      </c>
      <c r="S30" s="1557">
        <f t="shared" si="12"/>
        <v>100</v>
      </c>
      <c r="T30" s="1556" t="s">
        <v>8</v>
      </c>
      <c r="U30" s="1557">
        <f t="shared" si="13"/>
        <v>100</v>
      </c>
      <c r="V30" s="1556" t="s">
        <v>8</v>
      </c>
      <c r="W30" s="1557">
        <f t="shared" si="14"/>
        <v>100</v>
      </c>
      <c r="X30" s="1550"/>
      <c r="Y30" s="3406"/>
      <c r="Z30" s="1558" t="str">
        <f t="shared" si="15"/>
        <v>物业等级</v>
      </c>
      <c r="AA30" s="1559">
        <f t="shared" si="3"/>
        <v>1</v>
      </c>
      <c r="AB30" s="1559">
        <f t="shared" si="4"/>
        <v>1</v>
      </c>
      <c r="AC30" s="1559">
        <f t="shared" si="5"/>
        <v>1</v>
      </c>
    </row>
    <row r="31" spans="1:29" s="1214" customFormat="1" ht="15">
      <c r="A31" s="931"/>
      <c r="B31" s="580" t="s">
        <v>810</v>
      </c>
      <c r="C31" s="878">
        <v>31</v>
      </c>
      <c r="D31" s="253">
        <v>100</v>
      </c>
      <c r="E31" s="878">
        <v>31</v>
      </c>
      <c r="F31" s="573">
        <f>LOOKUP(E31,91:91,92:92)-LOOKUP(C31,91:91,92:92)+100</f>
        <v>100</v>
      </c>
      <c r="G31" s="878">
        <v>29</v>
      </c>
      <c r="H31" s="538">
        <f>LOOKUP(G31,91:91,92:92)-LOOKUP(C31,91:91,92:92)+100</f>
        <v>99</v>
      </c>
      <c r="I31" s="878">
        <v>32</v>
      </c>
      <c r="J31" s="538">
        <f>LOOKUP(I31,91:91,92:92)-LOOKUP(C31,91:91,92:92)+100</f>
        <v>100</v>
      </c>
      <c r="K31" s="582">
        <v>1</v>
      </c>
      <c r="L31" s="2117"/>
      <c r="M31" s="2118"/>
      <c r="N31" s="2118"/>
      <c r="O31" s="2119"/>
      <c r="P31" s="3406"/>
      <c r="Q31" s="1145" t="str">
        <f t="shared" si="11"/>
        <v>停车位面积</v>
      </c>
      <c r="R31" s="1551" t="s">
        <v>8</v>
      </c>
      <c r="S31" s="1552">
        <f t="shared" si="12"/>
        <v>100</v>
      </c>
      <c r="T31" s="1551" t="s">
        <v>8</v>
      </c>
      <c r="U31" s="1552">
        <f t="shared" si="13"/>
        <v>99</v>
      </c>
      <c r="V31" s="1551" t="s">
        <v>8</v>
      </c>
      <c r="W31" s="1552">
        <f t="shared" si="14"/>
        <v>100</v>
      </c>
      <c r="X31" s="1553"/>
      <c r="Y31" s="3406"/>
      <c r="Z31" s="1144" t="str">
        <f t="shared" si="15"/>
        <v>停车位面积</v>
      </c>
      <c r="AA31" s="1554">
        <f t="shared" si="3"/>
        <v>1</v>
      </c>
      <c r="AB31" s="1554">
        <f t="shared" si="4"/>
        <v>1.0101010101010102</v>
      </c>
      <c r="AC31" s="1554">
        <f t="shared" si="5"/>
        <v>1</v>
      </c>
    </row>
    <row r="32" spans="1:29" ht="15.75" thickBot="1">
      <c r="A32" s="929"/>
      <c r="B32" s="580" t="s">
        <v>811</v>
      </c>
      <c r="C32" s="3195" t="s">
        <v>3099</v>
      </c>
      <c r="D32" s="538">
        <v>100</v>
      </c>
      <c r="E32" s="3195" t="s">
        <v>3099</v>
      </c>
      <c r="F32" s="573">
        <f>SUMIF(93:93,E32,94:94)-SUMIF(93:93,C32,94:94)+100</f>
        <v>100</v>
      </c>
      <c r="G32" s="572" t="s">
        <v>3103</v>
      </c>
      <c r="H32" s="538">
        <f>SUMIF(93:93,G32,94:94)-SUMIF(93:93,C32,94:94)+100</f>
        <v>100</v>
      </c>
      <c r="I32" s="3195" t="s">
        <v>3099</v>
      </c>
      <c r="J32" s="538">
        <f>SUMIF(93:93,I32,94:94)-SUMIF(93:93,C32,94:94)+100</f>
        <v>100</v>
      </c>
      <c r="K32" s="582">
        <v>1</v>
      </c>
      <c r="L32" s="2124"/>
      <c r="M32" s="2116"/>
      <c r="N32" s="2116"/>
      <c r="O32" s="2123"/>
      <c r="P32" s="3406" t="s">
        <v>550</v>
      </c>
      <c r="Q32" s="1555" t="str">
        <f t="shared" si="11"/>
        <v>车位类型</v>
      </c>
      <c r="R32" s="1556" t="s">
        <v>8</v>
      </c>
      <c r="S32" s="1557">
        <f t="shared" si="12"/>
        <v>100</v>
      </c>
      <c r="T32" s="1556" t="s">
        <v>8</v>
      </c>
      <c r="U32" s="1557">
        <f t="shared" si="13"/>
        <v>100</v>
      </c>
      <c r="V32" s="1556" t="s">
        <v>8</v>
      </c>
      <c r="W32" s="1557">
        <f t="shared" si="14"/>
        <v>100</v>
      </c>
      <c r="X32" s="1550"/>
      <c r="Y32" s="3406" t="s">
        <v>550</v>
      </c>
      <c r="Z32" s="1558" t="str">
        <f t="shared" si="15"/>
        <v>车位类型</v>
      </c>
      <c r="AA32" s="1559">
        <f t="shared" si="3"/>
        <v>1</v>
      </c>
      <c r="AB32" s="1559">
        <f t="shared" si="4"/>
        <v>1</v>
      </c>
      <c r="AC32" s="1559">
        <f t="shared" si="5"/>
        <v>1</v>
      </c>
    </row>
    <row r="33" spans="1:29" ht="15" hidden="1">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06"/>
      <c r="Q33" s="1555" t="str">
        <f t="shared" si="11"/>
        <v>是否直接入户</v>
      </c>
      <c r="R33" s="1556" t="s">
        <v>8</v>
      </c>
      <c r="S33" s="1557">
        <f t="shared" si="12"/>
        <v>100</v>
      </c>
      <c r="T33" s="1556" t="s">
        <v>8</v>
      </c>
      <c r="U33" s="1557">
        <f t="shared" si="13"/>
        <v>100</v>
      </c>
      <c r="V33" s="1556" t="s">
        <v>8</v>
      </c>
      <c r="W33" s="1557">
        <f t="shared" si="14"/>
        <v>100</v>
      </c>
      <c r="X33" s="1550"/>
      <c r="Y33" s="3406"/>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06"/>
      <c r="Q34" s="1555">
        <f t="shared" si="11"/>
        <v>111</v>
      </c>
      <c r="R34" s="1556" t="s">
        <v>8</v>
      </c>
      <c r="S34" s="1557">
        <f t="shared" si="12"/>
        <v>100</v>
      </c>
      <c r="T34" s="1556" t="s">
        <v>8</v>
      </c>
      <c r="U34" s="1557">
        <f t="shared" si="13"/>
        <v>100</v>
      </c>
      <c r="V34" s="1556" t="s">
        <v>8</v>
      </c>
      <c r="W34" s="1557">
        <f t="shared" si="14"/>
        <v>100</v>
      </c>
      <c r="X34" s="1550"/>
      <c r="Y34" s="3406"/>
      <c r="Z34" s="1558">
        <f t="shared" si="15"/>
        <v>111</v>
      </c>
      <c r="AA34" s="1559">
        <f t="shared" si="3"/>
        <v>1</v>
      </c>
      <c r="AB34" s="1559">
        <f t="shared" si="4"/>
        <v>1</v>
      </c>
      <c r="AC34" s="1559">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06"/>
      <c r="Q35" s="1587">
        <f t="shared" si="11"/>
        <v>111</v>
      </c>
      <c r="R35" s="1560" t="s">
        <v>8</v>
      </c>
      <c r="S35" s="1561">
        <f t="shared" si="12"/>
        <v>100</v>
      </c>
      <c r="T35" s="1560" t="s">
        <v>8</v>
      </c>
      <c r="U35" s="1561">
        <f t="shared" si="13"/>
        <v>100</v>
      </c>
      <c r="V35" s="1560" t="s">
        <v>8</v>
      </c>
      <c r="W35" s="1561">
        <f t="shared" si="14"/>
        <v>100</v>
      </c>
      <c r="X35" s="1562"/>
      <c r="Y35" s="3406"/>
      <c r="Z35" s="1563">
        <f t="shared" si="15"/>
        <v>111</v>
      </c>
      <c r="AA35" s="1559">
        <f t="shared" si="3"/>
        <v>1</v>
      </c>
      <c r="AB35" s="1559">
        <f t="shared" si="4"/>
        <v>1</v>
      </c>
      <c r="AC35" s="1559">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06"/>
      <c r="Q36" s="1555">
        <f t="shared" si="11"/>
        <v>111</v>
      </c>
      <c r="R36" s="1556" t="s">
        <v>8</v>
      </c>
      <c r="S36" s="1557">
        <f t="shared" si="12"/>
        <v>100</v>
      </c>
      <c r="T36" s="1556" t="s">
        <v>8</v>
      </c>
      <c r="U36" s="1557">
        <f t="shared" si="13"/>
        <v>100</v>
      </c>
      <c r="V36" s="1556" t="s">
        <v>8</v>
      </c>
      <c r="W36" s="1557">
        <f t="shared" si="14"/>
        <v>100</v>
      </c>
      <c r="X36" s="1550"/>
      <c r="Y36" s="3406"/>
      <c r="Z36" s="1558">
        <f t="shared" si="15"/>
        <v>111</v>
      </c>
      <c r="AA36" s="1559">
        <f t="shared" si="3"/>
        <v>1</v>
      </c>
      <c r="AB36" s="1559">
        <f t="shared" si="4"/>
        <v>1</v>
      </c>
      <c r="AC36" s="1559">
        <f t="shared" si="5"/>
        <v>1</v>
      </c>
    </row>
    <row r="37" spans="1:29" ht="15">
      <c r="A37" s="1828" t="s">
        <v>2074</v>
      </c>
      <c r="B37" s="1829" t="s">
        <v>3096</v>
      </c>
      <c r="C37" s="2588" t="s">
        <v>1</v>
      </c>
      <c r="D37" s="2589"/>
      <c r="E37" s="2590">
        <v>260000</v>
      </c>
      <c r="F37" s="2591"/>
      <c r="G37" s="2592">
        <v>242500</v>
      </c>
      <c r="H37" s="2593"/>
      <c r="I37" s="2590">
        <v>245900</v>
      </c>
      <c r="J37" s="2593"/>
      <c r="K37" s="1593"/>
      <c r="L37" s="2126"/>
      <c r="M37" s="2127"/>
      <c r="N37" s="2116"/>
      <c r="O37" s="2127"/>
      <c r="P37" s="3366" t="str">
        <f>A37</f>
        <v>成交单价</v>
      </c>
      <c r="Q37" s="3366"/>
      <c r="R37" s="3461">
        <f>E37</f>
        <v>260000</v>
      </c>
      <c r="S37" s="3461"/>
      <c r="T37" s="3461">
        <f>G37</f>
        <v>242500</v>
      </c>
      <c r="U37" s="3461"/>
      <c r="V37" s="3461">
        <f>I37</f>
        <v>245900</v>
      </c>
      <c r="W37" s="3461"/>
      <c r="X37" s="1542"/>
      <c r="Y37" s="1564"/>
      <c r="Z37" s="1542"/>
      <c r="AA37" s="1542"/>
      <c r="AB37" s="1542"/>
      <c r="AC37" s="1542"/>
    </row>
    <row r="38" spans="1:29" ht="15.75" thickBot="1">
      <c r="A38" s="613" t="s">
        <v>2757</v>
      </c>
      <c r="B38" s="886"/>
      <c r="C38" s="2594">
        <f>R39</f>
        <v>248871</v>
      </c>
      <c r="D38" s="2595"/>
      <c r="E38" s="2596">
        <f>R38</f>
        <v>265333</v>
      </c>
      <c r="F38" s="2596"/>
      <c r="G38" s="2594">
        <f>T38</f>
        <v>237815</v>
      </c>
      <c r="H38" s="2595"/>
      <c r="I38" s="2596">
        <f>V38</f>
        <v>243465</v>
      </c>
      <c r="J38" s="2595"/>
      <c r="K38" s="1594"/>
      <c r="L38" s="2126"/>
      <c r="M38" s="2127"/>
      <c r="N38" s="2127"/>
      <c r="O38" s="2127"/>
      <c r="P38" s="3366" t="str">
        <f>A38</f>
        <v>比较价格（元/平方米）</v>
      </c>
      <c r="Q38" s="3366"/>
      <c r="R38" s="3461">
        <f>IF(F1="售价",ROUND(PRODUCT(R37,AA7:AA36),0),ROUND(PRODUCT(R37,AA7:AA36),1))</f>
        <v>265333</v>
      </c>
      <c r="S38" s="3461"/>
      <c r="T38" s="3461">
        <f>IF(F1="售价",ROUND(PRODUCT(T37,AB7:AB36),0),ROUND(PRODUCT(T37,AB7:AB36),1))</f>
        <v>237815</v>
      </c>
      <c r="U38" s="3461"/>
      <c r="V38" s="3461">
        <f>IF(F1="售价",ROUND(PRODUCT(V37,AC7:AC36),0),ROUND(PRODUCT(V37,AC7:AC36),1))</f>
        <v>243465</v>
      </c>
      <c r="W38" s="3461"/>
      <c r="X38" s="1542"/>
      <c r="Y38" s="1542"/>
      <c r="Z38" s="1542"/>
      <c r="AA38" s="1542"/>
      <c r="AB38" s="1542"/>
      <c r="AC38" s="1542"/>
    </row>
    <row r="39" spans="1:29" ht="15.75" thickBot="1">
      <c r="A39" s="619" t="s">
        <v>2924</v>
      </c>
      <c r="B39" s="620"/>
      <c r="C39" s="2597">
        <f>R39</f>
        <v>248871</v>
      </c>
      <c r="D39" s="2597"/>
      <c r="E39" s="2597"/>
      <c r="F39" s="2597"/>
      <c r="G39" s="2597"/>
      <c r="H39" s="2597"/>
      <c r="I39" s="2597"/>
      <c r="J39" s="2597"/>
      <c r="K39" s="1595"/>
      <c r="L39" s="2126"/>
      <c r="M39" s="2127"/>
      <c r="N39" s="2127"/>
      <c r="O39" s="2127"/>
      <c r="P39" s="3363" t="str">
        <f>A39</f>
        <v>估价对象XX用房的比较价格（楼面单价，元/平方米）</v>
      </c>
      <c r="Q39" s="3364"/>
      <c r="R39" s="3460">
        <f>IF(F1="售价",ROUND(AVERAGE(R38:V38),0),ROUND(AVERAGE(R38:V38),1))</f>
        <v>248871</v>
      </c>
      <c r="S39" s="3460"/>
      <c r="T39" s="3460"/>
      <c r="U39" s="3460"/>
      <c r="V39" s="3460"/>
      <c r="W39" s="3460"/>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2.0511538461538414E-2</v>
      </c>
      <c r="F42" s="625" t="str">
        <f>IF(OR(E42&gt;=0.3,E42&lt;=-0.3),"超过30%","")</f>
        <v/>
      </c>
      <c r="G42" s="624">
        <f>IF(G37&lt;G38,G38/G37-1,G37/G38-1)</f>
        <v>1.9700187120240464E-2</v>
      </c>
      <c r="H42" s="625" t="str">
        <f>IF(OR(G42&gt;=0.3,G42&lt;=-0.3),"超过30%","")</f>
        <v/>
      </c>
      <c r="I42" s="624">
        <f>IF(I37&lt;I38,I38/I37-1,I37/I38-1)</f>
        <v>1.0001437578296635E-2</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0.11571179278010213</v>
      </c>
      <c r="F43" s="625" t="str">
        <f>IF(OR(E43&gt;=0.2,E43&lt;=-0.2),"超过20%","")</f>
        <v/>
      </c>
      <c r="G43" s="624">
        <f>IF(G38&lt;I38,I38/G38-1,G38/I38-1)</f>
        <v>2.375796312259526E-2</v>
      </c>
      <c r="H43" s="625" t="str">
        <f>IF(OR(G43&gt;=0.2,G43&lt;=-0.2),"超过20%","")</f>
        <v/>
      </c>
      <c r="I43" s="624">
        <f>IF(I38&lt;E38,E38/I38-1,I38/E38-1)</f>
        <v>8.9819891976259392E-2</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f>IF(E37&lt;G37,G37/E37-1,E37/G37-1)</f>
        <v>7.2164948453608213E-2</v>
      </c>
      <c r="F44" s="625" t="str">
        <f>IF(OR(E44&gt;=0.3,E44&lt;=-0.3),"超过30%","")</f>
        <v/>
      </c>
      <c r="G44" s="624">
        <f>IF(G37&lt;I37,I37/G37-1,G37/I37-1)</f>
        <v>1.4020618556701114E-2</v>
      </c>
      <c r="H44" s="625" t="str">
        <f>IF(OR(G44&gt;=0.3,G44&lt;=-0.3),"超过30%","")</f>
        <v/>
      </c>
      <c r="I44" s="624">
        <f>IF(I37&lt;E37,E37/I37-1,I37/E37-1)</f>
        <v>5.7340382269215118E-2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529</v>
      </c>
      <c r="B48" s="644"/>
      <c r="C48" s="2754" t="str">
        <f>YEAR(C7)&amp;"-"&amp;MONTH(C7)</f>
        <v>2019-12</v>
      </c>
      <c r="D48" s="2756">
        <f>EDATE(C48,-1)</f>
        <v>43770</v>
      </c>
      <c r="E48" s="2756">
        <f t="shared" ref="E48:O48" si="16">EDATE(D48,-1)</f>
        <v>43739</v>
      </c>
      <c r="F48" s="2756">
        <f t="shared" si="16"/>
        <v>43709</v>
      </c>
      <c r="G48" s="2756">
        <f t="shared" si="16"/>
        <v>43678</v>
      </c>
      <c r="H48" s="2756">
        <f t="shared" si="16"/>
        <v>43647</v>
      </c>
      <c r="I48" s="2756">
        <f t="shared" si="16"/>
        <v>43617</v>
      </c>
      <c r="J48" s="2756">
        <f t="shared" si="16"/>
        <v>43586</v>
      </c>
      <c r="K48" s="2756">
        <f t="shared" si="16"/>
        <v>43556</v>
      </c>
      <c r="L48" s="2756">
        <f t="shared" si="16"/>
        <v>43525</v>
      </c>
      <c r="M48" s="2756">
        <f t="shared" si="16"/>
        <v>43497</v>
      </c>
      <c r="N48" s="2756">
        <f t="shared" si="16"/>
        <v>43466</v>
      </c>
      <c r="O48" s="2756">
        <f t="shared" si="16"/>
        <v>43435</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0</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0</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0</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98</v>
      </c>
      <c r="E64" s="677">
        <f>D64-$K14</f>
        <v>96</v>
      </c>
      <c r="F64" s="677">
        <f>E64-$K14</f>
        <v>94</v>
      </c>
      <c r="G64" s="677">
        <f>F64-$K14</f>
        <v>92</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98</v>
      </c>
      <c r="E66" s="677">
        <f>D66-$K16</f>
        <v>96</v>
      </c>
      <c r="F66" s="677">
        <f>E66-$K16</f>
        <v>94</v>
      </c>
      <c r="G66" s="677">
        <f>F66-$K16</f>
        <v>92</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97</v>
      </c>
      <c r="E68" s="677">
        <f>D68-$K18</f>
        <v>94</v>
      </c>
      <c r="F68" s="677">
        <f>E68-$K18</f>
        <v>91</v>
      </c>
      <c r="G68" s="677">
        <f>F68-$K18</f>
        <v>88</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743</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97</v>
      </c>
      <c r="E70" s="677">
        <f>D70-$K20</f>
        <v>94</v>
      </c>
      <c r="F70" s="677">
        <f>E70-$K20</f>
        <v>91</v>
      </c>
      <c r="G70" s="677">
        <f>F70-$K20</f>
        <v>88</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744</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813</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814</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750</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817</v>
      </c>
      <c r="C90" s="706" t="str">
        <f>C91&amp;"(含)"&amp;"-"&amp;D91</f>
        <v>25(含)-30</v>
      </c>
      <c r="D90" s="706" t="str">
        <f t="shared" ref="D90:L90" si="21">D91&amp;"(含)"&amp;"-"&amp;E91</f>
        <v>30(含)-35</v>
      </c>
      <c r="E90" s="706" t="str">
        <f t="shared" si="21"/>
        <v>35(含)-40</v>
      </c>
      <c r="F90" s="706" t="str">
        <f t="shared" si="21"/>
        <v>40(含)-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v>25</v>
      </c>
      <c r="D91" s="728">
        <v>30</v>
      </c>
      <c r="E91" s="728">
        <v>35</v>
      </c>
      <c r="F91" s="728">
        <v>40</v>
      </c>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v>100</v>
      </c>
      <c r="D92" s="669">
        <v>101</v>
      </c>
      <c r="E92" s="669">
        <v>102</v>
      </c>
      <c r="F92" s="669">
        <v>103</v>
      </c>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819</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791</v>
      </c>
      <c r="D1" s="847"/>
      <c r="E1" s="504"/>
      <c r="F1" s="2759"/>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t="e">
        <f>C37</f>
        <v>#DIV/0!</v>
      </c>
      <c r="C3" s="850" t="s">
        <v>795</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796</v>
      </c>
      <c r="B4" s="511"/>
      <c r="C4" s="3372" t="s">
        <v>797</v>
      </c>
      <c r="D4" s="3373"/>
      <c r="E4" s="3409" t="s">
        <v>798</v>
      </c>
      <c r="F4" s="3410"/>
      <c r="G4" s="3372" t="s">
        <v>799</v>
      </c>
      <c r="H4" s="3373"/>
      <c r="I4" s="3372" t="s">
        <v>800</v>
      </c>
      <c r="J4" s="3373"/>
      <c r="K4" s="512" t="s">
        <v>801</v>
      </c>
      <c r="L4" s="2115"/>
      <c r="M4" s="2116"/>
      <c r="N4" s="2116"/>
      <c r="O4" s="2116"/>
      <c r="P4" s="3374" t="s">
        <v>802</v>
      </c>
      <c r="Q4" s="3375"/>
      <c r="R4" s="3380" t="s">
        <v>798</v>
      </c>
      <c r="S4" s="3381"/>
      <c r="T4" s="3380" t="s">
        <v>799</v>
      </c>
      <c r="U4" s="3381"/>
      <c r="V4" s="3367" t="s">
        <v>800</v>
      </c>
      <c r="W4" s="3367"/>
      <c r="X4" s="1550"/>
      <c r="Y4" s="3380" t="s">
        <v>802</v>
      </c>
      <c r="Z4" s="3381"/>
      <c r="AA4" s="3369" t="s">
        <v>798</v>
      </c>
      <c r="AB4" s="3370" t="s">
        <v>799</v>
      </c>
      <c r="AC4" s="3369" t="s">
        <v>800</v>
      </c>
    </row>
    <row r="5" spans="1:29" ht="15">
      <c r="A5" s="513"/>
      <c r="B5" s="514"/>
      <c r="C5" s="3388" t="s">
        <v>2918</v>
      </c>
      <c r="D5" s="3389"/>
      <c r="E5" s="3393" t="s">
        <v>2919</v>
      </c>
      <c r="F5" s="3394"/>
      <c r="G5" s="3388" t="s">
        <v>2920</v>
      </c>
      <c r="H5" s="3389"/>
      <c r="I5" s="3388" t="s">
        <v>2921</v>
      </c>
      <c r="J5" s="3389"/>
      <c r="K5" s="512"/>
      <c r="L5" s="2115"/>
      <c r="M5" s="2116"/>
      <c r="N5" s="2116"/>
      <c r="O5" s="2116"/>
      <c r="P5" s="3376"/>
      <c r="Q5" s="3377"/>
      <c r="R5" s="3382"/>
      <c r="S5" s="3383"/>
      <c r="T5" s="3382"/>
      <c r="U5" s="3383"/>
      <c r="V5" s="3367"/>
      <c r="W5" s="3367"/>
      <c r="X5" s="1550"/>
      <c r="Y5" s="3382"/>
      <c r="Z5" s="3383"/>
      <c r="AA5" s="3370"/>
      <c r="AB5" s="3370"/>
      <c r="AC5" s="3370"/>
    </row>
    <row r="6" spans="1:29" ht="15.75" thickBot="1">
      <c r="A6" s="515"/>
      <c r="B6" s="516"/>
      <c r="C6" s="3407" t="s">
        <v>2922</v>
      </c>
      <c r="D6" s="3408"/>
      <c r="E6" s="3392" t="s">
        <v>2922</v>
      </c>
      <c r="F6" s="3387"/>
      <c r="G6" s="3407" t="s">
        <v>2922</v>
      </c>
      <c r="H6" s="3408"/>
      <c r="I6" s="3407" t="s">
        <v>2922</v>
      </c>
      <c r="J6" s="3408"/>
      <c r="K6" s="512" t="s">
        <v>528</v>
      </c>
      <c r="L6" s="2115"/>
      <c r="M6" s="2116"/>
      <c r="N6" s="2116"/>
      <c r="O6" s="2116"/>
      <c r="P6" s="3378"/>
      <c r="Q6" s="3379"/>
      <c r="R6" s="3382"/>
      <c r="S6" s="3383"/>
      <c r="T6" s="3384"/>
      <c r="U6" s="3385"/>
      <c r="V6" s="3367"/>
      <c r="W6" s="3367"/>
      <c r="X6" s="1550"/>
      <c r="Y6" s="3384"/>
      <c r="Z6" s="3385"/>
      <c r="AA6" s="3371"/>
      <c r="AB6" s="3371"/>
      <c r="AC6" s="3371"/>
    </row>
    <row r="7" spans="1:29" s="1214" customFormat="1" ht="15.75" thickBot="1">
      <c r="A7" s="2864"/>
      <c r="B7" s="2871" t="s">
        <v>529</v>
      </c>
      <c r="C7" s="517">
        <f>'数据-取费表'!B2</f>
        <v>43817</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00" t="s">
        <v>530</v>
      </c>
      <c r="Q7" s="3402"/>
      <c r="R7" s="1551" t="s">
        <v>8</v>
      </c>
      <c r="S7" s="1552">
        <f t="shared" ref="S7:S14" si="0">F7</f>
        <v>0</v>
      </c>
      <c r="T7" s="1551" t="s">
        <v>8</v>
      </c>
      <c r="U7" s="1552">
        <f t="shared" ref="U7:U14" si="1">H7</f>
        <v>0</v>
      </c>
      <c r="V7" s="1551" t="s">
        <v>8</v>
      </c>
      <c r="W7" s="1552">
        <f t="shared" ref="W7:W14" si="2">J7</f>
        <v>0</v>
      </c>
      <c r="X7" s="1553"/>
      <c r="Y7" s="3400" t="s">
        <v>530</v>
      </c>
      <c r="Z7" s="3401"/>
      <c r="AA7" s="1554" t="e">
        <f>D7/F7</f>
        <v>#DIV/0!</v>
      </c>
      <c r="AB7" s="1554" t="e">
        <f>D7/H7</f>
        <v>#DIV/0!</v>
      </c>
      <c r="AC7" s="1554" t="e">
        <f>D7/J7</f>
        <v>#DIV/0!</v>
      </c>
    </row>
    <row r="8" spans="1:29" s="1214"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00" t="s">
        <v>533</v>
      </c>
      <c r="Q8" s="3401"/>
      <c r="R8" s="1551" t="s">
        <v>8</v>
      </c>
      <c r="S8" s="1552">
        <f t="shared" si="0"/>
        <v>0</v>
      </c>
      <c r="T8" s="1551" t="s">
        <v>8</v>
      </c>
      <c r="U8" s="1552">
        <f t="shared" si="1"/>
        <v>0</v>
      </c>
      <c r="V8" s="1551" t="s">
        <v>8</v>
      </c>
      <c r="W8" s="1552">
        <f t="shared" si="2"/>
        <v>0</v>
      </c>
      <c r="X8" s="1553"/>
      <c r="Y8" s="3400" t="s">
        <v>533</v>
      </c>
      <c r="Z8" s="3401"/>
      <c r="AA8" s="1554" t="e">
        <f t="shared" ref="AA8:AA34" si="3">D8/F8</f>
        <v>#DIV/0!</v>
      </c>
      <c r="AB8" s="1554" t="e">
        <f t="shared" ref="AB8:AB34" si="4">D8/H8</f>
        <v>#DIV/0!</v>
      </c>
      <c r="AC8" s="1554" t="e">
        <f t="shared" ref="AC8:AC34" si="5">D8/J8</f>
        <v>#DIV/0!</v>
      </c>
    </row>
    <row r="9" spans="1:29" s="1214" customFormat="1" ht="15">
      <c r="A9" s="2866"/>
      <c r="B9" s="2873" t="s">
        <v>2753</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66" t="s">
        <v>535</v>
      </c>
      <c r="Q9" s="1145" t="str">
        <f t="shared" ref="Q9:Q14" si="6">B9</f>
        <v>用途</v>
      </c>
      <c r="R9" s="1551" t="s">
        <v>8</v>
      </c>
      <c r="S9" s="1552">
        <f t="shared" si="0"/>
        <v>100</v>
      </c>
      <c r="T9" s="1551" t="s">
        <v>8</v>
      </c>
      <c r="U9" s="1552">
        <f t="shared" si="1"/>
        <v>100</v>
      </c>
      <c r="V9" s="1551" t="s">
        <v>8</v>
      </c>
      <c r="W9" s="1552">
        <f t="shared" si="2"/>
        <v>100</v>
      </c>
      <c r="X9" s="1553"/>
      <c r="Y9" s="3312" t="s">
        <v>536</v>
      </c>
      <c r="Z9" s="1144" t="str">
        <f t="shared" ref="Z9:Z14" si="7">Q9</f>
        <v>用途</v>
      </c>
      <c r="AA9" s="1554">
        <f t="shared" si="3"/>
        <v>1</v>
      </c>
      <c r="AB9" s="1554">
        <f t="shared" si="4"/>
        <v>1</v>
      </c>
      <c r="AC9" s="1554">
        <f t="shared" si="5"/>
        <v>1</v>
      </c>
    </row>
    <row r="10" spans="1:29" s="1332" customFormat="1" ht="27">
      <c r="A10" s="2867"/>
      <c r="B10" s="2872" t="s">
        <v>2754</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66"/>
      <c r="Q10" s="1145" t="str">
        <f t="shared" si="6"/>
        <v>土地使用年限（年）</v>
      </c>
      <c r="R10" s="1551" t="s">
        <v>8</v>
      </c>
      <c r="S10" s="1552">
        <f t="shared" si="0"/>
        <v>100</v>
      </c>
      <c r="T10" s="1551" t="s">
        <v>8</v>
      </c>
      <c r="U10" s="1552">
        <f t="shared" si="1"/>
        <v>100</v>
      </c>
      <c r="V10" s="1551" t="s">
        <v>8</v>
      </c>
      <c r="W10" s="1552">
        <f t="shared" si="2"/>
        <v>100</v>
      </c>
      <c r="X10" s="1553"/>
      <c r="Y10" s="3312"/>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66"/>
      <c r="Q11" s="1145">
        <f t="shared" si="6"/>
        <v>111</v>
      </c>
      <c r="R11" s="1551" t="s">
        <v>8</v>
      </c>
      <c r="S11" s="1552">
        <f t="shared" si="0"/>
        <v>100</v>
      </c>
      <c r="T11" s="1551" t="s">
        <v>8</v>
      </c>
      <c r="U11" s="1552">
        <f t="shared" si="1"/>
        <v>100</v>
      </c>
      <c r="V11" s="1551" t="s">
        <v>8</v>
      </c>
      <c r="W11" s="1552">
        <f t="shared" si="2"/>
        <v>100</v>
      </c>
      <c r="X11" s="1553"/>
      <c r="Y11" s="3312"/>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66"/>
      <c r="Q12" s="1145">
        <f t="shared" si="6"/>
        <v>111</v>
      </c>
      <c r="R12" s="1551" t="s">
        <v>8</v>
      </c>
      <c r="S12" s="1552">
        <f t="shared" si="0"/>
        <v>100</v>
      </c>
      <c r="T12" s="1551" t="s">
        <v>8</v>
      </c>
      <c r="U12" s="1552">
        <f t="shared" si="1"/>
        <v>100</v>
      </c>
      <c r="V12" s="1551" t="s">
        <v>8</v>
      </c>
      <c r="W12" s="1552">
        <f t="shared" si="2"/>
        <v>100</v>
      </c>
      <c r="X12" s="1553"/>
      <c r="Y12" s="3312"/>
      <c r="Z12" s="1144">
        <f t="shared" si="7"/>
        <v>111</v>
      </c>
      <c r="AA12" s="1554">
        <f>D12/F12</f>
        <v>1</v>
      </c>
      <c r="AB12" s="1554">
        <f>D12/H12</f>
        <v>1</v>
      </c>
      <c r="AC12" s="1554">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66"/>
      <c r="Q13" s="1145">
        <f t="shared" si="6"/>
        <v>111</v>
      </c>
      <c r="R13" s="1551" t="s">
        <v>8</v>
      </c>
      <c r="S13" s="1552">
        <f t="shared" si="0"/>
        <v>100</v>
      </c>
      <c r="T13" s="1551" t="s">
        <v>8</v>
      </c>
      <c r="U13" s="1552">
        <f t="shared" si="1"/>
        <v>100</v>
      </c>
      <c r="V13" s="1551" t="s">
        <v>8</v>
      </c>
      <c r="W13" s="1552">
        <f t="shared" si="2"/>
        <v>100</v>
      </c>
      <c r="X13" s="1553"/>
      <c r="Y13" s="3312"/>
      <c r="Z13" s="1144">
        <f t="shared" si="7"/>
        <v>111</v>
      </c>
      <c r="AA13" s="1554">
        <f t="shared" si="3"/>
        <v>1</v>
      </c>
      <c r="AB13" s="1554">
        <f t="shared" si="4"/>
        <v>1</v>
      </c>
      <c r="AC13" s="1554">
        <f t="shared" si="5"/>
        <v>1</v>
      </c>
    </row>
    <row r="14" spans="1:29" ht="15">
      <c r="A14" s="2862"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03" t="s">
        <v>540</v>
      </c>
      <c r="Q14" s="1555" t="str">
        <f t="shared" si="6"/>
        <v>交通便捷度</v>
      </c>
      <c r="R14" s="1556" t="s">
        <v>8</v>
      </c>
      <c r="S14" s="1557">
        <f t="shared" si="0"/>
        <v>100</v>
      </c>
      <c r="T14" s="1556" t="s">
        <v>8</v>
      </c>
      <c r="U14" s="1557">
        <f t="shared" si="1"/>
        <v>100</v>
      </c>
      <c r="V14" s="1556" t="s">
        <v>8</v>
      </c>
      <c r="W14" s="1557">
        <f t="shared" si="2"/>
        <v>100</v>
      </c>
      <c r="X14" s="1550"/>
      <c r="Y14" s="3403"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04"/>
      <c r="Q15" s="1555"/>
      <c r="R15" s="1556"/>
      <c r="S15" s="1557"/>
      <c r="T15" s="1556"/>
      <c r="U15" s="1557"/>
      <c r="V15" s="1556"/>
      <c r="W15" s="1557"/>
      <c r="X15" s="1550"/>
      <c r="Y15" s="3404"/>
      <c r="Z15" s="1558"/>
      <c r="AA15" s="1559">
        <v>1</v>
      </c>
      <c r="AB15" s="1559">
        <v>1</v>
      </c>
      <c r="AC15" s="1559">
        <v>1</v>
      </c>
    </row>
    <row r="16" spans="1:29" ht="15">
      <c r="A16" s="530"/>
      <c r="B16" s="2564" t="s">
        <v>2543</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04"/>
      <c r="Q16" s="1555" t="str">
        <f>B16</f>
        <v>公共配套设施</v>
      </c>
      <c r="R16" s="1556" t="s">
        <v>8</v>
      </c>
      <c r="S16" s="1557">
        <f>F16</f>
        <v>100</v>
      </c>
      <c r="T16" s="1556" t="s">
        <v>8</v>
      </c>
      <c r="U16" s="1557">
        <f>H16</f>
        <v>100</v>
      </c>
      <c r="V16" s="1556" t="s">
        <v>8</v>
      </c>
      <c r="W16" s="1557">
        <f>J16</f>
        <v>100</v>
      </c>
      <c r="X16" s="1550"/>
      <c r="Y16" s="3404"/>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04"/>
      <c r="Q17" s="1555"/>
      <c r="R17" s="1556"/>
      <c r="S17" s="1557"/>
      <c r="T17" s="1556"/>
      <c r="U17" s="1557"/>
      <c r="V17" s="1556"/>
      <c r="W17" s="1557"/>
      <c r="X17" s="1550"/>
      <c r="Y17" s="3404"/>
      <c r="Z17" s="1558"/>
      <c r="AA17" s="1559">
        <v>1</v>
      </c>
      <c r="AB17" s="1559">
        <v>1</v>
      </c>
      <c r="AC17" s="1559">
        <v>1</v>
      </c>
    </row>
    <row r="18" spans="1:29" ht="15">
      <c r="A18" s="530"/>
      <c r="B18" s="2552" t="s">
        <v>2555</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04"/>
      <c r="Q18" s="2540" t="str">
        <f>B18</f>
        <v>基础设施水平</v>
      </c>
      <c r="R18" s="1556" t="s">
        <v>8</v>
      </c>
      <c r="S18" s="1557">
        <f>F18</f>
        <v>100</v>
      </c>
      <c r="T18" s="1556" t="s">
        <v>8</v>
      </c>
      <c r="U18" s="1557">
        <f>H18</f>
        <v>100</v>
      </c>
      <c r="V18" s="1556" t="s">
        <v>8</v>
      </c>
      <c r="W18" s="1557">
        <f>J18</f>
        <v>100</v>
      </c>
      <c r="X18" s="2542"/>
      <c r="Y18" s="3404"/>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04"/>
      <c r="Q19" s="2540"/>
      <c r="R19" s="1556"/>
      <c r="S19" s="1557"/>
      <c r="T19" s="1556"/>
      <c r="U19" s="1557"/>
      <c r="V19" s="1556"/>
      <c r="W19" s="1557"/>
      <c r="X19" s="2542"/>
      <c r="Y19" s="3404"/>
      <c r="Z19" s="2541"/>
      <c r="AA19" s="1559">
        <v>1</v>
      </c>
      <c r="AB19" s="1559">
        <v>1</v>
      </c>
      <c r="AC19" s="1559">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04"/>
      <c r="Q20" s="1555" t="str">
        <f>B20</f>
        <v>自然及人文环境</v>
      </c>
      <c r="R20" s="1556" t="s">
        <v>8</v>
      </c>
      <c r="S20" s="1557">
        <f>F20</f>
        <v>100</v>
      </c>
      <c r="T20" s="1556" t="s">
        <v>8</v>
      </c>
      <c r="U20" s="1557">
        <f>H20</f>
        <v>100</v>
      </c>
      <c r="V20" s="1556" t="s">
        <v>8</v>
      </c>
      <c r="W20" s="1557">
        <f>J20</f>
        <v>100</v>
      </c>
      <c r="X20" s="1550"/>
      <c r="Y20" s="3404"/>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04"/>
      <c r="Q21" s="1555"/>
      <c r="R21" s="1556"/>
      <c r="S21" s="1557"/>
      <c r="T21" s="1556"/>
      <c r="U21" s="1557"/>
      <c r="V21" s="1556"/>
      <c r="W21" s="1557"/>
      <c r="X21" s="1550"/>
      <c r="Y21" s="3404"/>
      <c r="Z21" s="1558"/>
      <c r="AA21" s="1559">
        <v>1</v>
      </c>
      <c r="AB21" s="1559">
        <v>1</v>
      </c>
      <c r="AC21" s="1559">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04"/>
      <c r="Q22" s="1555" t="str">
        <f>B22</f>
        <v>楼层</v>
      </c>
      <c r="R22" s="1556" t="s">
        <v>8</v>
      </c>
      <c r="S22" s="1557">
        <f>F22</f>
        <v>100</v>
      </c>
      <c r="T22" s="1556" t="s">
        <v>8</v>
      </c>
      <c r="U22" s="1557">
        <f>H22</f>
        <v>100</v>
      </c>
      <c r="V22" s="1556" t="s">
        <v>8</v>
      </c>
      <c r="W22" s="1557">
        <f>J22</f>
        <v>100</v>
      </c>
      <c r="X22" s="1550"/>
      <c r="Y22" s="3404"/>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04"/>
      <c r="Q23" s="1555">
        <f>B23</f>
        <v>111</v>
      </c>
      <c r="R23" s="1556" t="s">
        <v>8</v>
      </c>
      <c r="S23" s="1557">
        <f>F23</f>
        <v>100</v>
      </c>
      <c r="T23" s="1556" t="s">
        <v>8</v>
      </c>
      <c r="U23" s="1557">
        <f>H23</f>
        <v>100</v>
      </c>
      <c r="V23" s="1556" t="s">
        <v>8</v>
      </c>
      <c r="W23" s="1557">
        <f>J23</f>
        <v>100</v>
      </c>
      <c r="X23" s="1550"/>
      <c r="Y23" s="3404"/>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04"/>
      <c r="Q24" s="1555">
        <f t="shared" ref="Q24:Q34" si="11">B24</f>
        <v>111</v>
      </c>
      <c r="R24" s="1556" t="s">
        <v>8</v>
      </c>
      <c r="S24" s="1557">
        <f>F24</f>
        <v>100</v>
      </c>
      <c r="T24" s="1556" t="s">
        <v>8</v>
      </c>
      <c r="U24" s="1557">
        <f>H24</f>
        <v>100</v>
      </c>
      <c r="V24" s="1556" t="s">
        <v>8</v>
      </c>
      <c r="W24" s="1557">
        <f>J24</f>
        <v>100</v>
      </c>
      <c r="X24" s="1550"/>
      <c r="Y24" s="3404"/>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04"/>
      <c r="Q25" s="1145">
        <f t="shared" si="11"/>
        <v>111</v>
      </c>
      <c r="R25" s="1551" t="s">
        <v>8</v>
      </c>
      <c r="S25" s="1552">
        <f>F25</f>
        <v>100</v>
      </c>
      <c r="T25" s="1551" t="s">
        <v>8</v>
      </c>
      <c r="U25" s="1552">
        <f>H25</f>
        <v>100</v>
      </c>
      <c r="V25" s="1551" t="s">
        <v>8</v>
      </c>
      <c r="W25" s="1552">
        <f>J25</f>
        <v>100</v>
      </c>
      <c r="X25" s="1553"/>
      <c r="Y25" s="3404"/>
      <c r="Z25" s="1144">
        <f>Q25</f>
        <v>111</v>
      </c>
      <c r="AA25" s="1559">
        <f>D25/F25</f>
        <v>1</v>
      </c>
      <c r="AB25" s="1559">
        <f>D25/H25</f>
        <v>1</v>
      </c>
      <c r="AC25" s="1559">
        <f>D25/J25</f>
        <v>1</v>
      </c>
    </row>
    <row r="26" spans="1:29" ht="15">
      <c r="A26" s="2859" t="s">
        <v>2752</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05" t="s">
        <v>820</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6" t="s">
        <v>820</v>
      </c>
      <c r="Z26" s="1558" t="str">
        <f t="shared" ref="Z26:Z34" si="15">Q26</f>
        <v>公共部分装修</v>
      </c>
      <c r="AA26" s="1559">
        <f t="shared" si="3"/>
        <v>1</v>
      </c>
      <c r="AB26" s="1559">
        <f t="shared" si="4"/>
        <v>1</v>
      </c>
      <c r="AC26" s="1559">
        <f t="shared" si="5"/>
        <v>1</v>
      </c>
    </row>
    <row r="27" spans="1:29" s="1333"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06"/>
      <c r="Q27" s="1587" t="str">
        <f t="shared" si="11"/>
        <v>成新率</v>
      </c>
      <c r="R27" s="1560" t="s">
        <v>8</v>
      </c>
      <c r="S27" s="1561" t="e">
        <f t="shared" si="12"/>
        <v>#N/A</v>
      </c>
      <c r="T27" s="1560" t="s">
        <v>8</v>
      </c>
      <c r="U27" s="1561" t="e">
        <f t="shared" si="13"/>
        <v>#N/A</v>
      </c>
      <c r="V27" s="1560" t="s">
        <v>8</v>
      </c>
      <c r="W27" s="1561" t="e">
        <f t="shared" si="14"/>
        <v>#N/A</v>
      </c>
      <c r="X27" s="1562"/>
      <c r="Y27" s="3406"/>
      <c r="Z27" s="1563" t="str">
        <f t="shared" si="15"/>
        <v>成新率</v>
      </c>
      <c r="AA27" s="1559" t="e">
        <f t="shared" si="3"/>
        <v>#N/A</v>
      </c>
      <c r="AB27" s="1559" t="e">
        <f t="shared" si="4"/>
        <v>#N/A</v>
      </c>
      <c r="AC27" s="1559"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06"/>
      <c r="Q28" s="1555" t="str">
        <f t="shared" si="11"/>
        <v>物业等级</v>
      </c>
      <c r="R28" s="1556" t="s">
        <v>8</v>
      </c>
      <c r="S28" s="1557">
        <f t="shared" si="12"/>
        <v>100</v>
      </c>
      <c r="T28" s="1556" t="s">
        <v>8</v>
      </c>
      <c r="U28" s="1557">
        <f t="shared" si="13"/>
        <v>100</v>
      </c>
      <c r="V28" s="1556" t="s">
        <v>8</v>
      </c>
      <c r="W28" s="1557">
        <f t="shared" si="14"/>
        <v>100</v>
      </c>
      <c r="X28" s="1550"/>
      <c r="Y28" s="3406"/>
      <c r="Z28" s="1558" t="str">
        <f t="shared" si="15"/>
        <v>物业等级</v>
      </c>
      <c r="AA28" s="1559">
        <f t="shared" si="3"/>
        <v>1</v>
      </c>
      <c r="AB28" s="1559">
        <f t="shared" si="4"/>
        <v>1</v>
      </c>
      <c r="AC28" s="1559">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06"/>
      <c r="Q29" s="1555" t="str">
        <f t="shared" si="11"/>
        <v>有无电梯</v>
      </c>
      <c r="R29" s="1556" t="s">
        <v>8</v>
      </c>
      <c r="S29" s="1557">
        <f t="shared" si="12"/>
        <v>100</v>
      </c>
      <c r="T29" s="1556" t="s">
        <v>8</v>
      </c>
      <c r="U29" s="1557">
        <f t="shared" si="13"/>
        <v>100</v>
      </c>
      <c r="V29" s="1556" t="s">
        <v>8</v>
      </c>
      <c r="W29" s="1557">
        <f t="shared" si="14"/>
        <v>100</v>
      </c>
      <c r="X29" s="1550"/>
      <c r="Y29" s="3406"/>
      <c r="Z29" s="1558" t="str">
        <f t="shared" si="15"/>
        <v>有无电梯</v>
      </c>
      <c r="AA29" s="1559">
        <f t="shared" si="3"/>
        <v>1</v>
      </c>
      <c r="AB29" s="1559">
        <f t="shared" si="4"/>
        <v>1</v>
      </c>
      <c r="AC29" s="1559">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06"/>
      <c r="Q30" s="1555" t="str">
        <f t="shared" si="11"/>
        <v>建筑面积</v>
      </c>
      <c r="R30" s="1556" t="s">
        <v>8</v>
      </c>
      <c r="S30" s="1557" t="e">
        <f t="shared" si="12"/>
        <v>#N/A</v>
      </c>
      <c r="T30" s="1556" t="s">
        <v>8</v>
      </c>
      <c r="U30" s="1557" t="e">
        <f t="shared" si="13"/>
        <v>#N/A</v>
      </c>
      <c r="V30" s="1556" t="s">
        <v>8</v>
      </c>
      <c r="W30" s="1557" t="e">
        <f t="shared" si="14"/>
        <v>#N/A</v>
      </c>
      <c r="X30" s="1550"/>
      <c r="Y30" s="3406"/>
      <c r="Z30" s="1558" t="str">
        <f t="shared" si="15"/>
        <v>建筑面积</v>
      </c>
      <c r="AA30" s="1559" t="e">
        <f t="shared" si="3"/>
        <v>#N/A</v>
      </c>
      <c r="AB30" s="1559" t="e">
        <f t="shared" si="4"/>
        <v>#N/A</v>
      </c>
      <c r="AC30" s="1559" t="e">
        <f t="shared" si="5"/>
        <v>#N/A</v>
      </c>
    </row>
    <row r="31" spans="1:29" s="1214"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06"/>
      <c r="Q31" s="1145" t="str">
        <f t="shared" si="11"/>
        <v>是否封闭</v>
      </c>
      <c r="R31" s="1551" t="s">
        <v>8</v>
      </c>
      <c r="S31" s="1552">
        <f t="shared" si="12"/>
        <v>100</v>
      </c>
      <c r="T31" s="1551" t="s">
        <v>8</v>
      </c>
      <c r="U31" s="1552">
        <f t="shared" si="13"/>
        <v>100</v>
      </c>
      <c r="V31" s="1551" t="s">
        <v>8</v>
      </c>
      <c r="W31" s="1552">
        <f t="shared" si="14"/>
        <v>100</v>
      </c>
      <c r="X31" s="1553"/>
      <c r="Y31" s="3406"/>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06" t="s">
        <v>550</v>
      </c>
      <c r="Q32" s="1555">
        <f t="shared" si="11"/>
        <v>111</v>
      </c>
      <c r="R32" s="1556" t="s">
        <v>8</v>
      </c>
      <c r="S32" s="1557">
        <f t="shared" si="12"/>
        <v>100</v>
      </c>
      <c r="T32" s="1556" t="s">
        <v>8</v>
      </c>
      <c r="U32" s="1557">
        <f t="shared" si="13"/>
        <v>100</v>
      </c>
      <c r="V32" s="1556" t="s">
        <v>8</v>
      </c>
      <c r="W32" s="1557">
        <f t="shared" si="14"/>
        <v>100</v>
      </c>
      <c r="X32" s="1550"/>
      <c r="Y32" s="3406"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06"/>
      <c r="Q33" s="1555">
        <f t="shared" si="11"/>
        <v>111</v>
      </c>
      <c r="R33" s="1556" t="s">
        <v>8</v>
      </c>
      <c r="S33" s="1557">
        <f t="shared" si="12"/>
        <v>100</v>
      </c>
      <c r="T33" s="1556" t="s">
        <v>8</v>
      </c>
      <c r="U33" s="1557">
        <f t="shared" si="13"/>
        <v>100</v>
      </c>
      <c r="V33" s="1556" t="s">
        <v>8</v>
      </c>
      <c r="W33" s="1557">
        <f t="shared" si="14"/>
        <v>100</v>
      </c>
      <c r="X33" s="1550"/>
      <c r="Y33" s="3406"/>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06"/>
      <c r="Q34" s="1555">
        <f t="shared" si="11"/>
        <v>111</v>
      </c>
      <c r="R34" s="1556" t="s">
        <v>8</v>
      </c>
      <c r="S34" s="1557">
        <f t="shared" si="12"/>
        <v>100</v>
      </c>
      <c r="T34" s="1556" t="s">
        <v>8</v>
      </c>
      <c r="U34" s="1557">
        <f t="shared" si="13"/>
        <v>100</v>
      </c>
      <c r="V34" s="1556" t="s">
        <v>8</v>
      </c>
      <c r="W34" s="1557">
        <f t="shared" si="14"/>
        <v>100</v>
      </c>
      <c r="X34" s="1550"/>
      <c r="Y34" s="3406"/>
      <c r="Z34" s="1558">
        <f t="shared" si="15"/>
        <v>111</v>
      </c>
      <c r="AA34" s="1559">
        <f t="shared" si="3"/>
        <v>1</v>
      </c>
      <c r="AB34" s="1559">
        <f t="shared" si="4"/>
        <v>1</v>
      </c>
      <c r="AC34" s="1559">
        <f t="shared" si="5"/>
        <v>1</v>
      </c>
    </row>
    <row r="35" spans="1:29" ht="15">
      <c r="A35" s="605" t="s">
        <v>735</v>
      </c>
      <c r="B35" s="885"/>
      <c r="C35" s="2588" t="s">
        <v>1</v>
      </c>
      <c r="D35" s="2589"/>
      <c r="E35" s="2590"/>
      <c r="F35" s="2591"/>
      <c r="G35" s="2592"/>
      <c r="H35" s="2593"/>
      <c r="I35" s="2590"/>
      <c r="J35" s="2593"/>
      <c r="K35" s="1593"/>
      <c r="L35" s="2126"/>
      <c r="M35" s="2127"/>
      <c r="N35" s="2116"/>
      <c r="O35" s="2127"/>
      <c r="P35" s="3366" t="str">
        <f>A35</f>
        <v>成交单价（元/平方米）</v>
      </c>
      <c r="Q35" s="3366"/>
      <c r="R35" s="3461">
        <f>E35</f>
        <v>0</v>
      </c>
      <c r="S35" s="3461"/>
      <c r="T35" s="3461">
        <f>G35</f>
        <v>0</v>
      </c>
      <c r="U35" s="3461"/>
      <c r="V35" s="3461">
        <f>I35</f>
        <v>0</v>
      </c>
      <c r="W35" s="3461"/>
      <c r="X35" s="1542"/>
      <c r="Y35" s="1564"/>
      <c r="Z35" s="1542"/>
      <c r="AA35" s="1542"/>
      <c r="AB35" s="1542"/>
      <c r="AC35" s="1542"/>
    </row>
    <row r="36" spans="1:29" ht="15.75" thickBot="1">
      <c r="A36" s="613" t="s">
        <v>2757</v>
      </c>
      <c r="B36" s="886"/>
      <c r="C36" s="2594" t="e">
        <f>R37</f>
        <v>#DIV/0!</v>
      </c>
      <c r="D36" s="2595"/>
      <c r="E36" s="2596" t="e">
        <f>R36</f>
        <v>#DIV/0!</v>
      </c>
      <c r="F36" s="2596"/>
      <c r="G36" s="2594" t="e">
        <f>T36</f>
        <v>#DIV/0!</v>
      </c>
      <c r="H36" s="2595"/>
      <c r="I36" s="2596" t="e">
        <f>V36</f>
        <v>#DIV/0!</v>
      </c>
      <c r="J36" s="2595"/>
      <c r="K36" s="1594"/>
      <c r="L36" s="2126"/>
      <c r="M36" s="2127"/>
      <c r="N36" s="2116"/>
      <c r="O36" s="2127"/>
      <c r="P36" s="3366" t="str">
        <f>A36</f>
        <v>比较价格（元/平方米）</v>
      </c>
      <c r="Q36" s="3366"/>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42"/>
      <c r="Y36" s="1542"/>
      <c r="Z36" s="1542"/>
      <c r="AA36" s="1542"/>
      <c r="AB36" s="1542"/>
      <c r="AC36" s="1542"/>
    </row>
    <row r="37" spans="1:29" ht="15.75" thickBot="1">
      <c r="A37" s="619" t="s">
        <v>2924</v>
      </c>
      <c r="B37" s="620"/>
      <c r="C37" s="2597" t="e">
        <f>R37</f>
        <v>#DIV/0!</v>
      </c>
      <c r="D37" s="2597"/>
      <c r="E37" s="2597"/>
      <c r="F37" s="2597"/>
      <c r="G37" s="2597"/>
      <c r="H37" s="2597"/>
      <c r="I37" s="2597"/>
      <c r="J37" s="2597"/>
      <c r="K37" s="1595"/>
      <c r="L37" s="2126"/>
      <c r="M37" s="2127"/>
      <c r="N37" s="2127"/>
      <c r="O37" s="2127"/>
      <c r="P37" s="3363" t="str">
        <f>A37</f>
        <v>估价对象XX用房的比较价格（楼面单价，元/平方米）</v>
      </c>
      <c r="Q37" s="3364"/>
      <c r="R37" s="3460" t="e">
        <f>IF(F1="售价",ROUND(AVERAGE(R36:V36),0),ROUND(AVERAGE(R36:V36),1))</f>
        <v>#DIV/0!</v>
      </c>
      <c r="S37" s="3460"/>
      <c r="T37" s="3460"/>
      <c r="U37" s="3460"/>
      <c r="V37" s="3460"/>
      <c r="W37" s="3460"/>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3" t="s">
        <v>529</v>
      </c>
      <c r="B46" s="644"/>
      <c r="C46" s="2754" t="str">
        <f>YEAR(C7)&amp;"-"&amp;MONTH(C7)</f>
        <v>2019-12</v>
      </c>
      <c r="D46" s="2756">
        <f>EDATE(C46,-1)</f>
        <v>43770</v>
      </c>
      <c r="E46" s="2756">
        <f t="shared" ref="E46:O46" si="16">EDATE(D46,-1)</f>
        <v>43739</v>
      </c>
      <c r="F46" s="2756">
        <f t="shared" si="16"/>
        <v>43709</v>
      </c>
      <c r="G46" s="2756">
        <f t="shared" si="16"/>
        <v>43678</v>
      </c>
      <c r="H46" s="2756">
        <f t="shared" si="16"/>
        <v>43647</v>
      </c>
      <c r="I46" s="2756">
        <f t="shared" si="16"/>
        <v>43617</v>
      </c>
      <c r="J46" s="2756">
        <f t="shared" si="16"/>
        <v>43586</v>
      </c>
      <c r="K46" s="2756">
        <f t="shared" si="16"/>
        <v>43556</v>
      </c>
      <c r="L46" s="2756">
        <f t="shared" si="16"/>
        <v>43525</v>
      </c>
      <c r="M46" s="2756">
        <f t="shared" si="16"/>
        <v>43497</v>
      </c>
      <c r="N46" s="2756">
        <f t="shared" si="16"/>
        <v>43466</v>
      </c>
      <c r="O46" s="2756">
        <f t="shared" si="16"/>
        <v>43435</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743</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750</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816</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824</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826</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2300</v>
      </c>
      <c r="C1" s="3495" t="s">
        <v>2301</v>
      </c>
      <c r="D1" s="3496"/>
      <c r="E1" s="3496"/>
      <c r="F1" s="3496"/>
      <c r="G1" s="3496"/>
      <c r="H1" s="3496"/>
      <c r="I1" s="3496"/>
      <c r="J1" s="3496"/>
      <c r="K1" s="3496"/>
      <c r="L1" s="3496"/>
      <c r="M1" s="3496"/>
      <c r="N1" s="3496"/>
      <c r="O1" s="3496"/>
      <c r="P1" s="3496"/>
      <c r="Q1" s="3496"/>
      <c r="R1" s="3496"/>
      <c r="S1" s="3497"/>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2917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2916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2915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2928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827</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828</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0</v>
      </c>
      <c r="C22" s="3492" t="s">
        <v>20</v>
      </c>
      <c r="D22" s="3493"/>
      <c r="E22" s="3493"/>
      <c r="F22" s="3493"/>
      <c r="G22" s="3493"/>
      <c r="H22" s="3493"/>
      <c r="I22" s="3493"/>
      <c r="J22" s="3493"/>
      <c r="K22" s="3493"/>
      <c r="L22" s="3493"/>
      <c r="M22" s="3493"/>
      <c r="N22" s="3493"/>
      <c r="O22" s="3493"/>
      <c r="P22" s="3493"/>
      <c r="Q22" s="3494"/>
      <c r="R22" s="488" t="e">
        <f>ROUND(S22*10000/B22,0)</f>
        <v>#DIV/0!</v>
      </c>
      <c r="S22" s="53">
        <f>SUM(S24:S10000)</f>
        <v>0</v>
      </c>
    </row>
    <row r="23" spans="1:45" s="1596"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597"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43817</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M38" sqref="M3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2035</v>
      </c>
      <c r="B1" s="3202"/>
      <c r="C1" s="3202"/>
      <c r="D1" s="3202"/>
      <c r="E1" s="3202"/>
      <c r="F1" s="3202"/>
      <c r="G1" s="3202"/>
      <c r="H1" s="3202"/>
      <c r="I1" s="3202"/>
      <c r="J1" s="3202"/>
      <c r="K1" s="3202"/>
      <c r="L1" s="3202"/>
      <c r="M1" s="3202"/>
      <c r="N1" s="3202"/>
      <c r="O1" s="3202"/>
      <c r="P1" s="3202"/>
      <c r="Q1" s="3202"/>
      <c r="R1" s="3202"/>
    </row>
    <row r="2" spans="1:18">
      <c r="A2" s="1789" t="s">
        <v>2037</v>
      </c>
      <c r="B2" s="1789"/>
      <c r="C2" s="1789"/>
      <c r="D2" s="1789"/>
      <c r="E2" s="1789"/>
      <c r="F2" s="1789"/>
      <c r="G2" s="1789"/>
      <c r="H2" s="1789"/>
      <c r="I2" s="1790"/>
      <c r="J2" s="1790"/>
      <c r="K2" s="1791" t="str">
        <f>"估价期日："&amp;TEXT(项目基本情况!D3,"yyyy年m月d日;;")</f>
        <v>估价期日：2019年12月18日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03" t="s">
        <v>2026</v>
      </c>
      <c r="B3" s="3203" t="s">
        <v>2728</v>
      </c>
      <c r="C3" s="3204" t="s">
        <v>2027</v>
      </c>
      <c r="D3" s="3203" t="s">
        <v>2732</v>
      </c>
      <c r="E3" s="3206" t="s">
        <v>2028</v>
      </c>
      <c r="F3" s="3206"/>
      <c r="G3" s="3206"/>
      <c r="H3" s="3206" t="s">
        <v>2029</v>
      </c>
      <c r="I3" s="3206"/>
      <c r="J3" s="3206"/>
      <c r="K3" s="3204" t="s">
        <v>2030</v>
      </c>
      <c r="L3" s="3204" t="s">
        <v>2031</v>
      </c>
      <c r="M3" s="3203" t="s">
        <v>2729</v>
      </c>
      <c r="N3" s="3205" t="str">
        <f>"（分摊）"&amp;项目基本情况!B16&amp;"国有建设用地使用权面积/㎡"</f>
        <v>（分摊）出让国有建设用地使用权面积/㎡</v>
      </c>
      <c r="O3" s="3203" t="s">
        <v>2060</v>
      </c>
      <c r="P3" s="3204" t="s">
        <v>2040</v>
      </c>
      <c r="Q3" s="3204" t="s">
        <v>2061</v>
      </c>
      <c r="R3" s="3204" t="s">
        <v>2032</v>
      </c>
    </row>
    <row r="4" spans="1:18" ht="36.75" customHeight="1">
      <c r="A4" s="3203"/>
      <c r="B4" s="3203"/>
      <c r="C4" s="3204"/>
      <c r="D4" s="3203"/>
      <c r="E4" s="2610" t="s">
        <v>2039</v>
      </c>
      <c r="F4" s="2610" t="s">
        <v>2741</v>
      </c>
      <c r="G4" s="2610" t="s">
        <v>2033</v>
      </c>
      <c r="H4" s="2610" t="s">
        <v>2034</v>
      </c>
      <c r="I4" s="2610" t="s">
        <v>2742</v>
      </c>
      <c r="J4" s="2610" t="s">
        <v>2033</v>
      </c>
      <c r="K4" s="3204"/>
      <c r="L4" s="3204"/>
      <c r="M4" s="3203"/>
      <c r="N4" s="3205"/>
      <c r="O4" s="3203"/>
      <c r="P4" s="3204"/>
      <c r="Q4" s="3204"/>
      <c r="R4" s="3204"/>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34964.49</v>
      </c>
      <c r="O5" s="1792">
        <f>项目基本情况!C21</f>
        <v>109310.18</v>
      </c>
      <c r="P5" s="1792">
        <f ca="1">结果表!E42</f>
        <v>73147</v>
      </c>
      <c r="Q5" s="1792">
        <f ca="1">结果表!D42</f>
        <v>23397</v>
      </c>
      <c r="R5" s="1793">
        <f ca="1">结果表!C42</f>
        <v>255756</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4"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4">
        <f ca="1">结果表!O40</f>
        <v>255756</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08" t="s">
        <v>2062</v>
      </c>
      <c r="B1" s="3208"/>
      <c r="C1" s="3208"/>
      <c r="D1" s="3208"/>
    </row>
    <row r="2" spans="1:4" ht="47.25" customHeight="1">
      <c r="A2" s="3209" t="str">
        <f>"1.权利限制："&amp;项目基本情况!L24&amp;"未设定租赁等其他他项权利。"</f>
        <v>1.权利限制：根据估价对象《不动产权证书》复印件、，截至估价期日，估价对象已设定抵押。未设定租赁等其他他项权利。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2063</v>
      </c>
      <c r="B5" s="3207"/>
      <c r="C5" s="3207"/>
      <c r="D5" s="3207"/>
    </row>
    <row r="6" spans="1:4">
      <c r="A6" s="3208" t="s">
        <v>2041</v>
      </c>
      <c r="B6" s="3208"/>
      <c r="C6" s="3208"/>
      <c r="D6" s="3208"/>
    </row>
    <row r="7" spans="1:4" ht="33" customHeight="1">
      <c r="A7" s="3208" t="s">
        <v>2572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2065</v>
      </c>
      <c r="B12" s="3207"/>
      <c r="C12" s="3207"/>
      <c r="D12" s="3207"/>
    </row>
    <row r="13" spans="1:4">
      <c r="A13" s="3211" t="s">
        <v>2743</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2699</v>
      </c>
      <c r="B17" s="3208"/>
      <c r="C17" s="3208"/>
      <c r="D17" s="3208"/>
    </row>
    <row r="18" spans="1:4">
      <c r="A18" s="3208" t="s">
        <v>2691</v>
      </c>
      <c r="B18" s="3208"/>
      <c r="C18" s="3208"/>
      <c r="D18" s="3208"/>
    </row>
    <row r="19" spans="1:4">
      <c r="A19" s="2820" t="s">
        <v>2692</v>
      </c>
      <c r="B19" s="2820" t="s">
        <v>2693</v>
      </c>
      <c r="C19" s="2820" t="s">
        <v>2694</v>
      </c>
      <c r="D19" s="2820" t="s">
        <v>2695</v>
      </c>
    </row>
    <row r="20" spans="1:4">
      <c r="A20" s="2820" t="str">
        <f>项目基本情况!B4</f>
        <v>王鹏</v>
      </c>
      <c r="B20" s="2820">
        <f ca="1">项目基本情况!C4</f>
        <v>2002110030</v>
      </c>
      <c r="C20" s="2822"/>
      <c r="D20" s="1782" t="s">
        <v>2700</v>
      </c>
    </row>
    <row r="21" spans="1:4">
      <c r="A21" s="2820" t="str">
        <f>项目基本情况!D4</f>
        <v>郑燚</v>
      </c>
      <c r="B21" s="2820">
        <f ca="1">项目基本情况!E4</f>
        <v>2014110011</v>
      </c>
      <c r="C21" s="2822"/>
      <c r="D21" s="1782" t="s">
        <v>2701</v>
      </c>
    </row>
    <row r="23" spans="1:4">
      <c r="A23" s="3208" t="s">
        <v>2696</v>
      </c>
      <c r="B23" s="3208"/>
      <c r="C23" s="3208"/>
      <c r="D23" s="3208"/>
    </row>
    <row r="24" spans="1:4">
      <c r="A24" s="2820" t="s">
        <v>2692</v>
      </c>
      <c r="B24" s="2820" t="s">
        <v>2697</v>
      </c>
      <c r="C24" s="2820" t="s">
        <v>2694</v>
      </c>
      <c r="D24" s="2820" t="s">
        <v>2695</v>
      </c>
    </row>
    <row r="25" spans="1:4">
      <c r="A25" s="2823" t="s">
        <v>2698</v>
      </c>
      <c r="B25" s="2820" t="s">
        <v>951</v>
      </c>
      <c r="C25" s="2822"/>
      <c r="D25" s="1782" t="s">
        <v>2701</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19" t="s">
        <v>53</v>
      </c>
      <c r="B15" s="3220" t="s">
        <v>845</v>
      </c>
      <c r="C15" s="3216"/>
    </row>
    <row r="16" spans="1:7" ht="14.25">
      <c r="A16" s="3219"/>
      <c r="B16" s="3217" t="s">
        <v>54</v>
      </c>
      <c r="C16" s="1166" t="s">
        <v>53</v>
      </c>
    </row>
    <row r="17" spans="1:3" ht="14.25">
      <c r="A17" s="3219"/>
      <c r="B17" s="3217"/>
      <c r="C17" s="1166" t="s">
        <v>55</v>
      </c>
    </row>
    <row r="18" spans="1:3" ht="14.25">
      <c r="A18" s="3219"/>
      <c r="B18" s="3217"/>
      <c r="C18" s="1166" t="s">
        <v>56</v>
      </c>
    </row>
    <row r="19" spans="1:3" ht="14.25">
      <c r="A19" s="3219"/>
      <c r="B19" s="3215" t="s">
        <v>57</v>
      </c>
      <c r="C19" s="3216"/>
    </row>
    <row r="20" spans="1:3" ht="14.25">
      <c r="A20" s="1167" t="s">
        <v>58</v>
      </c>
      <c r="B20" s="1168"/>
      <c r="C20" s="1169"/>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0" t="s">
        <v>836</v>
      </c>
    </row>
    <row r="25" spans="1:3" ht="14.25">
      <c r="A25" s="3218"/>
      <c r="B25" s="3222"/>
      <c r="C25" s="1170" t="s">
        <v>837</v>
      </c>
    </row>
    <row r="26" spans="1:3" ht="14.25">
      <c r="A26" s="3218"/>
      <c r="B26" s="3222"/>
      <c r="C26" s="1170" t="s">
        <v>838</v>
      </c>
    </row>
    <row r="27" spans="1:3" ht="14.25">
      <c r="A27" s="3218"/>
      <c r="B27" s="3222"/>
      <c r="C27" s="1170" t="s">
        <v>839</v>
      </c>
    </row>
    <row r="28" spans="1:3" ht="14.25">
      <c r="A28" s="3218"/>
      <c r="B28" s="3222"/>
      <c r="C28" s="1170" t="s">
        <v>840</v>
      </c>
    </row>
    <row r="29" spans="1:3" ht="14.25">
      <c r="A29" s="3218"/>
      <c r="B29" s="3222"/>
      <c r="C29" s="1170" t="s">
        <v>841</v>
      </c>
    </row>
    <row r="30" spans="1:3" ht="14.25">
      <c r="A30" s="3218"/>
      <c r="B30" s="3222"/>
      <c r="C30" s="1170" t="s">
        <v>842</v>
      </c>
    </row>
    <row r="31" spans="1:3" ht="14.25">
      <c r="A31" s="3218"/>
      <c r="B31" s="3222"/>
      <c r="C31" s="1170" t="s">
        <v>843</v>
      </c>
    </row>
    <row r="32" spans="1:3" ht="14.25">
      <c r="A32" s="3218"/>
      <c r="B32" s="3222"/>
      <c r="C32" s="1170" t="s">
        <v>1645</v>
      </c>
    </row>
    <row r="33" spans="1:3" ht="14.25">
      <c r="A33" s="3218"/>
      <c r="B33" s="3212" t="s">
        <v>1651</v>
      </c>
      <c r="C33" s="1170" t="s">
        <v>1646</v>
      </c>
    </row>
    <row r="34" spans="1:3" ht="14.25">
      <c r="A34" s="3218"/>
      <c r="B34" s="3213"/>
      <c r="C34" s="1175" t="s">
        <v>1647</v>
      </c>
    </row>
    <row r="35" spans="1:3" ht="14.25">
      <c r="A35" s="3218"/>
      <c r="B35" s="3213"/>
      <c r="C35" s="1176" t="s">
        <v>1648</v>
      </c>
    </row>
    <row r="36" spans="1:3" ht="14.25">
      <c r="A36" s="3218"/>
      <c r="B36" s="3213"/>
      <c r="C36" s="1176" t="s">
        <v>1649</v>
      </c>
    </row>
    <row r="37" spans="1:3" ht="14.25">
      <c r="A37" s="3218"/>
      <c r="B37" s="3214"/>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1906</v>
      </c>
      <c r="B2" s="3124">
        <f ca="1">TODAY()</f>
        <v>43818</v>
      </c>
      <c r="C2" s="3125" t="s">
        <v>1907</v>
      </c>
      <c r="D2" s="3125"/>
    </row>
    <row r="3" spans="1:6" ht="20.25" customHeight="1">
      <c r="A3" s="3127" t="s">
        <v>1908</v>
      </c>
      <c r="B3" s="3128" t="s">
        <v>1909</v>
      </c>
      <c r="C3" s="3128" t="s">
        <v>1910</v>
      </c>
      <c r="D3" s="3129" t="s">
        <v>1911</v>
      </c>
      <c r="E3" s="3128" t="s">
        <v>1912</v>
      </c>
      <c r="F3" s="3128" t="s">
        <v>1910</v>
      </c>
    </row>
    <row r="4" spans="1:6" ht="20.25" customHeight="1">
      <c r="A4" s="3128" t="s">
        <v>1913</v>
      </c>
      <c r="B4" s="3128">
        <f ca="1">IF(C4&lt;B2,"已过期",1119970066)</f>
        <v>1119970066</v>
      </c>
      <c r="C4" s="3130">
        <v>43849</v>
      </c>
      <c r="D4" s="3128" t="s">
        <v>1913</v>
      </c>
      <c r="E4" s="3128">
        <f ca="1">IF(F4&lt;B2,"已过期",96010014)</f>
        <v>96010014</v>
      </c>
      <c r="F4" s="3131">
        <v>47118</v>
      </c>
    </row>
    <row r="5" spans="1:6" ht="20.25" customHeight="1">
      <c r="A5" s="3128" t="s">
        <v>1914</v>
      </c>
      <c r="B5" s="3128">
        <f ca="1">IF(C5&lt;B2,"已过期",1119970074)</f>
        <v>1119970074</v>
      </c>
      <c r="C5" s="3130">
        <v>43849</v>
      </c>
      <c r="D5" s="3128" t="s">
        <v>1914</v>
      </c>
      <c r="E5" s="3128">
        <f ca="1">IF(F5&lt;B2,"已过期",2002110027)</f>
        <v>2002110027</v>
      </c>
      <c r="F5" s="3131">
        <v>46752</v>
      </c>
    </row>
    <row r="6" spans="1:6" ht="20.25" customHeight="1">
      <c r="A6" s="3128" t="s">
        <v>1915</v>
      </c>
      <c r="B6" s="3128">
        <f ca="1">IF(C6&lt;B2,"已过期",1119970111)</f>
        <v>1119970111</v>
      </c>
      <c r="C6" s="3130">
        <v>43849</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43849</v>
      </c>
      <c r="D8" s="3128" t="s">
        <v>1917</v>
      </c>
      <c r="E8" s="3128">
        <f ca="1">IF(F8&lt;B2,"已过期",2000110082)</f>
        <v>2000110082</v>
      </c>
      <c r="F8" s="3131">
        <v>46387</v>
      </c>
    </row>
    <row r="9" spans="1:6" ht="20.25" customHeight="1">
      <c r="A9" s="3128" t="s">
        <v>1918</v>
      </c>
      <c r="B9" s="3128">
        <f ca="1">IF(C9&lt;B2,"已过期",1419970001)</f>
        <v>1419970001</v>
      </c>
      <c r="C9" s="3130">
        <v>43867</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t="str">
        <f ca="1">IF(C13&lt;B2,"已过期",1120070131)</f>
        <v>已过期</v>
      </c>
      <c r="C13" s="3130">
        <v>43814</v>
      </c>
      <c r="D13" s="3128" t="s">
        <v>1921</v>
      </c>
      <c r="E13" s="3128">
        <f ca="1">IF(F13&lt;B2,"已过期",2014110011)</f>
        <v>2014110011</v>
      </c>
      <c r="F13" s="3131">
        <v>49302</v>
      </c>
    </row>
    <row r="14" spans="1:6" ht="20.25" customHeight="1">
      <c r="A14" s="3128" t="s">
        <v>2969</v>
      </c>
      <c r="B14" s="3128">
        <f ca="1">IF(C14&lt;B2,"已过期",1120040230)</f>
        <v>1120040230</v>
      </c>
      <c r="C14" s="3132">
        <v>43835</v>
      </c>
      <c r="D14" s="3133" t="s">
        <v>2970</v>
      </c>
      <c r="E14" s="3128">
        <f ca="1">IF(F14&lt;B2,"已过期",98030020)</f>
        <v>98030020</v>
      </c>
      <c r="F14" s="3131">
        <v>47118</v>
      </c>
    </row>
    <row r="15" spans="1:6" ht="20.25" customHeight="1">
      <c r="A15" s="3128" t="s">
        <v>2571</v>
      </c>
      <c r="B15" s="3128" t="str">
        <f ca="1">IF(C15&lt;B2,"已过期",1120070085)</f>
        <v>已过期</v>
      </c>
      <c r="C15" s="3132">
        <v>43814</v>
      </c>
      <c r="D15" s="3128" t="s">
        <v>2971</v>
      </c>
      <c r="E15" s="3128">
        <f ca="1">IF(F15&lt;B2,"已过期",2004110128)</f>
        <v>2004110128</v>
      </c>
      <c r="F15" s="3134">
        <v>47118</v>
      </c>
    </row>
    <row r="16" spans="1:6" ht="20.25" customHeight="1">
      <c r="A16" s="3128" t="s">
        <v>1922</v>
      </c>
      <c r="B16" s="3128">
        <f ca="1">IF(C16&lt;B2,"已过期",1120140022)</f>
        <v>1120140022</v>
      </c>
      <c r="C16" s="3130">
        <v>44029</v>
      </c>
      <c r="D16" s="3128" t="s">
        <v>2972</v>
      </c>
      <c r="E16" s="3128">
        <f ca="1">IF(F16&lt;B2,"已过期",2008110059)</f>
        <v>2008110059</v>
      </c>
      <c r="F16" s="3131">
        <v>47177</v>
      </c>
    </row>
    <row r="17" spans="1:7" ht="20.25" customHeight="1">
      <c r="A17" s="3128"/>
      <c r="B17" s="3128"/>
      <c r="C17" s="3130"/>
      <c r="D17" s="3133" t="s">
        <v>2973</v>
      </c>
      <c r="E17" s="3128">
        <f ca="1">IF(F17&lt;B2,"已过期",2014110076)</f>
        <v>2014110076</v>
      </c>
      <c r="F17" s="3131">
        <v>49302</v>
      </c>
    </row>
    <row r="18" spans="1:7" ht="20.25" customHeight="1">
      <c r="A18" s="3128" t="s">
        <v>2986</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1923</v>
      </c>
      <c r="E21" s="3128">
        <f ca="1">IF(F21&lt;B2,"已过期",2011110090)</f>
        <v>2011110090</v>
      </c>
      <c r="F21" s="3131">
        <v>48302</v>
      </c>
    </row>
    <row r="22" spans="1:7" ht="20.25" customHeight="1">
      <c r="A22" s="3128" t="s">
        <v>1924</v>
      </c>
      <c r="B22" s="3128">
        <f ca="1">IF(C22&lt;B2,"已过期",1120020033)</f>
        <v>1120020033</v>
      </c>
      <c r="C22" s="3130">
        <v>44339</v>
      </c>
      <c r="D22" s="3128" t="s">
        <v>1924</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223" t="s">
        <v>1925</v>
      </c>
      <c r="B25" s="3223"/>
      <c r="C25" s="3223"/>
      <c r="D25" s="3223"/>
      <c r="E25" s="3223"/>
      <c r="F25" s="3223"/>
      <c r="G25" s="3223"/>
    </row>
    <row r="26" spans="1:7" ht="20.25" customHeight="1">
      <c r="A26" s="3224" t="s">
        <v>1926</v>
      </c>
      <c r="B26" s="3224"/>
      <c r="C26" s="3224"/>
      <c r="D26" s="3224" t="s">
        <v>1927</v>
      </c>
      <c r="E26" s="3224"/>
      <c r="F26" s="3224"/>
    </row>
    <row r="27" spans="1:7" s="3123" customFormat="1" ht="20.25" customHeight="1">
      <c r="A27" s="3137" t="s">
        <v>1928</v>
      </c>
      <c r="B27" s="3138" t="s">
        <v>1929</v>
      </c>
      <c r="C27" s="3138" t="s">
        <v>1930</v>
      </c>
      <c r="D27" s="3128" t="s">
        <v>1928</v>
      </c>
      <c r="E27" s="3138" t="s">
        <v>1929</v>
      </c>
      <c r="F27" s="3138" t="s">
        <v>1930</v>
      </c>
    </row>
    <row r="28" spans="1:7" s="3123" customFormat="1" ht="20.25" customHeight="1">
      <c r="A28" s="3139" t="s">
        <v>1931</v>
      </c>
      <c r="B28" s="3139" t="s">
        <v>1932</v>
      </c>
      <c r="C28" s="3131">
        <v>44820</v>
      </c>
      <c r="D28" s="3139" t="s">
        <v>1933</v>
      </c>
      <c r="E28" s="3139" t="s">
        <v>1934</v>
      </c>
      <c r="F28" s="3140">
        <v>44377</v>
      </c>
    </row>
    <row r="29" spans="1:7" s="3123" customFormat="1" ht="20.25" customHeight="1">
      <c r="A29" s="3139"/>
      <c r="B29" s="3139"/>
      <c r="C29" s="3141"/>
      <c r="D29" s="3139" t="s">
        <v>1935</v>
      </c>
      <c r="E29" s="3139" t="s">
        <v>2987</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2"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875</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877</v>
      </c>
    </row>
    <row r="6" spans="1:23">
      <c r="A6" s="8" t="s">
        <v>99</v>
      </c>
      <c r="B6" s="1143" t="s">
        <v>1639</v>
      </c>
      <c r="C6" s="1536" t="s">
        <v>1712</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61" t="s">
        <v>2943</v>
      </c>
      <c r="C18" s="1537"/>
    </row>
    <row r="19" spans="1:3">
      <c r="A19" s="8" t="s">
        <v>120</v>
      </c>
      <c r="B19" s="3061" t="s">
        <v>2951</v>
      </c>
      <c r="C19" s="1537"/>
    </row>
    <row r="20" spans="1:3">
      <c r="A20" s="8" t="s">
        <v>121</v>
      </c>
      <c r="B20" s="1143" t="s">
        <v>3040</v>
      </c>
      <c r="C20" s="1537"/>
    </row>
    <row r="21" spans="1:3">
      <c r="A21" s="8" t="s">
        <v>122</v>
      </c>
      <c r="B21" s="1143" t="s">
        <v>3042</v>
      </c>
      <c r="C21" s="1537"/>
    </row>
    <row r="22" spans="1:3">
      <c r="A22" s="8" t="s">
        <v>123</v>
      </c>
      <c r="B22" s="1143" t="s">
        <v>3044</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25"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18日，在规划利用条件下、设定土地开发程度为红线外“七通”、宗地内场地平整，设定用途为，剩余土地使用年限为的出让国有建设用地使用权价格。</v>
      </c>
      <c r="D53" s="1749"/>
      <c r="E53" s="1749"/>
    </row>
    <row r="54" spans="1:5">
      <c r="A54" s="3225"/>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25"/>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25"/>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25"/>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2019-12-19T08:06:19Z</dcterms:modified>
</cp:coreProperties>
</file>