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r:id="rId24"/>
    <sheet name="比较法-住宅" sheetId="21" r:id="rId25"/>
    <sheet name="比较法-低密度" sheetId="79" r:id="rId26"/>
    <sheet name="收益法" sheetId="15" r:id="rId27"/>
    <sheet name="收益法 (元)" sheetId="67" state="hidden" r:id="rId28"/>
    <sheet name="收益法（汇总）" sheetId="70" state="hidden" r:id="rId29"/>
    <sheet name="酒店收入计算" sheetId="66" state="hidden" r:id="rId30"/>
    <sheet name="收益法车" sheetId="80"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5" hidden="1">'比较法-低密度'!$A$1:$L$49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0">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'比较法-低密度'!$B$88:$M$88</definedName>
    <definedName name="住宅朝向">'比较法-住宅'!$B$88:$M$88</definedName>
    <definedName name="住宅房型" localSheetId="25">'比较法-低密度'!$B$118:$M$118</definedName>
    <definedName name="住宅房型">'比较法-住宅'!$B$118:$M$118</definedName>
    <definedName name="住宅公共部分装修" localSheetId="25">'比较法-低密度'!$B$109:$M$109</definedName>
    <definedName name="住宅公共部分装修">'比较法-住宅'!$B$109:$M$109</definedName>
    <definedName name="住宅基础设施水平" localSheetId="25">'比较法-低密度'!$B$116:$M$116</definedName>
    <definedName name="住宅基础设施水平">'比较法-住宅'!$B$116:$M$116</definedName>
    <definedName name="住宅建筑结构" localSheetId="25">'比较法-低密度'!$B$105:$M$105</definedName>
    <definedName name="住宅建筑结构">'比较法-住宅'!$B$105:$M$105</definedName>
    <definedName name="住宅建筑类型" localSheetId="25">'比较法-低密度'!$B$100:$M$100</definedName>
    <definedName name="住宅建筑类型">'比较法-住宅'!$B$100:$M$100</definedName>
    <definedName name="住宅建筑品质" localSheetId="25">'比较法-低密度'!$B$107:$M$107</definedName>
    <definedName name="住宅建筑品质">'比较法-住宅'!$B$107:$M$107</definedName>
    <definedName name="住宅交易情况" localSheetId="25">'比较法-低密度'!$A$61:$M$61</definedName>
    <definedName name="住宅交易情况">'比较法-住宅'!$A$61:$M$61</definedName>
    <definedName name="住宅楼层" localSheetId="25">'比较法-低密度'!$B$86:$M$86</definedName>
    <definedName name="住宅楼层">'比较法-住宅'!$B$86:$M$86</definedName>
    <definedName name="住宅内部装修" localSheetId="25">'比较法-低密度'!$B$122:$M$122</definedName>
    <definedName name="住宅内部装修">'比较法-住宅'!$B$122:$M$122</definedName>
    <definedName name="住宅物业管理" localSheetId="25">'比较法-低密度'!$B$114:$M$114</definedName>
    <definedName name="住宅物业管理">'比较法-住宅'!$B$114:$M$114</definedName>
    <definedName name="住宅用途" localSheetId="25">'比较法-低密度'!$B$63:$M$63</definedName>
    <definedName name="住宅用途">'比较法-住宅'!$B$63:$M$63</definedName>
    <definedName name="住宅主力户型面积" localSheetId="25">'比较法-低密度'!$B$120:$M$120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39" l="1"/>
  <c r="C11" i="39"/>
  <c r="AN17" i="3" l="1"/>
  <c r="O18" i="77"/>
  <c r="M23" i="77"/>
  <c r="M17" i="77"/>
  <c r="M6" i="77"/>
  <c r="G55" i="77"/>
  <c r="F55" i="77"/>
  <c r="M14" i="77" l="1"/>
  <c r="B46" i="79" l="1"/>
  <c r="I47" i="79" s="1"/>
  <c r="E47" i="79"/>
  <c r="I47" i="21"/>
  <c r="G47" i="21"/>
  <c r="E47" i="21"/>
  <c r="K11" i="79"/>
  <c r="K11" i="21"/>
  <c r="Y9" i="1"/>
  <c r="N9" i="1"/>
  <c r="Q72" i="80"/>
  <c r="Q59" i="80"/>
  <c r="K59" i="80"/>
  <c r="P74" i="80" s="1"/>
  <c r="Q58" i="80"/>
  <c r="Q51" i="80"/>
  <c r="J50" i="80"/>
  <c r="J51" i="80" s="1"/>
  <c r="M47" i="80"/>
  <c r="D46" i="80"/>
  <c r="F34" i="80"/>
  <c r="F62" i="80" s="1"/>
  <c r="F33" i="80"/>
  <c r="F61" i="80" s="1"/>
  <c r="F32" i="80"/>
  <c r="F60" i="80" s="1"/>
  <c r="F28" i="80"/>
  <c r="C28" i="80" s="1"/>
  <c r="F23" i="80"/>
  <c r="F21" i="80"/>
  <c r="M20" i="80"/>
  <c r="F20" i="80"/>
  <c r="M19" i="80"/>
  <c r="M18" i="80"/>
  <c r="F18" i="80"/>
  <c r="F15" i="80"/>
  <c r="AO17" i="3"/>
  <c r="G22" i="6"/>
  <c r="G47" i="79" l="1"/>
  <c r="D23" i="80"/>
  <c r="D22" i="80"/>
  <c r="D24" i="80"/>
  <c r="P61" i="80"/>
  <c r="G17" i="78" l="1"/>
  <c r="C145" i="79"/>
  <c r="J142" i="79"/>
  <c r="J140" i="79"/>
  <c r="K145" i="79" s="1"/>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H46" i="79"/>
  <c r="F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AB23" i="79"/>
  <c r="U23" i="79"/>
  <c r="Q23" i="79"/>
  <c r="Z23" i="79" s="1"/>
  <c r="K23" i="79"/>
  <c r="D85" i="79" s="1"/>
  <c r="E85" i="79" s="1"/>
  <c r="F85" i="79" s="1"/>
  <c r="G85" i="79" s="1"/>
  <c r="J23" i="79"/>
  <c r="AC23" i="79" s="1"/>
  <c r="H23" i="79"/>
  <c r="F23" i="79"/>
  <c r="AA23" i="79" s="1"/>
  <c r="C23" i="79"/>
  <c r="AC21" i="79"/>
  <c r="AA21" i="79"/>
  <c r="W21" i="79"/>
  <c r="S21" i="79"/>
  <c r="Q21" i="79"/>
  <c r="Z21" i="79" s="1"/>
  <c r="K21" i="79"/>
  <c r="D83" i="79" s="1"/>
  <c r="E83" i="79" s="1"/>
  <c r="F83" i="79" s="1"/>
  <c r="G83" i="79" s="1"/>
  <c r="J21" i="79"/>
  <c r="H21" i="79"/>
  <c r="AB21" i="79" s="1"/>
  <c r="F21" i="79"/>
  <c r="C21" i="79"/>
  <c r="AB19" i="79"/>
  <c r="U19" i="79"/>
  <c r="Q19" i="79"/>
  <c r="Z19" i="79" s="1"/>
  <c r="K19" i="79"/>
  <c r="D81" i="79" s="1"/>
  <c r="E81" i="79" s="1"/>
  <c r="F81" i="79" s="1"/>
  <c r="G81" i="79" s="1"/>
  <c r="J19" i="79"/>
  <c r="AC19" i="79" s="1"/>
  <c r="H19" i="79"/>
  <c r="F19" i="79"/>
  <c r="AA19" i="79" s="1"/>
  <c r="C19" i="79"/>
  <c r="Q17" i="79"/>
  <c r="Z17" i="79" s="1"/>
  <c r="K17" i="79"/>
  <c r="D79" i="79" s="1"/>
  <c r="E79" i="79" s="1"/>
  <c r="F79" i="79" s="1"/>
  <c r="G79" i="79" s="1"/>
  <c r="H17" i="79"/>
  <c r="AB17" i="79" s="1"/>
  <c r="C17" i="79"/>
  <c r="Q15" i="79"/>
  <c r="Z15" i="79" s="1"/>
  <c r="K15" i="79"/>
  <c r="D77" i="79" s="1"/>
  <c r="E77" i="79" s="1"/>
  <c r="F77" i="79" s="1"/>
  <c r="G77" i="79" s="1"/>
  <c r="H15" i="79"/>
  <c r="AB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D69" i="79"/>
  <c r="E69" i="79" s="1"/>
  <c r="F69" i="79" s="1"/>
  <c r="G69" i="79" s="1"/>
  <c r="H69" i="79" s="1"/>
  <c r="I69" i="79" s="1"/>
  <c r="J69" i="79" s="1"/>
  <c r="K69" i="79" s="1"/>
  <c r="L69" i="79" s="1"/>
  <c r="M69"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K23" i="21"/>
  <c r="K21" i="21"/>
  <c r="K19" i="21"/>
  <c r="K17" i="21"/>
  <c r="K15" i="21"/>
  <c r="D104" i="21"/>
  <c r="E104" i="21" s="1"/>
  <c r="F104" i="21" s="1"/>
  <c r="G104" i="21" s="1"/>
  <c r="D91" i="21"/>
  <c r="E91" i="21" s="1"/>
  <c r="F91" i="21" s="1"/>
  <c r="G91" i="21" s="1"/>
  <c r="D2" i="79"/>
  <c r="F15" i="79" l="1"/>
  <c r="AA15" i="79" s="1"/>
  <c r="J15" i="79"/>
  <c r="AC15" i="79" s="1"/>
  <c r="U15" i="79"/>
  <c r="F7" i="79"/>
  <c r="J7" i="79"/>
  <c r="S8" i="79"/>
  <c r="W8" i="79"/>
  <c r="S9" i="79"/>
  <c r="W9" i="79"/>
  <c r="U10" i="79"/>
  <c r="U12" i="79"/>
  <c r="S13" i="79"/>
  <c r="W13" i="79"/>
  <c r="U14" i="79"/>
  <c r="S15" i="79"/>
  <c r="W15" i="79"/>
  <c r="F17" i="79"/>
  <c r="J17" i="79"/>
  <c r="U17" i="79"/>
  <c r="S19" i="79"/>
  <c r="W19" i="79"/>
  <c r="U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AA46" i="79"/>
  <c r="S46" i="79"/>
  <c r="AC46" i="79"/>
  <c r="W46" i="79"/>
  <c r="H7" i="79"/>
  <c r="U9" i="79"/>
  <c r="S10" i="79"/>
  <c r="W10" i="79"/>
  <c r="S12" i="79"/>
  <c r="W12" i="79"/>
  <c r="U13" i="79"/>
  <c r="S14" i="79"/>
  <c r="W14"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AB46" i="79"/>
  <c r="U46" i="79"/>
  <c r="K143" i="79"/>
  <c r="K144" i="79"/>
  <c r="B35" i="1"/>
  <c r="F17" i="80" s="1"/>
  <c r="B28" i="1"/>
  <c r="I38" i="39"/>
  <c r="G38" i="39"/>
  <c r="E38" i="39"/>
  <c r="N8" i="1"/>
  <c r="N7" i="1"/>
  <c r="N14" i="1" s="1"/>
  <c r="AB7" i="79" l="1"/>
  <c r="U7" i="79"/>
  <c r="AA17" i="79"/>
  <c r="S17" i="79"/>
  <c r="W7" i="79"/>
  <c r="AC7" i="79"/>
  <c r="AC17" i="79"/>
  <c r="W17" i="79"/>
  <c r="S7" i="79"/>
  <c r="AA7" i="79"/>
  <c r="E118" i="39"/>
  <c r="F118" i="39" s="1"/>
  <c r="G118" i="39" s="1"/>
  <c r="H118" i="39" s="1"/>
  <c r="I118" i="39" s="1"/>
  <c r="D118" i="39"/>
  <c r="E71" i="39"/>
  <c r="F71" i="39" s="1"/>
  <c r="G71" i="39" s="1"/>
  <c r="H71" i="39" s="1"/>
  <c r="I71" i="39" s="1"/>
  <c r="J71" i="39" s="1"/>
  <c r="K71" i="39" s="1"/>
  <c r="L71" i="39" s="1"/>
  <c r="M71" i="39" s="1"/>
  <c r="N71" i="39" s="1"/>
  <c r="O71" i="39" s="1"/>
  <c r="D71" i="39"/>
  <c r="I46" i="39" l="1"/>
  <c r="G46" i="39"/>
  <c r="E46" i="39"/>
  <c r="I7" i="39"/>
  <c r="G7" i="39"/>
  <c r="E7" i="39"/>
  <c r="I5" i="39"/>
  <c r="G5" i="39"/>
  <c r="E5" i="39"/>
  <c r="F21" i="6"/>
  <c r="F20" i="6"/>
  <c r="C20" i="6"/>
  <c r="C19" i="6"/>
  <c r="L14" i="3"/>
  <c r="J13" i="3"/>
  <c r="AD15" i="3"/>
  <c r="M16" i="3"/>
  <c r="K14" i="3"/>
  <c r="I13" i="3"/>
  <c r="C17" i="3"/>
  <c r="C14" i="3"/>
  <c r="C15" i="3"/>
  <c r="C16" i="3"/>
  <c r="C13" i="3"/>
  <c r="A3" i="3"/>
  <c r="D3" i="4"/>
  <c r="P23" i="77"/>
  <c r="P18" i="77"/>
  <c r="P19" i="77"/>
  <c r="P20" i="77"/>
  <c r="P17" i="77"/>
  <c r="P16" i="77" s="1"/>
  <c r="M20" i="77"/>
  <c r="M19" i="77"/>
  <c r="M18" i="77"/>
  <c r="M16" i="77" s="1"/>
  <c r="M15" i="77" s="1"/>
  <c r="M4" i="77"/>
  <c r="M5" i="77"/>
  <c r="Q6" i="77"/>
  <c r="Q5" i="77" s="1"/>
  <c r="F54" i="77"/>
  <c r="F28" i="77"/>
  <c r="F19" i="6" l="1"/>
  <c r="P15" i="77"/>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s="1"/>
  <c r="AC21" i="37"/>
  <c r="W21" i="37"/>
  <c r="AC21" i="34"/>
  <c r="W21" i="34"/>
  <c r="AC21" i="33"/>
  <c r="W21" i="33"/>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 i="79" s="1"/>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s="1"/>
  <c r="F95" i="39" s="1"/>
  <c r="D93" i="39"/>
  <c r="E93" i="39"/>
  <c r="F93" i="39"/>
  <c r="G93" i="39"/>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D85" i="21"/>
  <c r="E81" i="21"/>
  <c r="F81" i="21"/>
  <c r="G81" i="21" s="1"/>
  <c r="D77" i="21"/>
  <c r="E77" i="21" s="1"/>
  <c r="B130" i="21"/>
  <c r="H46" i="21" s="1"/>
  <c r="B128" i="21"/>
  <c r="J45" i="21"/>
  <c r="W45" i="21"/>
  <c r="B126" i="21"/>
  <c r="B98" i="21"/>
  <c r="H31" i="21"/>
  <c r="B96" i="21"/>
  <c r="B94" i="21"/>
  <c r="J29" i="21"/>
  <c r="AC29" i="2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AA27" i="39" s="1"/>
  <c r="S40" i="21"/>
  <c r="U34" i="21"/>
  <c r="C27" i="39"/>
  <c r="S40"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J46" i="21"/>
  <c r="W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AC25" i="39" s="1"/>
  <c r="F25" i="39"/>
  <c r="AA25" i="39" s="1"/>
  <c r="H41" i="39"/>
  <c r="U41" i="39" s="1"/>
  <c r="W27" i="39"/>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U25"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s="1"/>
  <c r="AA14" i="21"/>
  <c r="AB8" i="21"/>
  <c r="S8" i="21"/>
  <c r="M3" i="43"/>
  <c r="N10" i="43"/>
  <c r="M1" i="43"/>
  <c r="M8" i="43"/>
  <c r="N8" i="43"/>
  <c r="N9" i="43"/>
  <c r="D120" i="9"/>
  <c r="C18" i="9"/>
  <c r="D18" i="9"/>
  <c r="F34" i="67"/>
  <c r="F62" i="67" s="1"/>
  <c r="M20" i="67"/>
  <c r="F34" i="15"/>
  <c r="F62" i="15"/>
  <c r="G13" i="3"/>
  <c r="G5" i="3" s="1"/>
  <c r="B3" i="3" s="1"/>
  <c r="BA13" i="3"/>
  <c r="AZ13" i="3" s="1"/>
  <c r="E10" i="6"/>
  <c r="E11" i="6"/>
  <c r="E61" i="39" s="1"/>
  <c r="BL17" i="3"/>
  <c r="AZ17" i="3" s="1"/>
  <c r="BL13" i="3"/>
  <c r="A24" i="51"/>
  <c r="B18" i="72"/>
  <c r="U29" i="34"/>
  <c r="E14" i="6"/>
  <c r="E64" i="39" s="1"/>
  <c r="E5" i="6"/>
  <c r="E32" i="6"/>
  <c r="L19" i="6" s="1"/>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C46" i="36"/>
  <c r="D46" i="36" s="1"/>
  <c r="C59" i="34"/>
  <c r="D59" i="34"/>
  <c r="C52" i="37"/>
  <c r="D52" i="37" s="1"/>
  <c r="A4" i="51"/>
  <c r="B6" i="72" s="1"/>
  <c r="C48" i="35"/>
  <c r="C58" i="21"/>
  <c r="H62" i="43"/>
  <c r="H66" i="43"/>
  <c r="H61" i="43"/>
  <c r="H65" i="43"/>
  <c r="H60" i="43"/>
  <c r="H64" i="43"/>
  <c r="H59" i="43"/>
  <c r="H63" i="43"/>
  <c r="H67" i="43"/>
  <c r="H55" i="43"/>
  <c r="H51" i="43"/>
  <c r="H56" i="43"/>
  <c r="H76" i="43"/>
  <c r="H72" i="43"/>
  <c r="H77" i="43"/>
  <c r="B6" i="1"/>
  <c r="E6" i="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W25" i="39"/>
  <c r="U13" i="39"/>
  <c r="AB13" i="39"/>
  <c r="AA13" i="39"/>
  <c r="S13" i="39"/>
  <c r="S14" i="39"/>
  <c r="AA14" i="39"/>
  <c r="U43" i="39"/>
  <c r="AB43"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H33" i="21"/>
  <c r="AB33" i="21" s="1"/>
  <c r="AA26" i="21"/>
  <c r="AB14" i="21"/>
  <c r="U40" i="21"/>
  <c r="AB31" i="21"/>
  <c r="U31" i="21"/>
  <c r="U13" i="21"/>
  <c r="AB13" i="21"/>
  <c r="W8" i="21"/>
  <c r="S35" i="21"/>
  <c r="AC19" i="21"/>
  <c r="W39" i="21"/>
  <c r="AC14" i="21"/>
  <c r="W30" i="21"/>
  <c r="H45" i="21"/>
  <c r="U45" i="21"/>
  <c r="F29" i="21"/>
  <c r="S29" i="21"/>
  <c r="F13" i="21"/>
  <c r="AA13" i="21"/>
  <c r="AC38" i="21"/>
  <c r="H32" i="21"/>
  <c r="U32" i="21" s="1"/>
  <c r="H9" i="21"/>
  <c r="AB9" i="21" s="1"/>
  <c r="J9" i="21"/>
  <c r="J32" i="21"/>
  <c r="AC32" i="21" s="1"/>
  <c r="F32" i="21"/>
  <c r="S32" i="21" s="1"/>
  <c r="AA31" i="21"/>
  <c r="W29" i="21"/>
  <c r="S9" i="21"/>
  <c r="AA9" i="21"/>
  <c r="K141" i="21"/>
  <c r="K144" i="21"/>
  <c r="K143" i="21"/>
  <c r="U27" i="21"/>
  <c r="AB25" i="21"/>
  <c r="AB44" i="21"/>
  <c r="AA30" i="21"/>
  <c r="W13" i="21"/>
  <c r="W42" i="21"/>
  <c r="AC45" i="21"/>
  <c r="F10" i="21"/>
  <c r="S10" i="21" s="1"/>
  <c r="K145" i="21"/>
  <c r="W25" i="21"/>
  <c r="AA29" i="21"/>
  <c r="W31" i="21"/>
  <c r="S27" i="21"/>
  <c r="AC26" i="21"/>
  <c r="AB29" i="21"/>
  <c r="S28" i="21"/>
  <c r="AC34" i="21"/>
  <c r="W10" i="21"/>
  <c r="W12" i="21"/>
  <c r="AB36" i="21"/>
  <c r="W30" i="40"/>
  <c r="C15" i="40"/>
  <c r="C17" i="40"/>
  <c r="C23" i="40"/>
  <c r="C21" i="40"/>
  <c r="U30" i="40"/>
  <c r="B54" i="43"/>
  <c r="B65" i="43"/>
  <c r="B49" i="43"/>
  <c r="B56" i="43"/>
  <c r="B60" i="43"/>
  <c r="B63" i="43"/>
  <c r="D23" i="15"/>
  <c r="D22" i="15"/>
  <c r="AQ13" i="1"/>
  <c r="F52" i="9"/>
  <c r="F28" i="15"/>
  <c r="C28" i="15" s="1"/>
  <c r="AR11" i="1"/>
  <c r="C77" i="9"/>
  <c r="E7" i="70"/>
  <c r="C24" i="12"/>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F85" i="21"/>
  <c r="G85" i="21" s="1"/>
  <c r="H23" i="21"/>
  <c r="U23" i="21" s="1"/>
  <c r="S13" i="21"/>
  <c r="D6" i="52"/>
  <c r="D121" i="9"/>
  <c r="D7" i="52"/>
  <c r="K120" i="9"/>
  <c r="R22" i="31"/>
  <c r="B21" i="31"/>
  <c r="O19" i="43"/>
  <c r="E52" i="37"/>
  <c r="E59" i="34"/>
  <c r="C65" i="40"/>
  <c r="D63" i="40"/>
  <c r="AB45" i="21"/>
  <c r="AC33" i="21"/>
  <c r="W33" i="21"/>
  <c r="S33" i="21"/>
  <c r="AA33" i="21"/>
  <c r="W32" i="21"/>
  <c r="W9" i="21"/>
  <c r="AC9" i="21"/>
  <c r="AB32"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B23" i="21"/>
  <c r="AC23" i="21"/>
  <c r="E63" i="40"/>
  <c r="D65" i="40"/>
  <c r="F1" i="67"/>
  <c r="Q52" i="67"/>
  <c r="AC11" i="37"/>
  <c r="W11" i="37"/>
  <c r="W11" i="34"/>
  <c r="AC11" i="34"/>
  <c r="F63" i="40"/>
  <c r="E65" i="40"/>
  <c r="G63" i="40"/>
  <c r="F65" i="40"/>
  <c r="H63" i="40"/>
  <c r="G65" i="40"/>
  <c r="I63" i="40"/>
  <c r="H65" i="40"/>
  <c r="J63" i="40"/>
  <c r="I65" i="40"/>
  <c r="K63" i="40"/>
  <c r="L63" i="40" s="1"/>
  <c r="J65" i="40"/>
  <c r="K65" i="40"/>
  <c r="M63" i="40"/>
  <c r="M65" i="40" s="1"/>
  <c r="L65" i="40"/>
  <c r="N63" i="40"/>
  <c r="O63" i="40"/>
  <c r="O65" i="40" s="1"/>
  <c r="N65" i="40"/>
  <c r="AE7"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1" i="9"/>
  <c r="D126" i="9" s="1"/>
  <c r="I14" i="74" s="1"/>
  <c r="B8" i="74" s="1"/>
  <c r="D19" i="53"/>
  <c r="B38" i="72" s="1"/>
  <c r="D59" i="9"/>
  <c r="M55" i="9"/>
  <c r="AD3" i="71"/>
  <c r="E8" i="76"/>
  <c r="F42" i="67"/>
  <c r="F8" i="15"/>
  <c r="M22" i="15"/>
  <c r="M8" i="67"/>
  <c r="B12" i="76"/>
  <c r="D2" i="21"/>
  <c r="AO6" i="1"/>
  <c r="F36" i="67"/>
  <c r="AO11" i="1"/>
  <c r="D4" i="73"/>
  <c r="F4" i="73"/>
  <c r="F26" i="67"/>
  <c r="AO10" i="1"/>
  <c r="F26" i="15"/>
  <c r="E2" i="68"/>
  <c r="D3" i="73"/>
  <c r="M6" i="67"/>
  <c r="F6" i="73"/>
  <c r="F37" i="15"/>
  <c r="M8" i="15"/>
  <c r="C76" i="15"/>
  <c r="F42" i="15"/>
  <c r="M27" i="15"/>
  <c r="M28" i="67"/>
  <c r="C76" i="67"/>
  <c r="F40" i="67"/>
  <c r="F16" i="67"/>
  <c r="F13" i="15"/>
  <c r="E13" i="76"/>
  <c r="B9" i="76"/>
  <c r="F37" i="67"/>
  <c r="F38" i="67"/>
  <c r="M9" i="15"/>
  <c r="E9" i="76"/>
  <c r="AO12" i="1"/>
  <c r="E7" i="76"/>
  <c r="D6" i="73"/>
  <c r="B11" i="76"/>
  <c r="F9" i="15"/>
  <c r="M23" i="67"/>
  <c r="F16" i="15"/>
  <c r="M24" i="67"/>
  <c r="F36" i="15"/>
  <c r="F8" i="67"/>
  <c r="D5" i="73"/>
  <c r="M9" i="67"/>
  <c r="M28" i="15"/>
  <c r="D7" i="73"/>
  <c r="L47" i="15"/>
  <c r="D2" i="36"/>
  <c r="J15" i="15"/>
  <c r="D2" i="35"/>
  <c r="D2" i="33"/>
  <c r="M24" i="15"/>
  <c r="E10" i="76"/>
  <c r="M29" i="15"/>
  <c r="F6" i="67"/>
  <c r="F9" i="67"/>
  <c r="M22" i="67"/>
  <c r="F13" i="67"/>
  <c r="F6" i="15"/>
  <c r="L47" i="67"/>
  <c r="F38" i="15"/>
  <c r="M26" i="15"/>
  <c r="M6" i="15"/>
  <c r="B7" i="76"/>
  <c r="B13" i="76"/>
  <c r="L48" i="67"/>
  <c r="F5" i="73"/>
  <c r="B8" i="76"/>
  <c r="F43" i="15"/>
  <c r="D2" i="34"/>
  <c r="F7" i="73"/>
  <c r="L48" i="15"/>
  <c r="M23" i="15"/>
  <c r="AO7" i="1"/>
  <c r="F20" i="31"/>
  <c r="AO13" i="1"/>
  <c r="M27" i="67"/>
  <c r="F3" i="73"/>
  <c r="F40" i="15"/>
  <c r="E12" i="76"/>
  <c r="J15" i="67"/>
  <c r="F43" i="67"/>
  <c r="B10" i="76"/>
  <c r="E11" i="76"/>
  <c r="D2" i="37"/>
  <c r="M26" i="67"/>
  <c r="E2" i="69"/>
  <c r="M29" i="67"/>
  <c r="B8" i="1" l="1"/>
  <c r="E8" i="1" s="1"/>
  <c r="G1" i="80"/>
  <c r="E359" i="3"/>
  <c r="E402" i="3"/>
  <c r="E442" i="3"/>
  <c r="E95" i="3"/>
  <c r="E59" i="3"/>
  <c r="E354" i="3"/>
  <c r="E283" i="3"/>
  <c r="E77" i="3"/>
  <c r="E554" i="3"/>
  <c r="E349" i="3"/>
  <c r="E138" i="3"/>
  <c r="E284" i="3"/>
  <c r="BA5" i="3"/>
  <c r="M9" i="1"/>
  <c r="AH9" i="1"/>
  <c r="U46" i="21"/>
  <c r="AB46" i="21"/>
  <c r="AC46" i="21"/>
  <c r="F46" i="21"/>
  <c r="C16" i="43"/>
  <c r="D5" i="43" s="1"/>
  <c r="T13" i="1"/>
  <c r="T11" i="1"/>
  <c r="AR10" i="1"/>
  <c r="AP7" i="1"/>
  <c r="C36" i="69" s="1"/>
  <c r="E513" i="3"/>
  <c r="E19" i="3"/>
  <c r="E48" i="3"/>
  <c r="E209" i="3"/>
  <c r="E446" i="3"/>
  <c r="E544" i="3"/>
  <c r="E258" i="3"/>
  <c r="E417" i="3"/>
  <c r="E449" i="3"/>
  <c r="E575" i="3"/>
  <c r="E122" i="3"/>
  <c r="O6" i="3"/>
  <c r="M8" i="1"/>
  <c r="O8" i="1" s="1"/>
  <c r="P8" i="1" s="1"/>
  <c r="AH8" i="1"/>
  <c r="P61" i="15"/>
  <c r="J53" i="15"/>
  <c r="F1" i="15" s="1"/>
  <c r="C5" i="43"/>
  <c r="AB38" i="21"/>
  <c r="H113" i="21"/>
  <c r="H37" i="21"/>
  <c r="J37" i="21"/>
  <c r="F37" i="21"/>
  <c r="S23" i="21"/>
  <c r="AA23" i="21"/>
  <c r="F19" i="21"/>
  <c r="H19" i="21"/>
  <c r="G79" i="21"/>
  <c r="F17" i="21"/>
  <c r="J17" i="21"/>
  <c r="AC17" i="21" s="1"/>
  <c r="H17" i="21"/>
  <c r="J15" i="21"/>
  <c r="F77" i="21"/>
  <c r="G77" i="21" s="1"/>
  <c r="H15" i="21"/>
  <c r="U15" i="21" s="1"/>
  <c r="F15" i="21"/>
  <c r="F69" i="21"/>
  <c r="U43" i="21"/>
  <c r="U21" i="21"/>
  <c r="U9" i="21"/>
  <c r="AA10" i="21"/>
  <c r="W27" i="21"/>
  <c r="AC27" i="21"/>
  <c r="S34" i="21"/>
  <c r="AA32" i="21"/>
  <c r="S21" i="21"/>
  <c r="W17" i="21"/>
  <c r="W39" i="39"/>
  <c r="H107" i="39"/>
  <c r="I107" i="39" s="1"/>
  <c r="J107" i="39" s="1"/>
  <c r="K107" i="39" s="1"/>
  <c r="L107" i="39" s="1"/>
  <c r="M107" i="39" s="1"/>
  <c r="H32" i="39"/>
  <c r="AB32" i="39" s="1"/>
  <c r="F32" i="39"/>
  <c r="J32" i="39"/>
  <c r="W29" i="39"/>
  <c r="U29" i="39"/>
  <c r="S29" i="39"/>
  <c r="AB27" i="39"/>
  <c r="G95" i="39"/>
  <c r="F21" i="39"/>
  <c r="H21" i="39"/>
  <c r="J21" i="39"/>
  <c r="H17" i="39"/>
  <c r="G91" i="39"/>
  <c r="F17" i="39"/>
  <c r="J17" i="39"/>
  <c r="F15" i="39"/>
  <c r="J15" i="39"/>
  <c r="W15" i="39" s="1"/>
  <c r="G89" i="39"/>
  <c r="H15" i="39"/>
  <c r="U15" i="39" s="1"/>
  <c r="AC15" i="39"/>
  <c r="C19" i="39"/>
  <c r="C29" i="39"/>
  <c r="B66" i="43"/>
  <c r="B67" i="43"/>
  <c r="B52" i="43"/>
  <c r="C15" i="39"/>
  <c r="B55" i="43"/>
  <c r="C21" i="39"/>
  <c r="C25" i="39"/>
  <c r="C94" i="9"/>
  <c r="C92" i="9"/>
  <c r="C74" i="9"/>
  <c r="M18" i="67"/>
  <c r="F54" i="9"/>
  <c r="M18" i="15"/>
  <c r="F32" i="15"/>
  <c r="F60" i="15" s="1"/>
  <c r="F30" i="69"/>
  <c r="F32" i="67"/>
  <c r="F60" i="67" s="1"/>
  <c r="F31" i="12"/>
  <c r="F28" i="67"/>
  <c r="C28" i="67" s="1"/>
  <c r="F30" i="11"/>
  <c r="F30" i="68"/>
  <c r="F81" i="39"/>
  <c r="G81" i="39" s="1"/>
  <c r="H81" i="39" s="1"/>
  <c r="I81" i="39" s="1"/>
  <c r="J81" i="39" s="1"/>
  <c r="K81" i="39" s="1"/>
  <c r="L81" i="39" s="1"/>
  <c r="M81" i="39" s="1"/>
  <c r="U42" i="39"/>
  <c r="W42" i="39"/>
  <c r="U32" i="39"/>
  <c r="L20" i="6"/>
  <c r="L27" i="6" s="1"/>
  <c r="E15" i="6"/>
  <c r="E65" i="39" s="1"/>
  <c r="E59" i="40"/>
  <c r="G30" i="6"/>
  <c r="G31" i="6" s="1"/>
  <c r="E28" i="6"/>
  <c r="K14" i="1" s="1"/>
  <c r="M14" i="1" s="1"/>
  <c r="O14" i="1" s="1"/>
  <c r="P14" i="1" s="1"/>
  <c r="E21" i="3"/>
  <c r="E309" i="3"/>
  <c r="E179" i="3"/>
  <c r="Y6" i="3"/>
  <c r="E127" i="3"/>
  <c r="E66" i="3"/>
  <c r="E307" i="3"/>
  <c r="E163" i="3"/>
  <c r="E98" i="3"/>
  <c r="E462" i="3"/>
  <c r="E76" i="3"/>
  <c r="E389" i="3"/>
  <c r="E292" i="3"/>
  <c r="E132" i="3"/>
  <c r="E56" i="3"/>
  <c r="E435" i="3"/>
  <c r="I3" i="6"/>
  <c r="E541" i="3"/>
  <c r="R6" i="3"/>
  <c r="E199" i="3"/>
  <c r="E159" i="3"/>
  <c r="E353" i="3"/>
  <c r="E97" i="3"/>
  <c r="D9" i="11"/>
  <c r="C9" i="11" s="1"/>
  <c r="D19" i="12"/>
  <c r="C19" i="12" s="1"/>
  <c r="C34" i="69"/>
  <c r="C38" i="69" s="1"/>
  <c r="E82" i="3"/>
  <c r="E373" i="3"/>
  <c r="E323" i="3"/>
  <c r="E222" i="3"/>
  <c r="E154" i="3"/>
  <c r="E51" i="3"/>
  <c r="E341" i="3"/>
  <c r="E250" i="3"/>
  <c r="E87" i="3"/>
  <c r="E24" i="3"/>
  <c r="E584" i="3"/>
  <c r="E386" i="3"/>
  <c r="E266" i="3"/>
  <c r="E248" i="3"/>
  <c r="E195" i="3"/>
  <c r="E65" i="3"/>
  <c r="E47" i="3"/>
  <c r="E521" i="3"/>
  <c r="E540" i="3"/>
  <c r="E110" i="3"/>
  <c r="E58" i="3"/>
  <c r="E504" i="3"/>
  <c r="E375" i="3"/>
  <c r="E363" i="3"/>
  <c r="E241" i="3"/>
  <c r="E192" i="3"/>
  <c r="E152" i="3"/>
  <c r="E37" i="3"/>
  <c r="E479" i="3"/>
  <c r="E491" i="3"/>
  <c r="E517" i="3"/>
  <c r="AP6" i="3"/>
  <c r="E255" i="3"/>
  <c r="E430" i="3"/>
  <c r="E466" i="3"/>
  <c r="E502" i="3"/>
  <c r="E499" i="3"/>
  <c r="E286" i="3"/>
  <c r="E253" i="3"/>
  <c r="E148" i="3"/>
  <c r="E303" i="3"/>
  <c r="AN6" i="3"/>
  <c r="E574" i="3"/>
  <c r="E285" i="3"/>
  <c r="E495" i="3"/>
  <c r="E586" i="3"/>
  <c r="E350" i="3"/>
  <c r="E301" i="3"/>
  <c r="E99" i="3"/>
  <c r="E269" i="3"/>
  <c r="E89"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9" i="6"/>
  <c r="E60" i="40"/>
  <c r="D9" i="68"/>
  <c r="C9" i="68" s="1"/>
  <c r="E13" i="6"/>
  <c r="I4" i="6"/>
  <c r="G3" i="43" s="1"/>
  <c r="E8" i="6"/>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57" i="3"/>
  <c r="E181" i="3"/>
  <c r="E228" i="3"/>
  <c r="E188" i="3"/>
  <c r="E191" i="3"/>
  <c r="E245" i="3"/>
  <c r="E263" i="3"/>
  <c r="E382" i="3"/>
  <c r="E423" i="3"/>
  <c r="E578" i="3"/>
  <c r="AI6" i="3"/>
  <c r="E518" i="3"/>
  <c r="E385" i="3"/>
  <c r="E143" i="3"/>
  <c r="E337" i="3"/>
  <c r="E410" i="3"/>
  <c r="E555" i="3"/>
  <c r="E388" i="3"/>
  <c r="D9" i="69"/>
  <c r="C9" i="69" s="1"/>
  <c r="E12" i="6"/>
  <c r="E16" i="6" s="1"/>
  <c r="F27" i="6"/>
  <c r="E27" i="6" s="1"/>
  <c r="E51" i="40"/>
  <c r="E56" i="39"/>
  <c r="E30" i="6"/>
  <c r="K15" i="1"/>
  <c r="K16" i="1" s="1"/>
  <c r="AZ5" i="3"/>
  <c r="AY6" i="3" s="1"/>
  <c r="AY82" i="3" s="1"/>
  <c r="BL5" i="3"/>
  <c r="AY98" i="3"/>
  <c r="AY60" i="3"/>
  <c r="O9" i="1"/>
  <c r="P9" i="1" s="1"/>
  <c r="P6" i="1"/>
  <c r="O7" i="1"/>
  <c r="P7" i="1" s="1"/>
  <c r="O12" i="1"/>
  <c r="P12" i="1" s="1"/>
  <c r="H16" i="1"/>
  <c r="Q16"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J10" i="39" s="1"/>
  <c r="D20" i="53"/>
  <c r="B40" i="72" s="1"/>
  <c r="H112" i="9"/>
  <c r="D21" i="53" s="1"/>
  <c r="B39" i="72" s="1"/>
  <c r="D12" i="52"/>
  <c r="D127" i="9"/>
  <c r="D13" i="52" s="1"/>
  <c r="J56" i="9"/>
  <c r="J57" i="9" s="1"/>
  <c r="J59" i="9" s="1"/>
  <c r="J61" i="9" s="1"/>
  <c r="K56" i="9"/>
  <c r="N56" i="9"/>
  <c r="H7" i="40"/>
  <c r="U7" i="40" s="1"/>
  <c r="F7" i="40"/>
  <c r="S7" i="40" s="1"/>
  <c r="J7" i="40"/>
  <c r="W7" i="40" s="1"/>
  <c r="E48" i="33"/>
  <c r="R49" i="33"/>
  <c r="G52" i="33"/>
  <c r="H52" i="33" s="1"/>
  <c r="G53" i="33"/>
  <c r="H53" i="33" s="1"/>
  <c r="U7" i="33"/>
  <c r="AC7" i="33"/>
  <c r="V48" i="33" s="1"/>
  <c r="I48" i="33" s="1"/>
  <c r="F52" i="37"/>
  <c r="G52" i="37" s="1"/>
  <c r="H52" i="37" s="1"/>
  <c r="I52" i="37" s="1"/>
  <c r="J52" i="37" s="1"/>
  <c r="K52" i="37" s="1"/>
  <c r="L52" i="37" s="1"/>
  <c r="M52" i="37" s="1"/>
  <c r="N52" i="37" s="1"/>
  <c r="O52" i="37" s="1"/>
  <c r="F7" i="37"/>
  <c r="D58" i="21"/>
  <c r="C70" i="39"/>
  <c r="D68" i="39"/>
  <c r="F59" i="34"/>
  <c r="D48" i="35"/>
  <c r="E46" i="36"/>
  <c r="J7" i="37"/>
  <c r="F6" i="71"/>
  <c r="F5" i="71" s="1"/>
  <c r="Y5" i="71"/>
  <c r="Z5" i="71" s="1"/>
  <c r="B7" i="49"/>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B13" i="49"/>
  <c r="B4" i="49"/>
  <c r="B9" i="49"/>
  <c r="C4" i="4" s="1"/>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M59" i="67"/>
  <c r="N59" i="67"/>
  <c r="L58" i="67"/>
  <c r="F68" i="15"/>
  <c r="N59" i="15"/>
  <c r="M59" i="15"/>
  <c r="L59" i="15" s="1"/>
  <c r="L58" i="15"/>
  <c r="F65" i="15"/>
  <c r="Q71" i="67"/>
  <c r="B13" i="70"/>
  <c r="E20" i="43"/>
  <c r="B20" i="31"/>
  <c r="B7" i="70"/>
  <c r="F71" i="15"/>
  <c r="F65" i="67"/>
  <c r="Q71" i="15"/>
  <c r="F51" i="67"/>
  <c r="B11" i="70"/>
  <c r="I1" i="73"/>
  <c r="B39" i="1" s="1"/>
  <c r="C27" i="15"/>
  <c r="F51" i="15"/>
  <c r="F64" i="15"/>
  <c r="I54" i="67"/>
  <c r="J57" i="67"/>
  <c r="J55" i="67" s="1"/>
  <c r="J58" i="67" s="1"/>
  <c r="Q50" i="67" s="1"/>
  <c r="L56" i="67"/>
  <c r="C27" i="67"/>
  <c r="B12" i="70"/>
  <c r="K1" i="73"/>
  <c r="F7" i="67"/>
  <c r="L47" i="80"/>
  <c r="L48" i="80"/>
  <c r="M29" i="80"/>
  <c r="F43" i="80"/>
  <c r="J15" i="80"/>
  <c r="M22" i="80"/>
  <c r="F16" i="80"/>
  <c r="M6" i="80"/>
  <c r="F36" i="80"/>
  <c r="M26" i="80"/>
  <c r="F9" i="80"/>
  <c r="F42" i="80"/>
  <c r="F26" i="80"/>
  <c r="M27" i="80"/>
  <c r="F40" i="80"/>
  <c r="M23" i="80"/>
  <c r="F6" i="80"/>
  <c r="M8" i="80"/>
  <c r="F37" i="80"/>
  <c r="F8" i="80"/>
  <c r="M28" i="80"/>
  <c r="M9" i="80"/>
  <c r="F13" i="80"/>
  <c r="F38" i="80"/>
  <c r="M24" i="80"/>
  <c r="C76" i="80"/>
  <c r="F7" i="80"/>
  <c r="G1" i="73"/>
  <c r="F31" i="67"/>
  <c r="C16" i="67"/>
  <c r="C16" i="80"/>
  <c r="F7" i="15"/>
  <c r="AE8" i="1"/>
  <c r="F41" i="67" s="1"/>
  <c r="F31" i="15"/>
  <c r="C16" i="15"/>
  <c r="F31" i="80"/>
  <c r="F69" i="67" l="1"/>
  <c r="Q71" i="80"/>
  <c r="F66" i="80"/>
  <c r="F51" i="80"/>
  <c r="F65" i="80"/>
  <c r="F68" i="80"/>
  <c r="C27" i="80"/>
  <c r="F64" i="80"/>
  <c r="F71" i="80"/>
  <c r="L57" i="80"/>
  <c r="L60" i="80"/>
  <c r="Q66" i="80" s="1"/>
  <c r="L56" i="80"/>
  <c r="J53" i="80"/>
  <c r="F1" i="80" s="1"/>
  <c r="J60" i="80"/>
  <c r="Q48" i="80" s="1"/>
  <c r="J57" i="80"/>
  <c r="J55" i="80" s="1"/>
  <c r="J58" i="80" s="1"/>
  <c r="Q50" i="80" s="1"/>
  <c r="I54" i="80"/>
  <c r="J59" i="80"/>
  <c r="L46" i="80"/>
  <c r="N59" i="80"/>
  <c r="L58" i="80"/>
  <c r="Q60" i="80" s="1"/>
  <c r="M59" i="80"/>
  <c r="L59" i="80" s="1"/>
  <c r="Q74" i="80" s="1"/>
  <c r="M7" i="67"/>
  <c r="F50" i="67"/>
  <c r="C49" i="67" s="1"/>
  <c r="C6" i="67"/>
  <c r="M16" i="1"/>
  <c r="F3" i="35"/>
  <c r="C6" i="80"/>
  <c r="F50" i="80"/>
  <c r="M7" i="80"/>
  <c r="F31" i="6"/>
  <c r="AA46" i="21"/>
  <c r="S46" i="21"/>
  <c r="Q61" i="80"/>
  <c r="Q73" i="80"/>
  <c r="F11" i="80"/>
  <c r="M11" i="80"/>
  <c r="AY217" i="3"/>
  <c r="AY286" i="3"/>
  <c r="F50" i="15"/>
  <c r="C49" i="15" s="1"/>
  <c r="C6" i="15"/>
  <c r="M7" i="15"/>
  <c r="Q52" i="15"/>
  <c r="AA37" i="21"/>
  <c r="S37" i="21"/>
  <c r="U37" i="21"/>
  <c r="AB37" i="21"/>
  <c r="W37" i="21"/>
  <c r="AC37" i="21"/>
  <c r="U19" i="21"/>
  <c r="AB19" i="21"/>
  <c r="AA19" i="21"/>
  <c r="S19" i="21"/>
  <c r="AB17" i="21"/>
  <c r="U17" i="21"/>
  <c r="AA17" i="21"/>
  <c r="S17" i="21"/>
  <c r="AB15" i="21"/>
  <c r="S15" i="21"/>
  <c r="AA15" i="21"/>
  <c r="AC15" i="21"/>
  <c r="W15" i="21"/>
  <c r="G69" i="21"/>
  <c r="H69" i="21" s="1"/>
  <c r="I69" i="21" s="1"/>
  <c r="J69" i="21" s="1"/>
  <c r="K69" i="21" s="1"/>
  <c r="L69" i="21" s="1"/>
  <c r="M69" i="21" s="1"/>
  <c r="AC32" i="39"/>
  <c r="W32" i="39"/>
  <c r="S32" i="39"/>
  <c r="AA32" i="39"/>
  <c r="W21" i="39"/>
  <c r="AC21" i="39"/>
  <c r="AA21" i="39"/>
  <c r="S21" i="39"/>
  <c r="AB21" i="39"/>
  <c r="U21" i="39"/>
  <c r="W17" i="39"/>
  <c r="AC17" i="39"/>
  <c r="AA17" i="39"/>
  <c r="S17" i="39"/>
  <c r="AB17" i="39"/>
  <c r="U17" i="39"/>
  <c r="AB15" i="39"/>
  <c r="AA15" i="39"/>
  <c r="S15" i="39"/>
  <c r="C30" i="68"/>
  <c r="C48" i="68"/>
  <c r="C30" i="11"/>
  <c r="C48" i="11"/>
  <c r="C48" i="69"/>
  <c r="C30" i="69"/>
  <c r="C13" i="12"/>
  <c r="C35" i="69"/>
  <c r="AY152" i="3"/>
  <c r="AY209" i="3"/>
  <c r="AY573" i="3"/>
  <c r="AY303" i="3"/>
  <c r="AY87" i="3"/>
  <c r="AY417" i="3"/>
  <c r="AY507" i="3"/>
  <c r="AY20" i="3"/>
  <c r="AY334" i="3"/>
  <c r="AY463" i="3"/>
  <c r="AY529" i="3"/>
  <c r="AY253" i="3"/>
  <c r="AY144" i="3"/>
  <c r="AY170" i="3"/>
  <c r="AY553" i="3"/>
  <c r="AY116" i="3"/>
  <c r="AY289" i="3"/>
  <c r="AY227" i="3"/>
  <c r="AY173" i="3"/>
  <c r="AY100" i="3"/>
  <c r="AY390" i="3"/>
  <c r="AY163" i="3"/>
  <c r="E58" i="40"/>
  <c r="E63" i="39"/>
  <c r="AY401" i="3"/>
  <c r="AY327" i="3"/>
  <c r="AY300" i="3"/>
  <c r="AY460" i="3"/>
  <c r="AY382" i="3"/>
  <c r="AY111" i="3"/>
  <c r="AY95" i="3"/>
  <c r="AY34" i="3"/>
  <c r="AY149" i="3"/>
  <c r="AY206" i="3"/>
  <c r="AY77" i="3"/>
  <c r="AY569" i="3"/>
  <c r="AY343" i="3"/>
  <c r="AY455" i="3"/>
  <c r="AY261" i="3"/>
  <c r="AY50" i="3"/>
  <c r="AY373" i="3"/>
  <c r="AY270" i="3"/>
  <c r="AY134" i="3"/>
  <c r="AY193" i="3"/>
  <c r="AY84" i="3"/>
  <c r="AY539" i="3"/>
  <c r="AY447" i="3"/>
  <c r="AY526" i="3"/>
  <c r="AY237" i="3"/>
  <c r="AY171" i="3"/>
  <c r="K26" i="6"/>
  <c r="M26" i="6" s="1"/>
  <c r="I26" i="6" s="1"/>
  <c r="S26" i="6" s="1"/>
  <c r="K19" i="6"/>
  <c r="S6" i="1" s="1"/>
  <c r="K25" i="6"/>
  <c r="M25" i="6" s="1"/>
  <c r="I25" i="6" s="1"/>
  <c r="S25" i="6" s="1"/>
  <c r="E31" i="6"/>
  <c r="K24" i="6"/>
  <c r="M24" i="6" s="1"/>
  <c r="I24" i="6" s="1"/>
  <c r="S24" i="6" s="1"/>
  <c r="K22" i="6"/>
  <c r="K20" i="6"/>
  <c r="K21" i="6"/>
  <c r="K23" i="6"/>
  <c r="M23" i="6" s="1"/>
  <c r="I23" i="6" s="1"/>
  <c r="S23" i="6" s="1"/>
  <c r="E3" i="6"/>
  <c r="E6" i="6" s="1"/>
  <c r="AY549" i="3"/>
  <c r="AY420" i="3"/>
  <c r="AY310" i="3"/>
  <c r="AY372" i="3"/>
  <c r="AY260" i="3"/>
  <c r="AY26" i="3"/>
  <c r="AY441" i="3"/>
  <c r="AY473" i="3"/>
  <c r="AY366" i="3"/>
  <c r="AY236" i="3"/>
  <c r="AY168" i="3"/>
  <c r="AY281" i="3"/>
  <c r="AY42" i="3"/>
  <c r="AY124" i="3"/>
  <c r="AY207" i="3"/>
  <c r="AY51" i="3"/>
  <c r="AY118" i="3"/>
  <c r="AY138" i="3"/>
  <c r="AY201" i="3"/>
  <c r="AY28" i="3"/>
  <c r="AY45" i="3"/>
  <c r="AY108" i="3"/>
  <c r="AY541" i="3"/>
  <c r="BK6" i="3"/>
  <c r="AY478" i="3"/>
  <c r="AY212" i="3"/>
  <c r="AY497" i="3"/>
  <c r="AY319" i="3"/>
  <c r="AY284" i="3"/>
  <c r="AY183" i="3"/>
  <c r="AY160" i="3"/>
  <c r="AY103" i="3"/>
  <c r="AY368" i="3"/>
  <c r="AY384" i="3"/>
  <c r="AY238" i="3"/>
  <c r="AY255" i="3"/>
  <c r="AY291" i="3"/>
  <c r="AY141" i="3"/>
  <c r="AY162" i="3"/>
  <c r="AY198" i="3"/>
  <c r="AY52" i="3"/>
  <c r="AY69" i="3"/>
  <c r="AY105" i="3"/>
  <c r="AY540" i="3"/>
  <c r="AY535" i="3"/>
  <c r="AY311" i="3"/>
  <c r="AY269" i="3"/>
  <c r="AY444" i="3"/>
  <c r="AY387" i="3"/>
  <c r="AY75" i="3"/>
  <c r="AY90" i="3"/>
  <c r="AY18" i="3"/>
  <c r="AC6" i="3"/>
  <c r="H6" i="3"/>
  <c r="E57" i="40"/>
  <c r="E62" i="39"/>
  <c r="E66" i="39" s="1"/>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125" i="3"/>
  <c r="AY133" i="3"/>
  <c r="AY165" i="3"/>
  <c r="AY154" i="3"/>
  <c r="AY185" i="3"/>
  <c r="AY190" i="3"/>
  <c r="AY33" i="3"/>
  <c r="AY44" i="3"/>
  <c r="AY76" i="3"/>
  <c r="AY61" i="3"/>
  <c r="AY92" i="3"/>
  <c r="AY97" i="3"/>
  <c r="BE6" i="3"/>
  <c r="AY533" i="3"/>
  <c r="AY544" i="3"/>
  <c r="AY557" i="3"/>
  <c r="AY436" i="3"/>
  <c r="AY326" i="3"/>
  <c r="AY379" i="3"/>
  <c r="AY229" i="3"/>
  <c r="AY43" i="3"/>
  <c r="AY412" i="3"/>
  <c r="AY489" i="3"/>
  <c r="AY363" i="3"/>
  <c r="AY252" i="3"/>
  <c r="AY204" i="3"/>
  <c r="AY123" i="3"/>
  <c r="AY74" i="3"/>
  <c r="AY139" i="3"/>
  <c r="AY196" i="3"/>
  <c r="AY67"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404" i="3"/>
  <c r="AY481" i="3"/>
  <c r="AY355" i="3"/>
  <c r="AY244" i="3"/>
  <c r="AY199" i="3"/>
  <c r="AY425" i="3"/>
  <c r="AY486" i="3"/>
  <c r="AY350" i="3"/>
  <c r="AY220" i="3"/>
  <c r="AY147" i="3"/>
  <c r="AY292" i="3"/>
  <c r="AY31" i="3"/>
  <c r="AY132" i="3"/>
  <c r="AY191"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23" i="3"/>
  <c r="AY338" i="3"/>
  <c r="AY306" i="3"/>
  <c r="AY490" i="3"/>
  <c r="AY459" i="3"/>
  <c r="AY448" i="3"/>
  <c r="AY416" i="3"/>
  <c r="AY429" i="3"/>
  <c r="AY550" i="3"/>
  <c r="BD6" i="3"/>
  <c r="BC6" i="3"/>
  <c r="AY511" i="3"/>
  <c r="AY504" i="3"/>
  <c r="AY586" i="3"/>
  <c r="AY49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07" i="3"/>
  <c r="AY322" i="3"/>
  <c r="AY477" i="3"/>
  <c r="AY474" i="3"/>
  <c r="AY443" i="3"/>
  <c r="AY432" i="3"/>
  <c r="AY400" i="3"/>
  <c r="AY413" i="3"/>
  <c r="AY521" i="3"/>
  <c r="AY15" i="3"/>
  <c r="AY566" i="3"/>
  <c r="AY583" i="3"/>
  <c r="BT6" i="3"/>
  <c r="AY567" i="3"/>
  <c r="D3" i="21"/>
  <c r="D3" i="37"/>
  <c r="D19" i="6"/>
  <c r="D14" i="6"/>
  <c r="D3" i="34"/>
  <c r="D15" i="6"/>
  <c r="D20" i="6"/>
  <c r="D28" i="6"/>
  <c r="O16" i="1"/>
  <c r="F27" i="69"/>
  <c r="F28" i="12"/>
  <c r="C29" i="12" s="1"/>
  <c r="D28" i="12" s="1"/>
  <c r="F27" i="68"/>
  <c r="F27" i="11"/>
  <c r="L16" i="1"/>
  <c r="N16" i="1"/>
  <c r="P16" i="1"/>
  <c r="C11" i="12" s="1"/>
  <c r="H102" i="43"/>
  <c r="H103" i="43"/>
  <c r="H104" i="43"/>
  <c r="H109" i="43"/>
  <c r="H106" i="43"/>
  <c r="H107" i="43"/>
  <c r="H105"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40"/>
  <c r="S10" i="40" s="1"/>
  <c r="R43" i="40"/>
  <c r="C42" i="40" s="1"/>
  <c r="J10" i="40"/>
  <c r="H10" i="40"/>
  <c r="F10" i="39"/>
  <c r="H10" i="39"/>
  <c r="K4" i="4"/>
  <c r="B46" i="48" s="1"/>
  <c r="B4" i="72" s="1"/>
  <c r="B4" i="62"/>
  <c r="B71" i="72" s="1"/>
  <c r="AC7" i="37"/>
  <c r="V42" i="37" s="1"/>
  <c r="I42" i="37" s="1"/>
  <c r="W7" i="37"/>
  <c r="F46" i="36"/>
  <c r="AC10" i="39"/>
  <c r="W10" i="39"/>
  <c r="E68" i="39"/>
  <c r="D70" i="39"/>
  <c r="E58" i="21"/>
  <c r="H7" i="37"/>
  <c r="I52" i="33"/>
  <c r="J52" i="33" s="1"/>
  <c r="I53" i="33"/>
  <c r="J53" i="33" s="1"/>
  <c r="E53" i="33"/>
  <c r="F53" i="33" s="1"/>
  <c r="E52" i="33"/>
  <c r="F52" i="33" s="1"/>
  <c r="E48" i="35"/>
  <c r="G59" i="34"/>
  <c r="H59" i="34" s="1"/>
  <c r="I59" i="34" s="1"/>
  <c r="J59" i="34" s="1"/>
  <c r="K59" i="34" s="1"/>
  <c r="L59" i="34" s="1"/>
  <c r="M59" i="34" s="1"/>
  <c r="N59" i="34" s="1"/>
  <c r="O59" i="34" s="1"/>
  <c r="S7" i="37"/>
  <c r="AA7" i="37"/>
  <c r="R42" i="37" s="1"/>
  <c r="C49" i="33"/>
  <c r="C48" i="33"/>
  <c r="G47" i="40"/>
  <c r="H47" i="40" s="1"/>
  <c r="I47" i="40"/>
  <c r="J47" i="40" s="1"/>
  <c r="C5" i="71"/>
  <c r="D6" i="71"/>
  <c r="P25" i="43"/>
  <c r="E46" i="40"/>
  <c r="F46" i="40" s="1"/>
  <c r="E47" i="40"/>
  <c r="F47" i="40" s="1"/>
  <c r="B40" i="1"/>
  <c r="F24" i="80" s="1"/>
  <c r="M11" i="15"/>
  <c r="F11" i="67"/>
  <c r="F11" i="15"/>
  <c r="M11" i="67"/>
  <c r="J10" i="67" s="1"/>
  <c r="Q73" i="67"/>
  <c r="Q60" i="67"/>
  <c r="P17" i="43"/>
  <c r="M17" i="43"/>
  <c r="N17" i="43"/>
  <c r="O17" i="43"/>
  <c r="Q60" i="15"/>
  <c r="Q73" i="15"/>
  <c r="Q74" i="15"/>
  <c r="Q61" i="15"/>
  <c r="Q61" i="67"/>
  <c r="Q74" i="67"/>
  <c r="F59" i="67"/>
  <c r="M17" i="67"/>
  <c r="M17" i="80"/>
  <c r="F59" i="80"/>
  <c r="AE9" i="1"/>
  <c r="M17" i="15"/>
  <c r="F59" i="15"/>
  <c r="F41" i="15"/>
  <c r="Q57" i="80" l="1"/>
  <c r="Q52" i="80"/>
  <c r="J6" i="67"/>
  <c r="J5" i="67" s="1"/>
  <c r="D9" i="6"/>
  <c r="D21" i="6"/>
  <c r="D14" i="12"/>
  <c r="D17" i="12" s="1"/>
  <c r="C17" i="12" s="1"/>
  <c r="D10" i="6"/>
  <c r="D8" i="6"/>
  <c r="D37" i="11"/>
  <c r="C17" i="4"/>
  <c r="C49" i="80"/>
  <c r="J6" i="80"/>
  <c r="J10" i="80" s="1"/>
  <c r="J5" i="80" s="1"/>
  <c r="C53" i="80"/>
  <c r="C10" i="80"/>
  <c r="C5" i="80" s="1"/>
  <c r="C24" i="80"/>
  <c r="D13" i="6"/>
  <c r="D5" i="6"/>
  <c r="D24" i="6"/>
  <c r="D22" i="6"/>
  <c r="D25" i="6"/>
  <c r="D19" i="11"/>
  <c r="C19" i="11" s="1"/>
  <c r="C20" i="11" s="1"/>
  <c r="D29" i="6"/>
  <c r="D12" i="6"/>
  <c r="D23" i="6"/>
  <c r="D26" i="6"/>
  <c r="M18" i="9"/>
  <c r="B118" i="9" s="1"/>
  <c r="B14" i="74" s="1"/>
  <c r="B1" i="74" s="1"/>
  <c r="C7" i="74" s="1"/>
  <c r="D3" i="33"/>
  <c r="L18" i="9"/>
  <c r="B2" i="33"/>
  <c r="B3" i="33" s="1"/>
  <c r="M22" i="6"/>
  <c r="I22" i="6" s="1"/>
  <c r="S22" i="6" s="1"/>
  <c r="S9" i="1"/>
  <c r="J38" i="39"/>
  <c r="F38" i="39"/>
  <c r="H38" i="39"/>
  <c r="J6" i="15"/>
  <c r="J10" i="15" s="1"/>
  <c r="J5" i="15" s="1"/>
  <c r="F69" i="15"/>
  <c r="F11" i="12"/>
  <c r="F34" i="11"/>
  <c r="F34" i="68"/>
  <c r="C37" i="11"/>
  <c r="M21" i="6"/>
  <c r="I21" i="6" s="1"/>
  <c r="S21" i="6" s="1"/>
  <c r="S8" i="1"/>
  <c r="AQ6" i="1"/>
  <c r="AR6" i="1"/>
  <c r="T6" i="1"/>
  <c r="M20" i="6"/>
  <c r="I20" i="6" s="1"/>
  <c r="S20" i="6" s="1"/>
  <c r="S7" i="1"/>
  <c r="D30" i="6"/>
  <c r="C43" i="40"/>
  <c r="B53" i="40" s="1"/>
  <c r="F53" i="40" s="1"/>
  <c r="D27" i="6"/>
  <c r="E6" i="3"/>
  <c r="K27" i="6"/>
  <c r="M19" i="6"/>
  <c r="C18" i="4"/>
  <c r="C4" i="52" s="1"/>
  <c r="B45" i="72" s="1"/>
  <c r="L19" i="9"/>
  <c r="M19" i="9"/>
  <c r="C118" i="9" s="1"/>
  <c r="C14" i="74" s="1"/>
  <c r="B2" i="74" s="1"/>
  <c r="E61" i="40"/>
  <c r="H23" i="6"/>
  <c r="R23" i="6" s="1"/>
  <c r="H25" i="6"/>
  <c r="R25" i="6" s="1"/>
  <c r="H26" i="6"/>
  <c r="R26" i="6" s="1"/>
  <c r="D11" i="6"/>
  <c r="D16" i="6" s="1"/>
  <c r="H24" i="6"/>
  <c r="R24" i="6" s="1"/>
  <c r="D31" i="6"/>
  <c r="B4" i="52"/>
  <c r="B43" i="72" s="1"/>
  <c r="A7" i="51"/>
  <c r="B7" i="72" s="1"/>
  <c r="A10" i="51"/>
  <c r="B9" i="72" s="1"/>
  <c r="C8" i="74"/>
  <c r="D10" i="68"/>
  <c r="D10" i="11"/>
  <c r="C10" i="11" s="1"/>
  <c r="D10" i="69"/>
  <c r="D20" i="12"/>
  <c r="C20" i="12" s="1"/>
  <c r="C18" i="12" s="1"/>
  <c r="D6" i="6"/>
  <c r="AA10" i="40"/>
  <c r="F50" i="69"/>
  <c r="F50" i="11"/>
  <c r="F50" i="68"/>
  <c r="C29" i="68"/>
  <c r="D27" i="68" s="1"/>
  <c r="C47" i="68"/>
  <c r="D45" i="68" s="1"/>
  <c r="C47" i="69"/>
  <c r="D45" i="69" s="1"/>
  <c r="C29" i="69"/>
  <c r="D27" i="69" s="1"/>
  <c r="C15" i="12"/>
  <c r="C12" i="12"/>
  <c r="C47" i="11"/>
  <c r="D45" i="11" s="1"/>
  <c r="C29" i="11"/>
  <c r="D27" i="11" s="1"/>
  <c r="C28" i="11"/>
  <c r="C27" i="11" s="1"/>
  <c r="C115" i="43"/>
  <c r="D113" i="43" s="1"/>
  <c r="S3" i="43"/>
  <c r="S5" i="43"/>
  <c r="S4" i="43"/>
  <c r="S6" i="43"/>
  <c r="S2" i="43"/>
  <c r="C23" i="43"/>
  <c r="C21" i="43" s="1"/>
  <c r="S7" i="43"/>
  <c r="S10" i="39"/>
  <c r="AA10" i="39"/>
  <c r="W10" i="40"/>
  <c r="AC10" i="40"/>
  <c r="AB10" i="39"/>
  <c r="U10" i="39"/>
  <c r="U10" i="40"/>
  <c r="AB10" i="40"/>
  <c r="J7" i="34"/>
  <c r="F48" i="35"/>
  <c r="G48" i="35" s="1"/>
  <c r="H48" i="35" s="1"/>
  <c r="I48" i="35" s="1"/>
  <c r="J48" i="35" s="1"/>
  <c r="K48" i="35" s="1"/>
  <c r="L48" i="35" s="1"/>
  <c r="M48" i="35" s="1"/>
  <c r="N48" i="35" s="1"/>
  <c r="O48" i="35" s="1"/>
  <c r="F7" i="35"/>
  <c r="R43" i="37"/>
  <c r="E42" i="37"/>
  <c r="H7" i="34"/>
  <c r="J7" i="35"/>
  <c r="U7" i="37"/>
  <c r="AB7" i="37"/>
  <c r="T42" i="37" s="1"/>
  <c r="G42" i="37" s="1"/>
  <c r="F58" i="21"/>
  <c r="E70" i="39"/>
  <c r="F68" i="39"/>
  <c r="F7" i="34"/>
  <c r="G46" i="36"/>
  <c r="H46" i="36" s="1"/>
  <c r="I46" i="36" s="1"/>
  <c r="J46" i="36" s="1"/>
  <c r="K46" i="36" s="1"/>
  <c r="L46" i="36" s="1"/>
  <c r="M46" i="36" s="1"/>
  <c r="N46" i="36" s="1"/>
  <c r="O46" i="36" s="1"/>
  <c r="H7" i="36"/>
  <c r="I47" i="37"/>
  <c r="J47" i="37" s="1"/>
  <c r="I46" i="37"/>
  <c r="J46" i="37" s="1"/>
  <c r="H7" i="35"/>
  <c r="D5" i="71"/>
  <c r="M20" i="43" s="1"/>
  <c r="C19" i="43" s="1"/>
  <c r="B60" i="40"/>
  <c r="F60" i="40" s="1"/>
  <c r="C53" i="67"/>
  <c r="C48" i="67" s="1"/>
  <c r="C10" i="67"/>
  <c r="C5" i="67" s="1"/>
  <c r="C53" i="15"/>
  <c r="C48" i="15" s="1"/>
  <c r="C10" i="15"/>
  <c r="C5" i="15" s="1"/>
  <c r="F24" i="67"/>
  <c r="C24" i="67" s="1"/>
  <c r="F22" i="68"/>
  <c r="F22" i="11"/>
  <c r="F22" i="69"/>
  <c r="F25" i="12"/>
  <c r="F24" i="15"/>
  <c r="C24" i="15" s="1"/>
  <c r="C14" i="67"/>
  <c r="C17" i="67"/>
  <c r="C17" i="80"/>
  <c r="F41" i="80"/>
  <c r="C17" i="15"/>
  <c r="C48" i="80" l="1"/>
  <c r="C60" i="80" s="1"/>
  <c r="J26" i="67"/>
  <c r="J29" i="67" s="1"/>
  <c r="J24" i="67"/>
  <c r="J18" i="67"/>
  <c r="C18" i="67"/>
  <c r="C15" i="67"/>
  <c r="H20" i="6"/>
  <c r="R20" i="6" s="1"/>
  <c r="R7" i="1" s="1"/>
  <c r="H22" i="6"/>
  <c r="R22" i="6" s="1"/>
  <c r="R9" i="1" s="1"/>
  <c r="S16" i="1"/>
  <c r="J18" i="80"/>
  <c r="J26" i="80"/>
  <c r="J24" i="80"/>
  <c r="E9" i="70"/>
  <c r="F69" i="80"/>
  <c r="J29" i="80"/>
  <c r="B54" i="40"/>
  <c r="F54" i="40" s="1"/>
  <c r="B59" i="40"/>
  <c r="F59" i="40" s="1"/>
  <c r="C38" i="80"/>
  <c r="C32" i="80"/>
  <c r="C33" i="80"/>
  <c r="C66" i="80"/>
  <c r="AR9" i="1"/>
  <c r="T9" i="1"/>
  <c r="AQ9" i="1"/>
  <c r="B56" i="40"/>
  <c r="F56" i="40" s="1"/>
  <c r="B57" i="40"/>
  <c r="F57" i="40" s="1"/>
  <c r="B55" i="40"/>
  <c r="F55" i="40" s="1"/>
  <c r="H21" i="6"/>
  <c r="R21" i="6" s="1"/>
  <c r="R8" i="1" s="1"/>
  <c r="J18" i="15"/>
  <c r="J24" i="15"/>
  <c r="J26" i="15"/>
  <c r="J29" i="15" s="1"/>
  <c r="AB38" i="39"/>
  <c r="U38" i="39"/>
  <c r="W38" i="39"/>
  <c r="AC38" i="39"/>
  <c r="E8" i="70"/>
  <c r="E2" i="70" s="1"/>
  <c r="AA38" i="39"/>
  <c r="S38" i="39"/>
  <c r="C14" i="12"/>
  <c r="C16" i="12" s="1"/>
  <c r="C21" i="12" s="1"/>
  <c r="C22" i="12" s="1"/>
  <c r="C36" i="11"/>
  <c r="C34" i="11"/>
  <c r="C36" i="68"/>
  <c r="C34" i="68"/>
  <c r="B51" i="40"/>
  <c r="F51" i="40" s="1"/>
  <c r="B52" i="40"/>
  <c r="F52" i="40" s="1"/>
  <c r="B58" i="40"/>
  <c r="F58" i="40" s="1"/>
  <c r="F61" i="40"/>
  <c r="B2" i="40" s="1"/>
  <c r="B3" i="40" s="1"/>
  <c r="T7" i="1"/>
  <c r="T16" i="1" s="1"/>
  <c r="AR7" i="1"/>
  <c r="AQ7" i="1"/>
  <c r="AR8" i="1"/>
  <c r="AQ8" i="1"/>
  <c r="T8" i="1"/>
  <c r="M27" i="6"/>
  <c r="I19" i="6"/>
  <c r="D7" i="74"/>
  <c r="D8" i="74"/>
  <c r="C10" i="69"/>
  <c r="C8" i="69" s="1"/>
  <c r="C5" i="69" s="1"/>
  <c r="C23" i="69" s="1"/>
  <c r="D19" i="69"/>
  <c r="C10" i="68"/>
  <c r="D19" i="68"/>
  <c r="I6" i="6"/>
  <c r="I7" i="6" s="1"/>
  <c r="I5" i="6"/>
  <c r="AB7" i="36"/>
  <c r="T36" i="36" s="1"/>
  <c r="G36" i="36" s="1"/>
  <c r="U7" i="36"/>
  <c r="AB7" i="35"/>
  <c r="T38" i="35" s="1"/>
  <c r="G38" i="35" s="1"/>
  <c r="U7" i="35"/>
  <c r="G68" i="39"/>
  <c r="F70" i="39"/>
  <c r="G58" i="21"/>
  <c r="U7" i="34"/>
  <c r="AB7" i="34"/>
  <c r="T49" i="34" s="1"/>
  <c r="G49" i="34" s="1"/>
  <c r="E47" i="37"/>
  <c r="F47" i="37" s="1"/>
  <c r="E46" i="37"/>
  <c r="F46" i="37" s="1"/>
  <c r="J7" i="36"/>
  <c r="S7" i="34"/>
  <c r="AA7" i="34"/>
  <c r="R49" i="34" s="1"/>
  <c r="G46" i="37"/>
  <c r="H46" i="37" s="1"/>
  <c r="G47" i="37"/>
  <c r="H47" i="37" s="1"/>
  <c r="AC7" i="35"/>
  <c r="V38" i="35" s="1"/>
  <c r="I38" i="35" s="1"/>
  <c r="W7" i="35"/>
  <c r="C43" i="37"/>
  <c r="B2" i="37" s="1"/>
  <c r="B3" i="37" s="1"/>
  <c r="C42" i="37"/>
  <c r="AA7" i="35"/>
  <c r="R38" i="35" s="1"/>
  <c r="S7" i="35"/>
  <c r="W7" i="34"/>
  <c r="AC7" i="34"/>
  <c r="V49" i="34" s="1"/>
  <c r="I49" i="34" s="1"/>
  <c r="F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F35" i="67"/>
  <c r="M21" i="67"/>
  <c r="C14" i="80"/>
  <c r="F35" i="80"/>
  <c r="M21" i="80"/>
  <c r="F35" i="15"/>
  <c r="C14" i="15"/>
  <c r="M21" i="15"/>
  <c r="C19" i="67" l="1"/>
  <c r="C20" i="67" s="1"/>
  <c r="C26" i="67" s="1"/>
  <c r="J20" i="67"/>
  <c r="F63" i="67"/>
  <c r="C62" i="67" s="1"/>
  <c r="C34" i="67"/>
  <c r="C18" i="80"/>
  <c r="C15" i="80"/>
  <c r="F63" i="80"/>
  <c r="C62" i="80" s="1"/>
  <c r="C34" i="80"/>
  <c r="J20" i="80"/>
  <c r="C31" i="80"/>
  <c r="J20" i="15"/>
  <c r="C34" i="15"/>
  <c r="F63" i="15"/>
  <c r="C62" i="15" s="1"/>
  <c r="C18" i="15"/>
  <c r="C15" i="15"/>
  <c r="C11" i="79"/>
  <c r="C11" i="21"/>
  <c r="H11" i="39"/>
  <c r="F11" i="39"/>
  <c r="J11" i="39"/>
  <c r="C38" i="68"/>
  <c r="C35" i="68"/>
  <c r="C38" i="11"/>
  <c r="C35" i="11"/>
  <c r="S19" i="6"/>
  <c r="S27" i="6" s="1"/>
  <c r="I27" i="6"/>
  <c r="H19" i="6"/>
  <c r="C19" i="68"/>
  <c r="D37" i="68"/>
  <c r="C37" i="68" s="1"/>
  <c r="C19" i="69"/>
  <c r="C24" i="69" s="1"/>
  <c r="D37" i="69"/>
  <c r="C37" i="69" s="1"/>
  <c r="C33" i="69" s="1"/>
  <c r="S7" i="36"/>
  <c r="AA7" i="36"/>
  <c r="R36" i="36" s="1"/>
  <c r="R39" i="35"/>
  <c r="E38" i="35"/>
  <c r="G53" i="34"/>
  <c r="H53" i="34" s="1"/>
  <c r="G54" i="34"/>
  <c r="H54" i="34" s="1"/>
  <c r="I53" i="34"/>
  <c r="J53" i="34" s="1"/>
  <c r="I54" i="34"/>
  <c r="J54" i="34" s="1"/>
  <c r="I42" i="35"/>
  <c r="J42" i="35" s="1"/>
  <c r="I43" i="35"/>
  <c r="J43" i="35" s="1"/>
  <c r="E49" i="34"/>
  <c r="R50" i="34"/>
  <c r="W7" i="36"/>
  <c r="AC7" i="36"/>
  <c r="V36" i="36" s="1"/>
  <c r="I36" i="36" s="1"/>
  <c r="H58" i="21"/>
  <c r="H68" i="39"/>
  <c r="G70" i="39"/>
  <c r="G42" i="35"/>
  <c r="H42" i="35" s="1"/>
  <c r="G43" i="35"/>
  <c r="H43" i="35" s="1"/>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23" i="67" l="1"/>
  <c r="C29" i="67" s="1"/>
  <c r="C19" i="80"/>
  <c r="C20" i="80" s="1"/>
  <c r="C26" i="80" s="1"/>
  <c r="C31" i="15"/>
  <c r="C20" i="69"/>
  <c r="C28" i="69" s="1"/>
  <c r="C27" i="69" s="1"/>
  <c r="C19" i="15"/>
  <c r="C20" i="15" s="1"/>
  <c r="C26" i="15" s="1"/>
  <c r="W11" i="39"/>
  <c r="AC11" i="39"/>
  <c r="AB11" i="39"/>
  <c r="U11" i="39"/>
  <c r="H11" i="79"/>
  <c r="J11" i="79"/>
  <c r="F11" i="79"/>
  <c r="AA11" i="39"/>
  <c r="S11" i="39"/>
  <c r="H11" i="21"/>
  <c r="F11" i="21"/>
  <c r="J11" i="21"/>
  <c r="C33" i="68"/>
  <c r="C39" i="68" s="1"/>
  <c r="C43" i="68" s="1"/>
  <c r="C33" i="11"/>
  <c r="H27" i="6"/>
  <c r="R19" i="6"/>
  <c r="C39" i="69"/>
  <c r="C42" i="69"/>
  <c r="C25" i="69"/>
  <c r="C22" i="69" s="1"/>
  <c r="C24" i="68"/>
  <c r="I58" i="21"/>
  <c r="E54" i="34"/>
  <c r="F54" i="34" s="1"/>
  <c r="E53" i="34"/>
  <c r="F53" i="34" s="1"/>
  <c r="C39" i="35"/>
  <c r="B2" i="35" s="1"/>
  <c r="B3" i="35" s="1"/>
  <c r="C38" i="35"/>
  <c r="I68" i="39"/>
  <c r="H70" i="39"/>
  <c r="I40" i="36"/>
  <c r="J40" i="36" s="1"/>
  <c r="C49" i="34"/>
  <c r="C50" i="34"/>
  <c r="B2" i="34" s="1"/>
  <c r="B3" i="34" s="1"/>
  <c r="E43" i="35"/>
  <c r="F43" i="35" s="1"/>
  <c r="E42" i="35"/>
  <c r="F42" i="35" s="1"/>
  <c r="E36" i="36"/>
  <c r="R37" i="36"/>
  <c r="C26" i="43"/>
  <c r="B2" i="43" s="1"/>
  <c r="C27" i="43"/>
  <c r="Q48" i="15"/>
  <c r="B6" i="76"/>
  <c r="E6" i="76"/>
  <c r="J14" i="67" l="1"/>
  <c r="C13" i="67"/>
  <c r="Q49" i="67"/>
  <c r="J59" i="67"/>
  <c r="J60" i="67" s="1"/>
  <c r="Q48" i="67" s="1"/>
  <c r="C33" i="67"/>
  <c r="C31" i="67" s="1"/>
  <c r="C57" i="67"/>
  <c r="J19" i="67"/>
  <c r="J17" i="67" s="1"/>
  <c r="C36" i="67"/>
  <c r="C23" i="80"/>
  <c r="C29" i="80" s="1"/>
  <c r="C57" i="80" s="1"/>
  <c r="C23" i="15"/>
  <c r="C29" i="15" s="1"/>
  <c r="Q49" i="15" s="1"/>
  <c r="W11" i="21"/>
  <c r="AC11" i="21"/>
  <c r="AB11" i="21"/>
  <c r="U11" i="21"/>
  <c r="AC11" i="79"/>
  <c r="V48" i="79" s="1"/>
  <c r="I48" i="79" s="1"/>
  <c r="W11" i="79"/>
  <c r="AA11" i="21"/>
  <c r="S11" i="21"/>
  <c r="AA11" i="79"/>
  <c r="R48" i="79" s="1"/>
  <c r="S11" i="79"/>
  <c r="U11" i="79"/>
  <c r="AB11" i="79"/>
  <c r="T48" i="79" s="1"/>
  <c r="G48" i="79" s="1"/>
  <c r="C42" i="68"/>
  <c r="C41" i="68" s="1"/>
  <c r="C39" i="11"/>
  <c r="C42" i="11"/>
  <c r="C31" i="69"/>
  <c r="C46" i="68"/>
  <c r="C45" i="68" s="1"/>
  <c r="R27" i="6"/>
  <c r="R6" i="1"/>
  <c r="R16" i="1" s="1"/>
  <c r="C46" i="69"/>
  <c r="C45" i="69" s="1"/>
  <c r="C43" i="69"/>
  <c r="C41" i="69" s="1"/>
  <c r="E41" i="36"/>
  <c r="F41" i="36" s="1"/>
  <c r="E40" i="36"/>
  <c r="F40" i="36" s="1"/>
  <c r="I41" i="36"/>
  <c r="J41" i="36" s="1"/>
  <c r="J68" i="39"/>
  <c r="I70" i="39"/>
  <c r="J58" i="21"/>
  <c r="C37" i="36"/>
  <c r="B2" i="36" s="1"/>
  <c r="B3" i="36" s="1"/>
  <c r="C36" i="36"/>
  <c r="E2" i="76"/>
  <c r="B2" i="76"/>
  <c r="B3" i="43"/>
  <c r="J22" i="67" l="1"/>
  <c r="J13" i="67"/>
  <c r="J23" i="67" s="1"/>
  <c r="C64" i="67"/>
  <c r="C61" i="67"/>
  <c r="C59" i="67" s="1"/>
  <c r="C37" i="67"/>
  <c r="C30" i="67" s="1"/>
  <c r="C39" i="67" s="1"/>
  <c r="C56" i="67"/>
  <c r="C65" i="67" s="1"/>
  <c r="C75" i="67"/>
  <c r="Q70" i="67"/>
  <c r="C13" i="80"/>
  <c r="C75" i="80" s="1"/>
  <c r="C36" i="80"/>
  <c r="J19" i="80"/>
  <c r="J17" i="80" s="1"/>
  <c r="Q49" i="80"/>
  <c r="J14" i="80"/>
  <c r="J13" i="80" s="1"/>
  <c r="J23" i="80" s="1"/>
  <c r="C64" i="80"/>
  <c r="C61" i="80"/>
  <c r="C59" i="80" s="1"/>
  <c r="J19" i="15"/>
  <c r="J17" i="15" s="1"/>
  <c r="C13" i="15"/>
  <c r="C37" i="15" s="1"/>
  <c r="C36" i="15"/>
  <c r="C57" i="15"/>
  <c r="C64" i="15" s="1"/>
  <c r="J14" i="15"/>
  <c r="J13" i="15" s="1"/>
  <c r="J23" i="15" s="1"/>
  <c r="G52" i="79"/>
  <c r="H52" i="79" s="1"/>
  <c r="G53" i="79"/>
  <c r="H53" i="79" s="1"/>
  <c r="E48" i="79"/>
  <c r="I53" i="79" s="1"/>
  <c r="J53" i="79" s="1"/>
  <c r="R49" i="79"/>
  <c r="I52" i="79"/>
  <c r="J52" i="79" s="1"/>
  <c r="C49" i="68"/>
  <c r="C51" i="68" s="1"/>
  <c r="C46" i="11"/>
  <c r="C45" i="11" s="1"/>
  <c r="C43" i="11"/>
  <c r="C41" i="11" s="1"/>
  <c r="C49" i="69"/>
  <c r="C51" i="69" s="1"/>
  <c r="C52" i="69" s="1"/>
  <c r="B2" i="69" s="1"/>
  <c r="B3" i="69" s="1"/>
  <c r="K58" i="21"/>
  <c r="K68" i="39"/>
  <c r="J70" i="39"/>
  <c r="B3" i="76"/>
  <c r="L57" i="15"/>
  <c r="L60" i="15" s="1"/>
  <c r="L46" i="15" s="1"/>
  <c r="L51" i="67"/>
  <c r="C80" i="67" l="1"/>
  <c r="C79" i="67" s="1"/>
  <c r="J16" i="67"/>
  <c r="J25" i="67" s="1"/>
  <c r="L57" i="67"/>
  <c r="L60" i="67" s="1"/>
  <c r="L46" i="67" s="1"/>
  <c r="Q67" i="67"/>
  <c r="Q69" i="67"/>
  <c r="Q68" i="67" s="1"/>
  <c r="C40" i="67"/>
  <c r="C58" i="67"/>
  <c r="C67" i="67" s="1"/>
  <c r="C68" i="67" s="1"/>
  <c r="Q70" i="15"/>
  <c r="C37" i="80"/>
  <c r="C30" i="80" s="1"/>
  <c r="C39" i="80" s="1"/>
  <c r="C80" i="80" s="1"/>
  <c r="C79" i="80" s="1"/>
  <c r="J22" i="80"/>
  <c r="J16" i="80" s="1"/>
  <c r="J25" i="80" s="1"/>
  <c r="Q70" i="80"/>
  <c r="C61" i="15"/>
  <c r="C59" i="15" s="1"/>
  <c r="C56" i="80"/>
  <c r="C65" i="80" s="1"/>
  <c r="C58" i="80" s="1"/>
  <c r="C67" i="80" s="1"/>
  <c r="C68" i="80" s="1"/>
  <c r="C71" i="80" s="1"/>
  <c r="C56" i="15"/>
  <c r="C65" i="15" s="1"/>
  <c r="C75" i="15"/>
  <c r="C30" i="15"/>
  <c r="C39" i="15" s="1"/>
  <c r="C40" i="15" s="1"/>
  <c r="B2" i="15" s="1"/>
  <c r="C49" i="11"/>
  <c r="C51" i="11" s="1"/>
  <c r="C52" i="11" s="1"/>
  <c r="B2" i="11" s="1"/>
  <c r="B3" i="11" s="1"/>
  <c r="J22" i="15"/>
  <c r="J16" i="15" s="1"/>
  <c r="J25" i="15" s="1"/>
  <c r="C49" i="79"/>
  <c r="C48" i="79"/>
  <c r="E53" i="79"/>
  <c r="F53" i="79" s="1"/>
  <c r="E52" i="79"/>
  <c r="F52" i="79" s="1"/>
  <c r="C57" i="69"/>
  <c r="C56" i="69" s="1"/>
  <c r="L68" i="39"/>
  <c r="K70" i="39"/>
  <c r="L58" i="21"/>
  <c r="Q57" i="15"/>
  <c r="Q66" i="15"/>
  <c r="Q57" i="67"/>
  <c r="L51" i="80"/>
  <c r="L51" i="15"/>
  <c r="AO8" i="1"/>
  <c r="D2" i="67" l="1"/>
  <c r="B2" i="67" s="1"/>
  <c r="C71" i="67"/>
  <c r="C45" i="67"/>
  <c r="C46" i="67" s="1"/>
  <c r="Q66" i="67"/>
  <c r="Q56" i="67"/>
  <c r="Q62" i="67" s="1"/>
  <c r="Q65" i="67"/>
  <c r="Q47" i="67"/>
  <c r="Q53" i="67" s="1"/>
  <c r="C43" i="67"/>
  <c r="C83" i="67"/>
  <c r="C82" i="67" s="1"/>
  <c r="C58" i="15"/>
  <c r="C67" i="15" s="1"/>
  <c r="C68" i="15" s="1"/>
  <c r="C71" i="15" s="1"/>
  <c r="Q69" i="80"/>
  <c r="Q68" i="80" s="1"/>
  <c r="Q67" i="80"/>
  <c r="C40" i="80"/>
  <c r="Q47" i="80" s="1"/>
  <c r="Q53" i="80" s="1"/>
  <c r="Q69" i="15"/>
  <c r="Q68" i="15" s="1"/>
  <c r="Q67" i="15"/>
  <c r="C80" i="15"/>
  <c r="C79" i="15" s="1"/>
  <c r="B8" i="70"/>
  <c r="B3" i="15"/>
  <c r="E6" i="12" s="1"/>
  <c r="E8" i="12" s="1"/>
  <c r="Q65" i="15"/>
  <c r="Q75" i="15" s="1"/>
  <c r="Q47" i="15"/>
  <c r="Q53" i="15" s="1"/>
  <c r="C83" i="15"/>
  <c r="C82" i="15" s="1"/>
  <c r="C43" i="15"/>
  <c r="Q56" i="15"/>
  <c r="Q62" i="15" s="1"/>
  <c r="B3" i="79"/>
  <c r="C6" i="12" s="1"/>
  <c r="C8" i="12" s="1"/>
  <c r="B2" i="79"/>
  <c r="C56" i="11"/>
  <c r="C57" i="11" s="1"/>
  <c r="M58" i="21"/>
  <c r="N58" i="21" s="1"/>
  <c r="O58" i="21" s="1"/>
  <c r="M68" i="39"/>
  <c r="L70" i="39"/>
  <c r="B3" i="67" l="1"/>
  <c r="Q75" i="67"/>
  <c r="C46" i="15"/>
  <c r="C46" i="80"/>
  <c r="Q56" i="80"/>
  <c r="Q62" i="80" s="1"/>
  <c r="Q65" i="80"/>
  <c r="Q75" i="80" s="1"/>
  <c r="C83" i="80"/>
  <c r="C82" i="80" s="1"/>
  <c r="B2" i="80"/>
  <c r="F8" i="12" s="1"/>
  <c r="C43" i="80"/>
  <c r="M70" i="39"/>
  <c r="N68" i="39"/>
  <c r="J7" i="21"/>
  <c r="H7" i="21"/>
  <c r="F7" i="21"/>
  <c r="AO9" i="1"/>
  <c r="B9" i="70" l="1"/>
  <c r="B2" i="70" s="1"/>
  <c r="B3" i="70" s="1"/>
  <c r="B3" i="80"/>
  <c r="F6" i="12" s="1"/>
  <c r="S7" i="21"/>
  <c r="AA7" i="21"/>
  <c r="R48" i="21" s="1"/>
  <c r="AC7" i="21"/>
  <c r="V48" i="21" s="1"/>
  <c r="I48" i="21" s="1"/>
  <c r="W7" i="21"/>
  <c r="U7" i="21"/>
  <c r="AB7" i="21"/>
  <c r="T48" i="21" s="1"/>
  <c r="G48" i="21" s="1"/>
  <c r="O68" i="39"/>
  <c r="O70" i="39" s="1"/>
  <c r="N70" i="39"/>
  <c r="F7" i="39" l="1"/>
  <c r="J7" i="39"/>
  <c r="H7" i="39"/>
  <c r="I52" i="21"/>
  <c r="J52" i="21" s="1"/>
  <c r="G52" i="21"/>
  <c r="H52" i="21" s="1"/>
  <c r="G53" i="21"/>
  <c r="H53" i="21" s="1"/>
  <c r="R49" i="21"/>
  <c r="E48" i="21"/>
  <c r="E52" i="21" l="1"/>
  <c r="F52" i="21" s="1"/>
  <c r="E53" i="21"/>
  <c r="F53" i="21" s="1"/>
  <c r="I53" i="21"/>
  <c r="J53" i="21" s="1"/>
  <c r="AB7" i="39"/>
  <c r="T47" i="39" s="1"/>
  <c r="G47" i="39" s="1"/>
  <c r="U7" i="39"/>
  <c r="S7" i="39"/>
  <c r="AA7" i="39"/>
  <c r="R47" i="39" s="1"/>
  <c r="C48" i="21"/>
  <c r="D6" i="12" s="1"/>
  <c r="C49" i="21"/>
  <c r="B2" i="21" s="1"/>
  <c r="B3" i="21" s="1"/>
  <c r="AC7" i="39"/>
  <c r="V47" i="39" s="1"/>
  <c r="I47" i="39" s="1"/>
  <c r="W7" i="39"/>
  <c r="C4" i="12" l="1"/>
  <c r="C23" i="12" s="1"/>
  <c r="D8" i="12"/>
  <c r="E47" i="39"/>
  <c r="R48" i="39"/>
  <c r="I51" i="39"/>
  <c r="J51" i="39" s="1"/>
  <c r="G51" i="39"/>
  <c r="H51" i="39" s="1"/>
  <c r="G52" i="39"/>
  <c r="H52" i="39" s="1"/>
  <c r="C31" i="12" l="1"/>
  <c r="C27" i="12"/>
  <c r="C25" i="12" s="1"/>
  <c r="C30" i="12"/>
  <c r="C28" i="12" s="1"/>
  <c r="E52" i="39"/>
  <c r="F52" i="39" s="1"/>
  <c r="E51" i="39"/>
  <c r="F51" i="39" s="1"/>
  <c r="I52" i="39"/>
  <c r="J52" i="39" s="1"/>
  <c r="C48" i="39"/>
  <c r="C47" i="39"/>
  <c r="C32" i="12" l="1"/>
  <c r="B2" i="12" s="1"/>
  <c r="B61" i="39"/>
  <c r="F61" i="39" s="1"/>
  <c r="B56" i="39"/>
  <c r="F56" i="39" s="1"/>
  <c r="C6" i="68" s="1"/>
  <c r="B59" i="39"/>
  <c r="F59" i="39" s="1"/>
  <c r="B65" i="39"/>
  <c r="F65" i="39" s="1"/>
  <c r="B63" i="39"/>
  <c r="F63" i="39" s="1"/>
  <c r="B60" i="39"/>
  <c r="F60" i="39" s="1"/>
  <c r="B58" i="39"/>
  <c r="F58" i="39" s="1"/>
  <c r="B64" i="39"/>
  <c r="F64" i="39" s="1"/>
  <c r="B57" i="39"/>
  <c r="F57" i="39" s="1"/>
  <c r="B62" i="39"/>
  <c r="F62" i="39" s="1"/>
  <c r="D19" i="9"/>
  <c r="C7" i="68" l="1"/>
  <c r="C5" i="68" s="1"/>
  <c r="D21" i="9"/>
  <c r="D102" i="9"/>
  <c r="B3" i="12"/>
  <c r="F66" i="39"/>
  <c r="B2" i="39" s="1"/>
  <c r="B3" i="39" s="1"/>
  <c r="D20" i="9"/>
  <c r="C23" i="68" l="1"/>
  <c r="C20" i="68"/>
  <c r="C25" i="68" s="1"/>
  <c r="D103" i="9"/>
  <c r="C28" i="68" l="1"/>
  <c r="C27" i="68" s="1"/>
  <c r="C22" i="68"/>
  <c r="C31" i="68" l="1"/>
  <c r="C52" i="68" s="1"/>
  <c r="C57" i="68" s="1"/>
  <c r="C56" i="68" s="1"/>
  <c r="B2" i="68" l="1"/>
  <c r="C19" i="9"/>
  <c r="C102" i="9" l="1"/>
  <c r="C21" i="9"/>
  <c r="D22" i="9"/>
  <c r="G19" i="9"/>
  <c r="B3" i="68"/>
  <c r="G21" i="9"/>
  <c r="C32" i="9"/>
  <c r="D35" i="9"/>
  <c r="C20" i="9"/>
  <c r="D34" i="9"/>
  <c r="G20" i="9" l="1"/>
  <c r="C103" i="9"/>
  <c r="C35" i="9"/>
  <c r="F118" i="9" s="1"/>
  <c r="H118" i="9"/>
  <c r="H101" i="9" l="1"/>
  <c r="C104" i="9"/>
  <c r="H4" i="52"/>
  <c r="D14" i="74"/>
  <c r="I118" i="9"/>
  <c r="H119" i="9"/>
  <c r="H5" i="52" s="1"/>
  <c r="F4" i="52"/>
  <c r="B51" i="72" s="1"/>
  <c r="G118" i="9"/>
  <c r="G4" i="52" s="1"/>
  <c r="B52" i="72" s="1"/>
  <c r="F119" i="9"/>
  <c r="F5" i="52" s="1"/>
  <c r="B53" i="72" s="1"/>
  <c r="C34" i="9"/>
  <c r="D118" i="9" s="1"/>
  <c r="C105" i="9" l="1"/>
  <c r="H102" i="9"/>
  <c r="D7" i="53" s="1"/>
  <c r="B21" i="72" s="1"/>
  <c r="I4" i="52"/>
  <c r="E118" i="9"/>
  <c r="E4" i="52" s="1"/>
  <c r="B48" i="72" s="1"/>
  <c r="D45" i="9"/>
  <c r="M48" i="9"/>
  <c r="H107" i="9"/>
  <c r="D5" i="53"/>
  <c r="D119" i="9"/>
  <c r="D5" i="52" s="1"/>
  <c r="B49" i="72" s="1"/>
  <c r="D4" i="52"/>
  <c r="B47" i="72" s="1"/>
  <c r="F14" i="74"/>
  <c r="B5" i="74"/>
  <c r="E14" i="74"/>
  <c r="D122" i="9" l="1"/>
  <c r="D13" i="53"/>
  <c r="M49" i="9"/>
  <c r="H108" i="9"/>
  <c r="D15" i="53" s="1"/>
  <c r="B31" i="72" s="1"/>
  <c r="C85" i="9"/>
  <c r="C78" i="9"/>
  <c r="C73" i="9" s="1"/>
  <c r="C72" i="9"/>
  <c r="D53" i="9"/>
  <c r="C64" i="9"/>
  <c r="C63" i="9" s="1"/>
  <c r="C67" i="9" s="1"/>
  <c r="C68" i="9" s="1"/>
  <c r="D54" i="9" s="1"/>
  <c r="D55" i="9"/>
  <c r="M53" i="9" s="1"/>
  <c r="D52" i="9"/>
  <c r="C93" i="9"/>
  <c r="C86" i="9" s="1"/>
  <c r="C5" i="74"/>
  <c r="D5" i="74"/>
  <c r="D6" i="53"/>
  <c r="B22" i="72" s="1"/>
  <c r="B20" i="72"/>
  <c r="C79" i="9" l="1"/>
  <c r="C80" i="9" s="1"/>
  <c r="E80" i="9" s="1"/>
  <c r="E81" i="9" s="1"/>
  <c r="C95" i="9"/>
  <c r="C96" i="9" s="1"/>
  <c r="E96" i="9" s="1"/>
  <c r="E97" i="9" s="1"/>
  <c r="L64" i="9"/>
  <c r="M64" i="9" s="1"/>
  <c r="L63" i="9"/>
  <c r="M63" i="9" s="1"/>
  <c r="L67" i="9"/>
  <c r="M67" i="9" s="1"/>
  <c r="L68" i="9"/>
  <c r="M68" i="9" s="1"/>
  <c r="L65" i="9"/>
  <c r="M65" i="9" s="1"/>
  <c r="L66" i="9"/>
  <c r="M66" i="9" s="1"/>
  <c r="G14" i="74"/>
  <c r="B6" i="74" s="1"/>
  <c r="D8" i="52"/>
  <c r="D123" i="9"/>
  <c r="D9" i="52" s="1"/>
  <c r="B30" i="72"/>
  <c r="D14" i="53"/>
  <c r="B32" i="72" s="1"/>
  <c r="C6" i="74" l="1"/>
  <c r="D6" i="74"/>
  <c r="M69" i="9"/>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<sst xmlns="http://schemas.openxmlformats.org/spreadsheetml/2006/main" count="8641" uniqueCount="3355">
  <si>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</si>
  <si>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</si>
  <si>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</si>
  <si>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</si>
  <si>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</si>
  <si>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</si>
  <si>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</si>
  <si>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</si>
  <si>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</si>
  <si>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</si>
  <si>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</si>
  <si>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</si>
  <si>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</si>
  <si>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</si>
  <si>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</si>
  <si>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</si>
  <si>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</si>
  <si>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</si>
  <si>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</si>
  <si>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</si>
  <si>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</si>
  <si>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</si>
  <si>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</si>
  <si>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</si>
  <si>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</si>
  <si>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</si>
  <si>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</si>
  <si>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</si>
  <si>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</si>
  <si>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</si>
  <si>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</si>
  <si>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</si>
  <si>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</si>
  <si>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</si>
  <si>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</si>
  <si>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</si>
  <si>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</si>
  <si>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</si>
  <si>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</si>
  <si>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</si>
  <si>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</si>
  <si>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</si>
  <si>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</si>
  <si>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</si>
  <si>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</si>
  <si>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</si>
  <si>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</si>
  <si>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</si>
  <si>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</si>
  <si>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</si>
  <si>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</si>
  <si>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</si>
  <si>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</si>
  <si>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</si>
  <si>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</si>
  <si>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</si>
  <si>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</si>
  <si>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</si>
  <si>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</si>
  <si>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</si>
  <si>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</si>
  <si>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</si>
  <si>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</si>
  <si>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</si>
  <si>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</si>
  <si>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</si>
  <si>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</si>
  <si>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</si>
  <si>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</si>
  <si>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</si>
  <si>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</si>
  <si>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</si>
  <si>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</si>
  <si>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</si>
  <si>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</si>
  <si>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</si>
  <si>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</si>
  <si>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</si>
  <si>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</si>
  <si>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</si>
  <si>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</si>
  <si>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</si>
  <si>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</si>
  <si>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</si>
  <si>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</si>
  <si>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</si>
  <si>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</si>
  <si>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</si>
  <si>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</si>
  <si>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</si>
  <si>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</si>
  <si>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</si>
  <si>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</si>
  <si>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</si>
  <si>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</si>
  <si>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</si>
  <si>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</si>
  <si>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</si>
  <si>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</si>
  <si>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</si>
  <si>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</si>
  <si>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</si>
  <si>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</si>
  <si>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</si>
  <si>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</si>
  <si>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</si>
  <si>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</si>
  <si>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</si>
  <si>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</si>
  <si>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</si>
  <si>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</si>
  <si>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</si>
  <si>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</si>
  <si>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</si>
  <si>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</si>
  <si>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</si>
  <si>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</si>
  <si>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</si>
  <si>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</si>
  <si>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</si>
  <si>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</si>
  <si>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</si>
  <si>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</si>
  <si>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</si>
  <si>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</si>
  <si>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</si>
  <si>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</si>
  <si>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</si>
  <si>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</si>
  <si>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</si>
  <si>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</si>
  <si>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</si>
  <si>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</si>
  <si>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</si>
  <si>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</si>
  <si>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</si>
  <si>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</si>
  <si>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</si>
  <si>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</si>
  <si>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</si>
  <si>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</si>
  <si>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</si>
  <si>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</si>
  <si>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</si>
  <si>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</si>
  <si>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</si>
  <si>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</si>
  <si>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</si>
  <si>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</si>
  <si>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</si>
  <si>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</si>
  <si>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</si>
  <si>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</si>
  <si>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</si>
  <si>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</si>
  <si>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</si>
  <si>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</si>
  <si>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</si>
  <si>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</si>
  <si>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</si>
  <si>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</si>
  <si>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</si>
  <si>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</si>
  <si>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</si>
  <si>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</si>
  <si>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</si>
  <si>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</si>
  <si>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</si>
  <si>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</si>
  <si>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</si>
  <si>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</si>
  <si>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</si>
  <si>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</si>
  <si>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</si>
  <si>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</si>
  <si>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</si>
  <si>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</si>
  <si>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</si>
  <si>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</si>
  <si>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</si>
  <si>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</si>
  <si>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</si>
  <si>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</si>
  <si>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</si>
  <si>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</si>
  <si>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</si>
  <si>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</si>
  <si>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</si>
  <si>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</si>
  <si>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</si>
  <si>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</si>
  <si>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</si>
  <si>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</si>
  <si>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</si>
  <si>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</si>
  <si>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</si>
  <si>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</si>
  <si>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</si>
  <si>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</si>
  <si>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</si>
  <si>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</si>
  <si>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</si>
  <si>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</si>
  <si>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</si>
  <si>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</si>
  <si>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</si>
  <si>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</si>
  <si>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</si>
  <si>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</si>
  <si>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</si>
  <si>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</si>
  <si>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</si>
  <si>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</si>
  <si>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</si>
  <si>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</si>
  <si>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</si>
  <si>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</si>
  <si>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</si>
  <si>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</si>
  <si>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</si>
  <si>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</si>
  <si>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</si>
  <si>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</si>
  <si>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</si>
  <si>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</si>
  <si>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</si>
  <si>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</si>
  <si>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</si>
  <si>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</si>
  <si>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</si>
  <si>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</si>
  <si>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</si>
  <si>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</si>
  <si>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</si>
  <si>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</si>
  <si>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</si>
  <si>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</si>
  <si>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</si>
  <si>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</si>
  <si>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</si>
  <si>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</si>
  <si>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</si>
  <si>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</si>
  <si>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</si>
  <si>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</si>
  <si>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</si>
  <si>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</si>
  <si>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</si>
  <si>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</si>
  <si>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</si>
  <si>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</si>
  <si>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</si>
  <si>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</si>
  <si>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</si>
  <si>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</si>
  <si>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</si>
  <si>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</si>
  <si>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</si>
  <si>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</si>
  <si>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</si>
  <si>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</si>
  <si>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</si>
  <si>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</si>
  <si>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</si>
  <si>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</si>
  <si>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</si>
  <si>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</si>
  <si>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</si>
  <si>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</si>
  <si>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</si>
  <si>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</si>
  <si>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</si>
  <si>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</si>
  <si>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</si>
  <si>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</si>
  <si>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</si>
  <si>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</si>
  <si>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</si>
  <si>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</si>
  <si>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</si>
  <si>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</si>
  <si>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</si>
  <si>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</si>
  <si>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</si>
  <si>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</si>
  <si>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</si>
  <si>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</si>
  <si>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</si>
  <si>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</si>
  <si>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</si>
  <si>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</si>
  <si>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</si>
  <si>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</si>
  <si>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</si>
  <si>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</si>
  <si>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</si>
  <si>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</si>
  <si>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</si>
  <si>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</si>
  <si>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</si>
  <si>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</si>
  <si>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</si>
  <si>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</si>
  <si>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</si>
  <si>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</si>
  <si>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</si>
  <si>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</si>
  <si>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</si>
  <si>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</si>
  <si>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</si>
  <si>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</si>
  <si>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</si>
  <si>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</si>
  <si>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</si>
  <si>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</si>
  <si>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</si>
  <si>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</si>
  <si>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</si>
  <si>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</si>
  <si>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</si>
  <si>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</si>
  <si>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</si>
  <si>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</si>
  <si>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</si>
  <si>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</si>
  <si>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</si>
  <si>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</si>
  <si>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</si>
  <si>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</si>
  <si>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</si>
  <si>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</si>
  <si>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</si>
  <si>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</si>
  <si>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</si>
  <si>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</si>
  <si>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</si>
  <si>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</si>
  <si>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</si>
  <si>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</si>
  <si>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</si>
  <si>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</si>
  <si>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</si>
  <si>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</si>
  <si>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</si>
  <si>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</si>
  <si>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</si>
  <si>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</si>
  <si>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</si>
  <si>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</si>
  <si>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</si>
  <si>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</si>
  <si>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</si>
  <si>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</si>
  <si>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</si>
  <si>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</si>
  <si>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</si>
  <si>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</si>
  <si>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</si>
  <si>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</si>
  <si>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</si>
  <si>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</si>
  <si>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</si>
  <si>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</si>
  <si>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</si>
  <si>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</si>
  <si>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</si>
  <si>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</si>
  <si>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</si>
  <si>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</si>
  <si>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</si>
  <si>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</si>
  <si>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</si>
  <si>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</si>
  <si>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</si>
  <si>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</si>
  <si>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</si>
  <si>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</si>
  <si>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</si>
  <si>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</si>
  <si>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</si>
  <si>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</si>
  <si>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</si>
  <si>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</si>
  <si>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</si>
  <si>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</si>
  <si>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</si>
  <si>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</si>
  <si>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</si>
  <si>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</si>
  <si>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</si>
  <si>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</si>
  <si>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</si>
  <si>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</si>
  <si>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</si>
  <si>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</si>
  <si>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</si>
  <si>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</si>
  <si>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</si>
  <si>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</si>
  <si>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</si>
  <si>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</si>
  <si>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</si>
  <si>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</si>
  <si>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</si>
  <si>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</si>
  <si>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</si>
  <si>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</si>
  <si>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</si>
  <si>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</si>
  <si>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</si>
  <si>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</si>
  <si>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</si>
  <si>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</si>
  <si>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</si>
  <si>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</si>
  <si>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</si>
  <si>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</si>
  <si>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</si>
  <si>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</si>
  <si>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</si>
  <si>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</si>
  <si>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</si>
  <si>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</si>
  <si>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</si>
  <si>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</si>
  <si>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</si>
  <si>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</si>
  <si>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</si>
  <si>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</si>
  <si>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</si>
  <si>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</si>
  <si>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</si>
  <si>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</si>
  <si>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</si>
  <si>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</si>
  <si>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</si>
  <si>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</si>
  <si>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</si>
  <si>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</si>
  <si>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</si>
  <si>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</si>
  <si>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</si>
  <si>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</si>
  <si>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</si>
  <si>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</si>
  <si>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</si>
  <si>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</si>
  <si>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</si>
  <si>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</si>
  <si>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</si>
  <si>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</si>
  <si>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</si>
  <si>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</si>
  <si>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</si>
  <si>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</si>
  <si>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</si>
  <si>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</si>
  <si>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</si>
  <si>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</si>
  <si>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</si>
  <si>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</si>
  <si>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</si>
  <si>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</si>
  <si>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</si>
  <si>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</si>
  <si>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</si>
  <si>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</si>
  <si>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</si>
  <si>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</si>
  <si>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</si>
  <si>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</si>
  <si>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</si>
  <si>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</si>
  <si>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</si>
  <si>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</si>
  <si>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</si>
  <si>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</si>
  <si>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</si>
  <si>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</si>
  <si>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</si>
  <si>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</si>
  <si>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</si>
  <si>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</si>
  <si>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</si>
  <si>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</si>
  <si>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</si>
  <si>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</si>
  <si>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</si>
  <si>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</si>
  <si>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</si>
  <si>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</si>
  <si>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</si>
  <si>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</si>
  <si>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</si>
  <si>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</si>
  <si>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</si>
  <si>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</si>
  <si>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</si>
  <si>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</si>
  <si>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</si>
  <si>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</si>
  <si>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</si>
  <si>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</si>
  <si>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</si>
  <si>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</si>
  <si>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</si>
  <si>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</si>
  <si>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</si>
  <si>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</si>
  <si>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</si>
  <si>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</si>
  <si>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</si>
  <si>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</si>
  <si>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</si>
  <si>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</si>
  <si>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</si>
  <si>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</si>
  <si>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</si>
  <si>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</si>
  <si>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</si>
  <si>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</si>
  <si>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</si>
  <si>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</si>
  <si>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</si>
  <si>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</si>
  <si>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</si>
  <si>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</si>
  <si>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</si>
  <si>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</si>
  <si>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</si>
  <si>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</si>
  <si>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</si>
  <si>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</si>
  <si>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</si>
  <si>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</si>
  <si>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</si>
  <si>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</si>
  <si>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</si>
  <si>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</si>
  <si>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</si>
  <si>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</si>
  <si>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</si>
  <si>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</si>
  <si>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</si>
  <si>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</si>
  <si>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</si>
  <si>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</si>
  <si>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</si>
  <si>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</si>
  <si>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</si>
  <si>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</si>
  <si>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</si>
  <si>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</si>
  <si>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</si>
  <si>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</si>
  <si>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</si>
  <si>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</si>
  <si>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</si>
  <si>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</si>
  <si>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</si>
  <si>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</si>
  <si>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</si>
  <si>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</si>
  <si>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</si>
  <si>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</si>
  <si>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</si>
  <si>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</si>
  <si>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</si>
  <si>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</si>
  <si>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</si>
  <si>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</si>
  <si>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</si>
  <si>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</si>
  <si>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</si>
  <si>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</si>
  <si>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</si>
  <si>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</si>
  <si>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</si>
  <si>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</si>
  <si>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</si>
  <si>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</si>
  <si>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</si>
  <si>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</si>
  <si>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</si>
  <si>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</si>
  <si>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</si>
  <si>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</si>
  <si>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</si>
  <si>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</si>
  <si>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</si>
  <si>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</si>
  <si>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</si>
  <si>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</si>
  <si>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</si>
  <si>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</si>
  <si>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</si>
  <si>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</si>
  <si>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</si>
  <si>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</si>
  <si>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</si>
  <si>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</si>
  <si>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</si>
  <si>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</si>
  <si>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</si>
  <si>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</si>
  <si>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</si>
  <si>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</si>
  <si>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</si>
  <si>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</si>
  <si>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</si>
  <si>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</si>
  <si>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</si>
  <si>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</si>
  <si>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</si>
  <si>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</si>
  <si>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</si>
  <si>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</si>
  <si>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</si>
  <si>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</si>
  <si>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</si>
  <si>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</si>
  <si>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</si>
  <si>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</si>
  <si>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</si>
  <si>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</si>
  <si>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</si>
  <si>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</si>
  <si>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</si>
  <si>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</si>
  <si>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</si>
  <si>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</si>
  <si>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</si>
  <si>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</si>
  <si>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</si>
  <si>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</si>
  <si>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</si>
  <si>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</si>
  <si>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</si>
  <si>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</si>
  <si>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</si>
  <si>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</si>
  <si>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</si>
  <si>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</si>
  <si>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</si>
  <si>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</si>
  <si>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</si>
  <si>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</si>
  <si>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</si>
  <si>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</si>
  <si>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</si>
  <si>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</si>
  <si>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</si>
  <si>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</si>
  <si>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</si>
  <si>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</si>
  <si>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</si>
  <si>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</si>
  <si>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</si>
  <si>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</si>
  <si>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</si>
  <si>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</si>
  <si>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</si>
  <si>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</si>
  <si>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</si>
  <si>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</si>
  <si>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</si>
  <si>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</si>
  <si>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</si>
  <si>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</si>
  <si>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</si>
  <si>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</si>
  <si>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</si>
  <si>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</si>
  <si>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</si>
  <si>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</si>
  <si>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</si>
  <si>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</si>
  <si>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</si>
  <si>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</si>
  <si>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</si>
  <si>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</si>
  <si>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</si>
  <si>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</si>
  <si>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</si>
  <si>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</si>
  <si>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</si>
  <si>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</si>
  <si>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</si>
  <si>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</si>
  <si>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</si>
  <si>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</si>
  <si>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</si>
  <si>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</si>
  <si>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</si>
  <si>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</si>
  <si>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</si>
  <si>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</si>
  <si>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</si>
  <si>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</si>
  <si>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</si>
  <si>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</si>
  <si>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</si>
  <si>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</si>
  <si>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</si>
  <si>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</si>
  <si>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</si>
  <si>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</si>
  <si>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</si>
  <si>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</si>
  <si>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</si>
  <si>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</si>
  <si>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</si>
  <si>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</si>
  <si>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</si>
  <si>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</si>
  <si>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</si>
  <si>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</si>
  <si>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</si>
  <si>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</si>
  <si>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</si>
  <si>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</si>
  <si>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</si>
  <si>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</si>
  <si>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</si>
  <si>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</si>
  <si>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</si>
  <si>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</si>
  <si>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</si>
  <si>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</si>
  <si>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</si>
  <si>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</si>
  <si>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</si>
  <si>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</si>
  <si>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</si>
  <si>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</si>
  <si>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</si>
  <si>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</si>
  <si>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</si>
  <si>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</si>
  <si>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</si>
  <si>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</si>
  <si>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</si>
  <si>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</si>
  <si>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</si>
  <si>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</si>
  <si>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</si>
  <si>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</si>
  <si>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</si>
  <si>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</si>
  <si>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</si>
  <si>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</si>
  <si>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</si>
  <si>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</si>
  <si>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</si>
  <si>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</si>
  <si>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</si>
  <si>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</si>
  <si>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</si>
  <si>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</si>
  <si>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</si>
  <si>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</si>
  <si>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</si>
  <si>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</si>
  <si>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</si>
  <si>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</si>
  <si>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</si>
  <si>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</si>
  <si>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</si>
  <si>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</si>
  <si>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</si>
  <si>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</si>
  <si>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</si>
  <si>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</si>
  <si>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</si>
  <si>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</si>
  <si>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</si>
  <si>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</si>
  <si>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</si>
  <si>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</si>
  <si>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</si>
  <si>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</si>
  <si>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</si>
  <si>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</si>
  <si>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</si>
  <si>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</si>
  <si>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</si>
  <si>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</si>
  <si>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</si>
  <si>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</si>
  <si>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</si>
  <si>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</si>
  <si>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</si>
  <si>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</si>
  <si>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</si>
  <si>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</si>
  <si>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</si>
  <si>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</si>
  <si>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</si>
  <si>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</si>
  <si>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</si>
  <si>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</si>
  <si>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</si>
  <si>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</si>
  <si>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</si>
  <si>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</si>
  <si>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</si>
  <si>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</si>
  <si>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</si>
  <si>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</si>
  <si>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</si>
  <si>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</si>
  <si>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</si>
  <si>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</si>
  <si>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</si>
  <si>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</si>
  <si>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</si>
  <si>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</si>
  <si>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</si>
  <si>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</si>
  <si>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</si>
  <si>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</si>
  <si>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</si>
  <si>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</si>
  <si>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</si>
  <si>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</si>
  <si>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</si>
  <si>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</si>
  <si>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</si>
  <si>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</si>
  <si>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</si>
  <si>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</si>
  <si>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</si>
  <si>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</si>
  <si>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</si>
  <si>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</si>
  <si>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</si>
  <si>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</si>
  <si>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</si>
  <si>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</si>
  <si>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</si>
  <si>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</si>
  <si>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</si>
  <si>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</si>
  <si>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</si>
  <si>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</si>
  <si>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</si>
  <si>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</si>
  <si>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</si>
  <si>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</si>
  <si>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</si>
  <si>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</si>
  <si>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</si>
  <si>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</si>
  <si>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</si>
  <si>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</si>
  <si>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</si>
  <si>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</si>
  <si>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</si>
  <si>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</si>
  <si>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</si>
  <si>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</si>
  <si>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</si>
  <si>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</si>
  <si>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</si>
  <si>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</si>
  <si>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</si>
  <si>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</si>
  <si>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</si>
  <si>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</si>
  <si>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</si>
  <si>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</si>
  <si>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</si>
  <si>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</si>
  <si>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</si>
  <si>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</si>
  <si>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</si>
  <si>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</si>
  <si>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</si>
  <si>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</si>
  <si>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</si>
  <si>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</si>
  <si>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</si>
  <si>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</si>
  <si>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</si>
  <si>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</si>
  <si>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</si>
  <si>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</si>
  <si>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</si>
  <si>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</si>
  <si>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</si>
  <si>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</si>
  <si>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</si>
  <si>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</si>
  <si>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</si>
  <si>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</si>
  <si>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</si>
  <si>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</si>
  <si>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</si>
  <si>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</si>
  <si>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</si>
  <si>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</si>
  <si>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</si>
  <si>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</si>
  <si>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</si>
  <si>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</si>
  <si>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</si>
  <si>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</si>
  <si>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</si>
  <si>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</si>
  <si>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</si>
  <si>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</si>
  <si>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</si>
  <si>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</si>
  <si>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</si>
  <si>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</si>
  <si>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</si>
  <si>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</si>
  <si>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</si>
  <si>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</si>
  <si>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</si>
  <si>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</si>
  <si>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</si>
  <si>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</si>
  <si>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</si>
  <si>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</si>
  <si>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</si>
  <si>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</si>
  <si>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</si>
  <si>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</si>
  <si>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</si>
  <si>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</si>
  <si>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</si>
  <si>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</si>
  <si>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</si>
  <si>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</si>
  <si>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</si>
  <si>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</si>
  <si>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</si>
  <si>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</si>
  <si>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</si>
  <si>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</si>
  <si>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</si>
  <si>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</si>
  <si>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</si>
  <si>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</si>
  <si>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</si>
  <si>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</si>
  <si>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</si>
  <si>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</si>
  <si>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</si>
  <si>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</si>
  <si>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</si>
  <si>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</si>
  <si>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</si>
  <si>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</si>
  <si>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</si>
  <si>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</si>
  <si>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</si>
  <si>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</si>
  <si>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</si>
  <si>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</si>
  <si>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</si>
  <si>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</si>
  <si>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</si>
  <si>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</si>
  <si>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</si>
  <si>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</si>
  <si>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</si>
  <si>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</si>
  <si>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</si>
  <si>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</si>
  <si>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</si>
  <si>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</si>
  <si>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</si>
  <si>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</si>
  <si>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</si>
  <si>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</si>
  <si>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</si>
  <si>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</si>
  <si>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</si>
  <si>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</si>
  <si>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</si>
  <si>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</si>
  <si>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</si>
  <si>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</si>
  <si>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</si>
  <si>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</si>
  <si>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</si>
  <si>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</si>
  <si>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</si>
  <si>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</si>
  <si>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</si>
  <si>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</si>
  <si>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</si>
  <si>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</si>
  <si>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</si>
  <si>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</si>
  <si>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</si>
  <si>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</si>
  <si>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</si>
  <si>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</si>
  <si>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</si>
  <si>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</si>
  <si>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</si>
  <si>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</si>
  <si>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</si>
  <si>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</si>
  <si>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</si>
  <si>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</si>
  <si>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</si>
  <si>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</si>
  <si>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</si>
  <si>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</si>
  <si>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</si>
  <si>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</si>
  <si>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</si>
  <si>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</si>
  <si>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</si>
  <si>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</si>
  <si>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</si>
  <si>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</si>
  <si>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</si>
  <si>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</si>
  <si>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</si>
  <si>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</si>
  <si>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</si>
  <si>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</si>
  <si>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</si>
  <si>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</si>
  <si>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</si>
  <si>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</si>
  <si>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</si>
  <si>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</si>
  <si>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</si>
  <si>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</si>
  <si>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</si>
  <si>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</si>
  <si>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</si>
  <si>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</si>
  <si>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</si>
  <si>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</si>
  <si>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</si>
  <si>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</si>
  <si>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</si>
  <si>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</si>
  <si>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</si>
  <si>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</si>
  <si>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</si>
  <si>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</si>
  <si>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</si>
  <si>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</si>
  <si>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</si>
  <si>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</si>
  <si>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</si>
  <si>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</si>
  <si>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</si>
  <si>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</si>
  <si>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</si>
  <si>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</si>
  <si>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</si>
  <si>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</si>
  <si>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</si>
  <si>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</si>
  <si>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</si>
  <si>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</si>
  <si>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</si>
  <si>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</si>
  <si>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</si>
  <si>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</si>
  <si>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</si>
  <si>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</si>
  <si>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</si>
  <si>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</si>
  <si>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</si>
  <si>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</si>
  <si>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</si>
  <si>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</si>
  <si>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</si>
  <si>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</si>
  <si>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</si>
  <si>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</si>
  <si>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</si>
  <si>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</si>
  <si>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</si>
  <si>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</si>
  <si>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</si>
  <si>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</si>
  <si>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</si>
  <si>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</si>
  <si>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</si>
  <si>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</si>
  <si>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</si>
  <si>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</si>
  <si>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</si>
  <si>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</si>
  <si>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</si>
  <si>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</si>
  <si>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</si>
  <si>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</si>
  <si>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</si>
  <si>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</si>
  <si>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</si>
  <si>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</si>
  <si>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</si>
  <si>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</si>
  <si>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</si>
  <si>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</si>
  <si>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</si>
  <si>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</si>
  <si>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</si>
  <si>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</si>
  <si>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</si>
  <si>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</si>
  <si>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</si>
  <si>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</si>
  <si>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</si>
  <si>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</si>
  <si>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</si>
  <si>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</si>
  <si>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</si>
  <si>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</si>
  <si>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</si>
  <si>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</si>
  <si>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</si>
  <si>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</si>
  <si>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</si>
  <si>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</si>
  <si>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</si>
  <si>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</si>
  <si>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</si>
  <si>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</si>
  <si>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</si>
  <si>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</si>
  <si>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</si>
  <si>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</si>
  <si>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</si>
  <si>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</si>
  <si>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</si>
  <si>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</si>
  <si>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</si>
  <si>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</si>
  <si>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</si>
  <si>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</si>
  <si>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</si>
  <si>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</si>
  <si>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</si>
  <si>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</si>
  <si>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</si>
  <si>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</si>
  <si>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</si>
  <si>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</si>
  <si>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</si>
  <si>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</si>
  <si>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</si>
  <si>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</si>
  <si>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</si>
  <si>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</si>
  <si>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</si>
  <si>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</si>
  <si>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</si>
  <si>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</si>
  <si>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</si>
  <si>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</si>
  <si>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</si>
  <si>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</si>
  <si>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</si>
  <si>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</si>
  <si>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</si>
  <si>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</si>
  <si>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</si>
  <si>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</si>
  <si>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</si>
  <si>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</si>
  <si>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</si>
  <si>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</si>
  <si>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</si>
  <si>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</si>
  <si>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</si>
  <si>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</si>
  <si>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</si>
  <si>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</si>
  <si>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</si>
  <si>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</si>
  <si>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</si>
  <si>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</si>
  <si>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</si>
  <si>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</si>
  <si>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</si>
  <si>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</si>
  <si>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</si>
  <si>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</si>
  <si>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</si>
  <si>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</si>
  <si>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</si>
  <si>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</si>
  <si>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</si>
  <si>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</si>
  <si>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</si>
  <si>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</si>
  <si>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</si>
  <si>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</si>
  <si>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</si>
  <si>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</si>
  <si>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</si>
  <si>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</si>
  <si>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</si>
  <si>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</si>
  <si>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</si>
  <si>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</si>
  <si>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</si>
  <si>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</si>
  <si>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</si>
  <si>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</si>
  <si>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</si>
  <si>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</si>
  <si>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</si>
  <si>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</si>
  <si>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</si>
  <si>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</si>
  <si>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</si>
  <si>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</si>
  <si>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</si>
  <si>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</si>
  <si>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</si>
  <si>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</si>
  <si>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</si>
  <si>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</si>
  <si>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</si>
  <si>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</si>
  <si>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</si>
  <si>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</si>
  <si>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</si>
  <si>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</si>
  <si>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</si>
  <si>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</si>
  <si>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</si>
  <si>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</si>
  <si>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</si>
  <si>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</si>
  <si>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</si>
  <si>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</si>
  <si>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</si>
  <si>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</si>
  <si>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</si>
  <si>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</si>
  <si>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</si>
  <si>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</si>
  <si>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</si>
  <si>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</si>
  <si>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</si>
  <si>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</si>
  <si>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</si>
  <si>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</si>
  <si>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</si>
  <si>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</si>
  <si>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</si>
  <si>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</si>
  <si>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</si>
  <si>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</si>
  <si>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</si>
  <si>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</si>
  <si>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</si>
  <si>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</si>
  <si>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</si>
  <si>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</si>
  <si>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</si>
  <si>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</si>
  <si>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</si>
  <si>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</si>
  <si>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</si>
  <si>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</si>
  <si>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</si>
  <si>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</si>
  <si>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</si>
  <si>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</si>
  <si>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</si>
  <si>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</si>
  <si>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</si>
  <si>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</si>
  <si>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</si>
  <si>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</si>
  <si>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</si>
  <si>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</si>
  <si>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</si>
  <si>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</si>
  <si>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</si>
  <si>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</si>
  <si>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</si>
  <si>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</si>
  <si>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</si>
  <si>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</si>
  <si>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</si>
  <si>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</si>
  <si>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</si>
  <si>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</si>
  <si>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</si>
  <si>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</si>
  <si>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</si>
  <si>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</si>
  <si>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</si>
  <si>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</si>
  <si>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</si>
  <si>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</si>
  <si>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</si>
  <si>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</si>
  <si>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</si>
  <si>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</si>
  <si>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</si>
  <si>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</si>
  <si>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</si>
  <si>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</si>
  <si>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</si>
  <si>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</si>
  <si>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</si>
  <si>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</si>
  <si>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</si>
  <si>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</si>
  <si>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</si>
  <si>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</si>
  <si>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</si>
  <si>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</si>
  <si>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</si>
  <si>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</si>
  <si>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</si>
  <si>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</si>
  <si>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</si>
  <si>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</si>
  <si>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</si>
  <si>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</si>
  <si>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</si>
  <si>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</si>
  <si>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</si>
  <si>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</si>
  <si>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</si>
  <si>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</si>
  <si>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</si>
  <si>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</si>
  <si>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</si>
  <si>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</si>
  <si>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</si>
  <si>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</si>
  <si>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</si>
  <si>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</si>
  <si>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</si>
  <si>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</si>
  <si>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</si>
  <si>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</si>
  <si>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</si>
  <si>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</si>
  <si>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</si>
  <si>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</si>
  <si>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</si>
  <si>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</si>
  <si>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</si>
  <si>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</si>
  <si>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</si>
  <si>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</si>
  <si>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</si>
  <si>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</si>
  <si>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</si>
  <si>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</si>
  <si>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</si>
  <si>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</si>
  <si>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</si>
  <si>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</si>
  <si>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</si>
  <si>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</si>
  <si>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</si>
  <si>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</si>
  <si>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</si>
  <si>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</si>
  <si>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</si>
  <si>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</si>
  <si>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</si>
  <si>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</si>
  <si>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</si>
  <si>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</si>
  <si>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</si>
  <si>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</si>
  <si>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</si>
  <si>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</si>
  <si>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</si>
  <si>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</si>
  <si>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</si>
  <si>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</si>
  <si>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</si>
  <si>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</si>
  <si>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</si>
  <si>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</si>
  <si>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</si>
  <si>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</si>
  <si>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</si>
  <si>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</si>
  <si>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</si>
  <si>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</si>
  <si>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</si>
  <si>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</si>
  <si>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</si>
  <si>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</si>
  <si>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</si>
  <si>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</si>
  <si>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</si>
  <si>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</si>
  <si>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</si>
  <si>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</si>
  <si>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</si>
  <si>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</si>
  <si>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</si>
  <si>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</si>
  <si>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</si>
  <si>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</si>
  <si>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</si>
  <si>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</si>
  <si>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</si>
  <si>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</si>
  <si>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</si>
  <si>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</si>
  <si>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</si>
  <si>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</si>
  <si>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</si>
  <si>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</si>
  <si>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</si>
  <si>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</si>
  <si>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</si>
  <si>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</si>
  <si>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</si>
  <si>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</si>
  <si>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</si>
  <si>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</si>
  <si>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</si>
  <si>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</si>
  <si>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</si>
  <si>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</si>
  <si>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</si>
  <si>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</si>
  <si>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</si>
  <si>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</si>
  <si>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</si>
  <si>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</si>
  <si>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</si>
  <si>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</si>
  <si>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</si>
  <si>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</si>
  <si>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</si>
  <si>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</si>
  <si>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</si>
  <si>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</si>
  <si>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</si>
  <si>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</si>
  <si>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</si>
  <si>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</si>
  <si>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</si>
  <si>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</si>
  <si>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</si>
  <si>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</si>
  <si>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</si>
  <si>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</si>
  <si>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</si>
  <si>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</si>
  <si>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</si>
  <si>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</si>
  <si>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</si>
  <si>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</si>
  <si>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</si>
  <si>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</si>
  <si>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</si>
  <si>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</si>
  <si>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</si>
  <si>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</si>
  <si>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</si>
  <si>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</si>
  <si>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</si>
  <si>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</si>
  <si>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</si>
  <si>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</si>
  <si>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</si>
  <si>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</si>
  <si>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</si>
  <si>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</si>
  <si>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</si>
  <si>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</si>
  <si>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</si>
  <si>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</si>
  <si>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</si>
  <si>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</si>
  <si>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</si>
  <si>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</si>
  <si>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</si>
  <si>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</si>
  <si>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</si>
  <si>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</si>
  <si>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</si>
  <si>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</si>
  <si>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</si>
  <si>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</si>
  <si>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</si>
  <si>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</si>
  <si>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</si>
  <si>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</si>
  <si>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</si>
  <si>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</si>
  <si>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</si>
  <si>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</si>
  <si>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</si>
  <si>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</si>
  <si>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</si>
  <si>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</si>
  <si>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</si>
  <si>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</si>
  <si>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</si>
  <si>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</si>
  <si>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</si>
  <si>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</si>
  <si>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</si>
  <si>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</si>
  <si>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</si>
  <si>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</si>
  <si>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</si>
  <si>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</si>
  <si>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</si>
  <si>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</si>
  <si>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</si>
  <si>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</si>
  <si>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</si>
  <si>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</si>
  <si>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</si>
  <si>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</si>
  <si>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</si>
  <si>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</si>
  <si>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</si>
  <si>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</si>
  <si>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</si>
  <si>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</si>
  <si>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</si>
  <si>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</si>
  <si>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</si>
  <si>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</si>
  <si>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</si>
  <si>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</si>
  <si>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</si>
  <si>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</si>
  <si>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</si>
  <si>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</si>
  <si>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</si>
  <si>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</si>
  <si>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</si>
  <si>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</si>
  <si>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</si>
  <si>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</si>
  <si>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</si>
  <si>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</si>
  <si>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</si>
  <si>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</si>
  <si>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</si>
  <si>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</si>
  <si>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</si>
  <si>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</si>
  <si>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</si>
  <si>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</si>
  <si>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</si>
  <si>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</si>
  <si>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</si>
  <si>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</si>
  <si>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</si>
  <si>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</si>
  <si>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</si>
  <si>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</si>
  <si>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</si>
  <si>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</si>
  <si>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</si>
  <si>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</si>
  <si>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</si>
  <si>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</si>
  <si>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</si>
  <si>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</si>
  <si>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</si>
  <si>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</si>
  <si>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</si>
  <si>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</si>
  <si>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</si>
  <si>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</si>
  <si>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</si>
  <si>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</si>
  <si>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</si>
  <si>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</si>
  <si>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</si>
  <si>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</si>
  <si>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</si>
  <si>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</si>
  <si>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</si>
  <si>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</si>
  <si>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</si>
  <si>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</si>
  <si>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</si>
  <si>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</si>
  <si>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</si>
  <si>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</si>
  <si>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</si>
  <si>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</si>
  <si>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</si>
  <si>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</si>
  <si>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</si>
  <si>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</si>
  <si>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</si>
  <si>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</si>
  <si>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</si>
  <si>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</si>
  <si>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</si>
  <si>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</si>
  <si>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</si>
  <si>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</si>
  <si>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</si>
  <si>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</si>
  <si>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</si>
  <si>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</si>
  <si>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</si>
  <si>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</si>
  <si>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</si>
  <si>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</si>
  <si>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</si>
  <si>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</si>
  <si>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</si>
  <si>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</si>
  <si>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</si>
  <si>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</si>
  <si>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</si>
  <si>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</si>
  <si>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</si>
  <si>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</si>
  <si>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</si>
  <si>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</si>
  <si>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</si>
  <si>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</si>
  <si>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</si>
  <si>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</si>
  <si>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</si>
  <si>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</si>
  <si>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</si>
  <si>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</si>
  <si>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</si>
  <si>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</si>
  <si>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</si>
  <si>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</si>
  <si>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</si>
  <si>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</si>
  <si>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</si>
  <si>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</si>
  <si>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</si>
  <si>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</si>
  <si>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</si>
  <si>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</si>
  <si>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</si>
  <si>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</si>
  <si>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</si>
  <si>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</si>
  <si>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</si>
  <si>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</si>
  <si>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</si>
  <si>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</si>
  <si>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</si>
  <si>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</si>
  <si>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</si>
  <si>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</si>
  <si>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</si>
  <si>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</si>
  <si>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</si>
  <si>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</si>
  <si>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</si>
  <si>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</si>
  <si>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</si>
  <si>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</si>
  <si>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</si>
  <si>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</si>
  <si>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</si>
  <si>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</si>
  <si>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</si>
  <si>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</si>
  <si>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</si>
  <si>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</si>
  <si>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</si>
  <si>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</si>
  <si>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</si>
  <si>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</si>
  <si>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</si>
  <si>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</si>
  <si>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</si>
  <si>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</si>
  <si>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</si>
  <si>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</si>
  <si>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</si>
  <si>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</si>
  <si>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</si>
  <si>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</si>
  <si>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</si>
  <si>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</si>
  <si>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</si>
  <si>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</si>
  <si>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</si>
  <si>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</si>
  <si>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</si>
  <si>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</si>
  <si>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</si>
  <si>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</si>
  <si>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</si>
  <si>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</si>
  <si>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</si>
  <si>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</si>
  <si>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</si>
  <si>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</si>
  <si>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</si>
  <si>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</si>
  <si>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</si>
  <si>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</si>
  <si>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</si>
  <si>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</si>
  <si>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</si>
  <si>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</si>
  <si>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</si>
  <si>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</si>
  <si>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</si>
  <si>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</si>
  <si>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</si>
  <si>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</si>
  <si>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</si>
  <si>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</si>
  <si>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</si>
  <si>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</si>
  <si>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</si>
  <si>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</si>
  <si>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</si>
  <si>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</si>
  <si>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</si>
  <si>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</si>
  <si>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</si>
  <si>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</si>
  <si>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</si>
  <si>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</si>
  <si>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</si>
  <si>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</si>
  <si>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</si>
  <si>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</si>
  <si>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</si>
  <si>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</si>
  <si>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</si>
  <si>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</si>
  <si>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</si>
  <si>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</si>
  <si>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</si>
  <si>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</si>
  <si>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</si>
  <si>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</si>
  <si>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</si>
  <si>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</si>
  <si>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</si>
  <si>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</si>
  <si>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</si>
  <si>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</si>
  <si>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</si>
  <si>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</si>
  <si>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</si>
  <si>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</si>
  <si>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</si>
  <si>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</si>
  <si>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</si>
  <si>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</si>
  <si>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</si>
  <si>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</si>
  <si>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</si>
  <si>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</si>
  <si>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</si>
  <si>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</si>
  <si>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</si>
  <si>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</si>
  <si>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</si>
  <si>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</si>
  <si>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</si>
  <si>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</si>
  <si>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</si>
  <si>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</si>
  <si>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</si>
  <si>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</si>
  <si>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</si>
  <si>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</si>
  <si>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</si>
  <si>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</si>
  <si>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</si>
  <si>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</si>
  <si>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</si>
  <si>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</si>
  <si>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</si>
  <si>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</si>
  <si>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</si>
  <si>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</si>
  <si>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</si>
  <si>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</si>
  <si>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</si>
  <si>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</si>
  <si>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</si>
  <si>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</si>
  <si>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</si>
  <si>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</si>
  <si>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</si>
  <si>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</si>
  <si>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</si>
  <si>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</si>
  <si>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</si>
  <si>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</si>
  <si>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</si>
  <si>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</si>
  <si>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</si>
  <si>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</si>
  <si>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</si>
  <si>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</si>
  <si>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</si>
  <si>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</si>
  <si>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</si>
  <si>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</si>
  <si>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</si>
  <si>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</si>
  <si>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</si>
  <si>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</si>
  <si>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</si>
  <si>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</si>
  <si>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</si>
  <si>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</si>
  <si>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</si>
  <si>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</si>
  <si>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</si>
  <si>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</si>
  <si>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</si>
  <si>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</si>
  <si>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</si>
  <si>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</si>
  <si>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</si>
  <si>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</si>
  <si>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</si>
  <si>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</si>
  <si>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</si>
  <si>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</si>
  <si>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</si>
  <si>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</si>
  <si>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</si>
  <si>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</si>
  <si>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</si>
  <si>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</si>
  <si>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</si>
  <si>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</si>
  <si>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</si>
  <si>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</si>
  <si>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</si>
  <si>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</si>
  <si>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</si>
  <si>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</si>
  <si>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</si>
  <si>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</si>
  <si>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</si>
  <si>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</si>
  <si>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</si>
  <si>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</si>
  <si>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</si>
  <si>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</si>
  <si>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</si>
  <si>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</si>
  <si>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</si>
  <si>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</si>
  <si>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</si>
  <si>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</si>
  <si>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</si>
  <si>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</si>
  <si>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</si>
  <si>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</si>
  <si>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</si>
  <si>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</si>
  <si>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</si>
  <si>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</si>
  <si>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</si>
  <si>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</si>
  <si>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</si>
  <si>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</si>
  <si>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</si>
  <si>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</si>
  <si>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</si>
  <si>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</si>
  <si>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</si>
  <si>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</si>
  <si>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</si>
  <si>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</si>
  <si>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</si>
  <si>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</si>
  <si>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</si>
  <si>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</si>
  <si>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</si>
  <si>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</si>
  <si>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</si>
  <si>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</si>
  <si>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</si>
  <si>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</si>
  <si>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</si>
  <si>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</si>
  <si>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</si>
  <si>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</si>
  <si>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</si>
  <si>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</si>
  <si>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</si>
  <si>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</si>
  <si>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</si>
  <si>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</si>
  <si>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</si>
  <si>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</si>
  <si>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</si>
  <si>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</si>
  <si>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</si>
  <si>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</si>
  <si>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</si>
  <si>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</si>
  <si>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</si>
  <si>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</si>
  <si>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</si>
  <si>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</si>
  <si>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</si>
  <si>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</si>
  <si>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</si>
  <si>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</si>
  <si>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</si>
  <si>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</si>
  <si>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</si>
  <si>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</si>
  <si>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</si>
  <si>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</si>
  <si>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</si>
  <si>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</si>
  <si>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</si>
  <si>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</si>
  <si>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</si>
  <si>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</si>
  <si>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</si>
  <si>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</si>
  <si>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</si>
  <si>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</si>
  <si>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</si>
  <si>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</si>
  <si>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</si>
  <si>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</si>
  <si>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</si>
  <si>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</si>
  <si>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</si>
  <si>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</si>
  <si>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</si>
  <si>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</si>
  <si>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</si>
  <si>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</si>
  <si>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</si>
  <si>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</si>
  <si>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</si>
  <si>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</si>
  <si>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</si>
  <si>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</si>
  <si>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</si>
  <si>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</si>
  <si>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</si>
  <si>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</si>
  <si>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</si>
  <si>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</si>
  <si>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</si>
  <si>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</si>
  <si>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</si>
  <si>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</si>
  <si>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</si>
  <si>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</si>
  <si>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</si>
  <si>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</si>
  <si>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</si>
  <si>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</si>
  <si>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</si>
  <si>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</si>
  <si>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</si>
  <si>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</si>
  <si>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</si>
  <si>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</si>
  <si>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</si>
  <si>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</si>
  <si>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</si>
  <si>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</si>
  <si>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</si>
  <si>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</si>
  <si>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</si>
  <si>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</si>
  <si>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</si>
  <si>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</si>
  <si>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</si>
  <si>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</si>
  <si>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</si>
  <si>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</si>
  <si>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</si>
  <si>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</si>
  <si>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</si>
  <si>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</si>
  <si>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</si>
  <si>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</si>
  <si>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</si>
  <si>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</si>
  <si>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</si>
  <si>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</si>
  <si>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</si>
  <si>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</si>
  <si>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</si>
  <si>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</si>
  <si>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</si>
  <si>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</si>
  <si>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</si>
  <si>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</si>
  <si>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</si>
  <si>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</si>
  <si>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</si>
  <si>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</si>
  <si>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</si>
  <si>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</si>
  <si>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</si>
  <si>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</si>
  <si>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</si>
  <si>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</si>
  <si>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</si>
  <si>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</si>
  <si>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</si>
  <si>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</si>
  <si>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</si>
  <si>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</si>
  <si>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</si>
  <si>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</si>
  <si>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</si>
  <si>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</si>
  <si>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</si>
  <si>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</si>
  <si>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</si>
  <si>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</si>
  <si>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</si>
  <si>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</si>
  <si>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</si>
  <si>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</si>
  <si>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</si>
  <si>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</si>
  <si>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</si>
  <si>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</si>
  <si>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</si>
  <si>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</si>
  <si>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</si>
  <si>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</si>
  <si>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</si>
  <si>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</si>
  <si>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</si>
  <si>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</si>
  <si>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</si>
  <si>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</si>
  <si>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</si>
  <si>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</si>
  <si>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</si>
  <si>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</si>
  <si>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</si>
  <si>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</si>
  <si>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</si>
  <si>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</si>
  <si>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</si>
  <si>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</si>
  <si>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</si>
  <si>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</si>
  <si>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</si>
  <si>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</si>
  <si>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</si>
  <si>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</si>
  <si>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</si>
  <si>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</si>
  <si>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</si>
  <si>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</si>
  <si>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</si>
  <si>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</si>
  <si>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</si>
  <si>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</si>
  <si>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</si>
  <si>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</si>
  <si>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</si>
  <si>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</si>
  <si>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</si>
  <si>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</si>
  <si>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</si>
  <si>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</si>
  <si>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</si>
  <si>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</si>
  <si>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</si>
  <si>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</si>
  <si>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</si>
  <si>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</si>
  <si>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</si>
  <si>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</si>
  <si>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</si>
  <si>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</si>
  <si>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</si>
  <si>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</si>
  <si>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</si>
  <si>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</si>
  <si>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</si>
  <si>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</si>
  <si>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</si>
  <si>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</si>
  <si>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</si>
  <si>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</si>
  <si>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</si>
  <si>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</si>
  <si>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</si>
  <si>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</si>
  <si>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</si>
  <si>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</si>
  <si>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</si>
  <si>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</si>
  <si>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</si>
  <si>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</si>
  <si>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</si>
  <si>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</si>
  <si>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</si>
  <si>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</si>
  <si>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</si>
  <si>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</si>
  <si>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</si>
  <si>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</si>
  <si>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</si>
  <si>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</si>
  <si>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</si>
  <si>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</si>
  <si>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</si>
  <si>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</si>
  <si>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</si>
  <si>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</si>
  <si>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</si>
  <si>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</si>
  <si>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</si>
  <si>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</si>
  <si>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</si>
  <si>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</si>
  <si>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</si>
  <si>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</si>
  <si>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</si>
  <si>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</si>
  <si>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</si>
  <si>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</si>
  <si>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</si>
  <si>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</si>
  <si>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</si>
  <si>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</si>
  <si>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</si>
  <si>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</si>
  <si>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</si>
  <si>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</si>
  <si>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</si>
  <si>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</si>
  <si>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</si>
  <si>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</si>
  <si>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</si>
  <si>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</si>
  <si>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</si>
  <si>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</si>
  <si>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</si>
  <si>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</si>
  <si>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</si>
  <si>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</si>
  <si>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</si>
  <si>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</si>
  <si>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</si>
  <si>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</si>
  <si>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</si>
  <si>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</si>
  <si>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</si>
  <si>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</si>
  <si>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</si>
  <si>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</si>
  <si>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</si>
  <si>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</si>
  <si>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</si>
  <si>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</si>
  <si>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</si>
  <si>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</si>
  <si>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</si>
  <si>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</si>
  <si>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</si>
  <si>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</si>
  <si>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</si>
  <si>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</si>
  <si>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</si>
  <si>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</si>
  <si>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</si>
  <si>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</si>
  <si>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</si>
  <si>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</si>
  <si>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</si>
  <si>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</si>
  <si>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</si>
  <si>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</si>
  <si>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</si>
  <si>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</si>
  <si>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</si>
  <si>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</si>
  <si>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</si>
  <si>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</si>
  <si>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</si>
  <si>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</si>
  <si>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</si>
  <si>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</si>
  <si>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</si>
  <si>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</si>
  <si>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</si>
  <si>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</si>
  <si>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</si>
  <si>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</si>
  <si>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</si>
  <si>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</si>
  <si>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</si>
  <si>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</si>
  <si>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</si>
  <si>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</si>
  <si>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</si>
  <si>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</si>
  <si>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</si>
  <si>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</si>
  <si>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</si>
  <si>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</si>
  <si>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</si>
  <si>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</si>
  <si>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</si>
  <si>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</si>
  <si>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</si>
  <si>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</si>
  <si>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</si>
  <si>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</si>
  <si>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</si>
  <si>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</si>
  <si>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</si>
  <si>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</si>
  <si>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</si>
  <si>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</si>
  <si>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</si>
  <si>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</si>
  <si>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</si>
  <si>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</si>
  <si>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</si>
  <si>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</si>
  <si>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</si>
  <si>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</si>
  <si>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</si>
  <si>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</si>
  <si>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</si>
  <si>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</si>
  <si>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</si>
  <si>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</si>
  <si>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</si>
  <si>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</si>
  <si>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</si>
  <si>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</si>
  <si>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</si>
  <si>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</si>
  <si>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</si>
  <si>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</si>
  <si>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</si>
  <si>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</si>
  <si>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</si>
  <si>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</si>
  <si>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</si>
  <si>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</si>
  <si>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</si>
  <si>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</si>
  <si>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</si>
  <si>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</si>
  <si>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</si>
  <si>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</si>
  <si>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</si>
  <si>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</si>
  <si>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</si>
  <si>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</si>
  <si>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</si>
  <si>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</si>
  <si>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</si>
  <si>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</si>
  <si>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</si>
  <si>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</si>
  <si>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</si>
  <si>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</si>
  <si>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</si>
  <si>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</si>
  <si>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</si>
  <si>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</si>
  <si>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</si>
  <si>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</si>
  <si>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</si>
  <si>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</si>
  <si>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</si>
  <si>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</si>
  <si>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</si>
  <si>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</si>
  <si>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</si>
  <si>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</si>
  <si>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</si>
  <si>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</si>
  <si>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</si>
  <si>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</si>
  <si>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</si>
  <si>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</si>
  <si>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</si>
  <si>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</si>
  <si>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</si>
  <si>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</si>
  <si>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</si>
  <si>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</si>
  <si>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</si>
  <si>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</si>
  <si>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</si>
  <si>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</si>
  <si>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</si>
  <si>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</si>
  <si>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</si>
  <si>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</si>
  <si>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</si>
  <si>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</si>
  <si>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</si>
  <si>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</si>
  <si>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</si>
  <si>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</si>
  <si>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</si>
  <si>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</si>
  <si>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</si>
  <si>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</si>
  <si>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</si>
  <si>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</si>
  <si>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</si>
  <si>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</si>
  <si>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</si>
  <si>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</si>
  <si>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</si>
  <si>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</si>
  <si>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</si>
  <si>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</si>
  <si>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</si>
  <si>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</si>
  <si>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</si>
  <si>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</si>
  <si>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</si>
  <si>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</si>
  <si>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</si>
  <si>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</si>
  <si>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</si>
  <si>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</si>
  <si>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</si>
  <si>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</si>
  <si>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</si>
  <si>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</si>
  <si>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</si>
  <si>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</si>
  <si>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</si>
  <si>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</si>
  <si>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</si>
  <si>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</si>
  <si>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</si>
  <si>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</si>
  <si>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</si>
  <si>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</si>
  <si>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</si>
  <si>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</si>
  <si>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</si>
  <si>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</si>
  <si>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</si>
  <si>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</si>
  <si>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</si>
  <si>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</si>
  <si>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</si>
  <si>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</si>
  <si>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</si>
  <si>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</si>
  <si>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</si>
  <si>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</si>
  <si>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</si>
  <si>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</si>
  <si>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</si>
  <si>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</si>
  <si>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</si>
  <si>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</si>
  <si>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</si>
  <si>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</si>
  <si>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</si>
  <si>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</si>
  <si>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</si>
  <si>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</si>
  <si>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</si>
  <si>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</si>
  <si>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</si>
  <si>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</si>
  <si>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</si>
  <si>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</si>
  <si>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</si>
  <si>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</si>
  <si>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</si>
  <si>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</si>
  <si>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</si>
  <si>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</si>
  <si>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</si>
  <si>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</si>
  <si>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</si>
  <si>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</si>
  <si>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</si>
  <si>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</si>
  <si>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</si>
  <si>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</si>
  <si>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</si>
  <si>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</si>
  <si>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</si>
  <si>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</si>
  <si>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</si>
  <si>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</si>
  <si>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</si>
  <si>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</si>
  <si>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</si>
  <si>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</si>
  <si>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</si>
  <si>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</si>
  <si>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</si>
  <si>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</si>
  <si>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</si>
  <si>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</si>
  <si>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</si>
  <si>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</si>
  <si>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</si>
  <si>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</si>
  <si>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</si>
  <si>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</si>
  <si>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</si>
  <si>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</si>
  <si>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</si>
  <si>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</si>
  <si>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</si>
  <si>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</si>
  <si>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</si>
  <si>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</si>
  <si>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</si>
  <si>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</si>
  <si>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</si>
  <si>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</si>
  <si>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</si>
  <si>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</si>
  <si>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</si>
  <si>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</si>
  <si>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</si>
  <si>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</si>
  <si>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</si>
  <si>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</si>
  <si>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</si>
  <si>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</si>
  <si>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</si>
  <si>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</si>
  <si>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</si>
  <si>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</si>
  <si>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</si>
  <si>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</si>
  <si>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</si>
  <si>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</si>
  <si>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</si>
  <si>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</si>
  <si>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</si>
  <si>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</si>
  <si>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</si>
  <si>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</si>
  <si>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</si>
  <si>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</si>
  <si>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</si>
  <si>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</si>
  <si>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</si>
  <si>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</si>
  <si>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</si>
  <si>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</si>
  <si>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</si>
  <si>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</si>
  <si>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</si>
  <si>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</si>
  <si>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</si>
  <si>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</si>
  <si>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</si>
  <si>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</si>
  <si>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</si>
  <si>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</si>
  <si>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</si>
  <si>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</si>
  <si>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</si>
  <si>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</si>
  <si>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</si>
  <si>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</si>
  <si>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</si>
  <si>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</si>
  <si>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</si>
  <si>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</si>
  <si>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</si>
  <si>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</si>
  <si>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</si>
  <si>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</si>
  <si>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</si>
  <si>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</si>
  <si>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</si>
  <si>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</si>
  <si>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</si>
  <si>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</si>
  <si>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</si>
  <si>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</si>
  <si>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</si>
  <si>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</si>
  <si>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</si>
  <si>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</si>
  <si>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</si>
  <si>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</si>
  <si>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</si>
  <si>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</si>
  <si>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</si>
  <si>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</si>
  <si>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</si>
  <si>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</si>
  <si>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</si>
  <si>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</si>
  <si>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</si>
  <si>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</si>
  <si>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</si>
  <si>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</si>
  <si>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</si>
  <si>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</si>
  <si>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</si>
  <si>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</si>
  <si>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</si>
  <si>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</si>
  <si>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</si>
  <si>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</si>
  <si>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</si>
  <si>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</si>
  <si>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</si>
  <si>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</si>
  <si>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</si>
  <si>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</si>
  <si>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</si>
  <si>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</si>
  <si>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</si>
  <si>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</si>
  <si>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</si>
  <si>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</si>
  <si>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</si>
  <si>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</si>
  <si>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</si>
  <si>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</si>
  <si>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</si>
  <si>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</si>
  <si>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</si>
  <si>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</si>
  <si>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</si>
  <si>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</si>
  <si>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</si>
  <si>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</si>
  <si>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</si>
  <si>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</si>
  <si>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</si>
  <si>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</si>
  <si>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</si>
  <si>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</si>
  <si>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</si>
  <si>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</si>
  <si>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</si>
  <si>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</si>
  <si>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</si>
  <si>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</si>
  <si>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</si>
  <si>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</si>
  <si>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</si>
  <si>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</si>
  <si>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</si>
  <si>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</si>
  <si>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</si>
  <si>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</si>
  <si>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</si>
  <si>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</si>
  <si>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</si>
  <si>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</si>
  <si>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</si>
  <si>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</si>
  <si>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</si>
  <si>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</si>
  <si>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</si>
  <si>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</si>
  <si>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</si>
  <si>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</si>
  <si>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</si>
  <si>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</si>
  <si>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</si>
  <si>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</si>
  <si>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</si>
  <si>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</si>
  <si>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</si>
  <si>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</si>
  <si>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</si>
  <si>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</si>
  <si>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</si>
  <si>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</si>
  <si>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</si>
  <si>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</si>
  <si>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</si>
  <si>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</si>
  <si>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</si>
  <si>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</si>
  <si>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</si>
  <si>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</si>
  <si>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</si>
  <si>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</si>
  <si>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</si>
  <si>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</si>
  <si>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</si>
  <si>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</si>
  <si>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</si>
  <si>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</si>
  <si>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</si>
  <si>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</si>
  <si>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</si>
  <si>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</si>
  <si>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</si>
  <si>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</si>
  <si>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</si>
  <si>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</si>
  <si>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</si>
  <si>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</si>
  <si>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</si>
  <si>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</si>
  <si>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</si>
  <si>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</si>
  <si>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</si>
  <si>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</si>
  <si>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</si>
  <si>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</si>
  <si>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</si>
  <si>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</si>
  <si>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</si>
  <si>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</si>
  <si>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</si>
  <si>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</si>
  <si>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</si>
  <si>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</si>
  <si>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</si>
  <si>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</si>
  <si>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</si>
  <si>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</si>
  <si>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</si>
  <si>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</si>
  <si>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</si>
  <si>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</si>
  <si>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</si>
  <si>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</si>
  <si>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</si>
  <si>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</si>
  <si>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</si>
  <si>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</si>
  <si>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</si>
  <si>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</si>
  <si>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</si>
  <si>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</si>
  <si>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</si>
  <si>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</si>
  <si>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</si>
  <si>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</si>
  <si>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</si>
  <si>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</si>
  <si>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</si>
  <si>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</si>
  <si>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</si>
  <si>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</si>
  <si>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</si>
  <si>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</si>
  <si>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</si>
  <si>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</si>
  <si>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</si>
  <si>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</si>
  <si>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</si>
  <si>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</si>
  <si>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</si>
  <si>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</si>
  <si>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</si>
  <si>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</si>
  <si>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</si>
  <si>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</si>
  <si>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</si>
  <si>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</si>
  <si>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</si>
  <si>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</si>
  <si>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</si>
  <si>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</si>
  <si>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</si>
  <si>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</si>
  <si>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</si>
  <si>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</si>
  <si>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</si>
  <si>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</si>
  <si>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</si>
  <si>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</si>
  <si>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</si>
  <si>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</si>
  <si>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</si>
  <si>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</si>
  <si>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</si>
  <si>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</si>
  <si>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</si>
  <si>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</si>
  <si>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</si>
  <si>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</si>
  <si>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</si>
  <si>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</si>
  <si>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</si>
  <si>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</si>
  <si>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</si>
  <si>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</si>
  <si>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</si>
  <si>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</si>
  <si>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</si>
  <si>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</si>
  <si>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</si>
  <si>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</si>
  <si>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</si>
  <si>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</si>
  <si>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</si>
  <si>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</si>
  <si>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</si>
  <si>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</si>
  <si>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</si>
  <si>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</si>
  <si>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</si>
  <si>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</si>
  <si>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</si>
  <si>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</si>
  <si>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</si>
  <si>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</si>
  <si>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</si>
  <si>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</si>
  <si>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</si>
  <si>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</si>
  <si>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</si>
  <si>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</si>
  <si>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</si>
  <si>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</si>
  <si>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</si>
  <si>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</si>
  <si>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</si>
  <si>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</si>
  <si>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</si>
  <si>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</si>
  <si>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</si>
  <si>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</si>
  <si>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</si>
  <si>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</si>
  <si>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</si>
  <si>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</si>
  <si>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</si>
  <si>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</si>
  <si>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</si>
  <si>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</si>
  <si>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</si>
  <si>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</si>
  <si>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</si>
  <si>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</si>
  <si>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</si>
  <si>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</si>
  <si>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</si>
  <si>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</si>
  <si>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</si>
  <si>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</si>
  <si>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</si>
  <si>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</si>
  <si>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</si>
  <si>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</si>
  <si>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</si>
  <si>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</si>
  <si>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</si>
  <si>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</si>
  <si>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</si>
  <si>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</si>
  <si>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</si>
  <si>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</si>
  <si>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</si>
  <si>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</si>
  <si>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</si>
  <si>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</si>
  <si>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</si>
  <si>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</si>
  <si>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</si>
  <si>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</si>
  <si>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</si>
  <si>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</si>
  <si>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</si>
  <si>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</si>
  <si>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</si>
  <si>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</si>
  <si>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</si>
  <si>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</si>
  <si>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</si>
  <si>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</si>
  <si>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</si>
  <si>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</si>
  <si>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</si>
  <si>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</si>
  <si>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</si>
  <si>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</si>
  <si>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</si>
  <si>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</si>
  <si>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</si>
  <si>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</si>
  <si>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</si>
  <si>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</si>
  <si>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</si>
  <si>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</si>
  <si>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</si>
  <si>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</si>
  <si>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</si>
  <si>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</si>
  <si>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</si>
  <si>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</si>
  <si>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</si>
  <si>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</si>
  <si>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</si>
  <si>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</si>
  <si>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</si>
  <si>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</si>
  <si>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</si>
  <si>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</si>
  <si>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</si>
  <si>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</si>
  <si>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</si>
  <si>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</si>
  <si>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</si>
  <si>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</si>
  <si>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</si>
  <si>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</si>
  <si>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</si>
  <si>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</si>
  <si>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</si>
  <si>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</si>
  <si>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</si>
  <si>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</si>
  <si>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</si>
  <si>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</si>
  <si>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</si>
  <si>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</si>
  <si>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</si>
  <si>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</si>
  <si>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</si>
  <si>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</si>
  <si>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</si>
  <si>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</si>
  <si>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</si>
  <si>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</si>
  <si>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</si>
  <si>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</si>
  <si>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</si>
  <si>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</si>
  <si>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</si>
  <si>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</si>
  <si>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</si>
  <si>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</si>
  <si>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</si>
  <si>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</si>
  <si>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</si>
  <si>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</si>
  <si>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</si>
  <si>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</si>
  <si>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</si>
  <si>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</si>
  <si>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</si>
  <si>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</si>
  <si>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</si>
  <si>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</si>
  <si>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</si>
  <si>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</si>
  <si>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</si>
  <si>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</si>
  <si>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</si>
  <si>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</si>
  <si>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</si>
  <si>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</si>
  <si>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</si>
  <si>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</si>
  <si>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</si>
  <si>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</si>
  <si>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</si>
  <si>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</si>
  <si>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</si>
  <si>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</si>
  <si>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</si>
  <si>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</si>
  <si>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</si>
  <si>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</si>
  <si>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</si>
  <si>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</si>
  <si>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</si>
  <si>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</si>
  <si>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</si>
  <si>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</si>
  <si>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</si>
  <si>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</si>
  <si>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</si>
  <si>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</si>
  <si>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</si>
  <si>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</si>
  <si>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</si>
  <si>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</si>
  <si>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</si>
  <si>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</si>
  <si>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</si>
  <si>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</si>
  <si>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</si>
  <si>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</si>
  <si>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</si>
  <si>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</si>
  <si>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</si>
  <si>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</si>
  <si>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</si>
  <si>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</si>
  <si>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</si>
  <si>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</si>
  <si>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</si>
  <si>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</si>
  <si>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</si>
  <si>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</si>
  <si>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</si>
  <si>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</si>
  <si>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</si>
  <si>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</si>
  <si>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</si>
  <si>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</si>
  <si>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</si>
  <si>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</si>
  <si>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</si>
  <si>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</si>
  <si>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</si>
  <si>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</si>
  <si>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</si>
  <si>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</si>
  <si>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</si>
  <si>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</si>
  <si>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</si>
  <si>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</si>
  <si>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</si>
  <si>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</si>
  <si>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</si>
  <si>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</si>
  <si>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</si>
  <si>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</si>
  <si>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</si>
  <si>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</si>
  <si>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</si>
  <si>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</si>
  <si>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</si>
  <si>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</si>
  <si>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</si>
  <si>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</si>
  <si>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</si>
  <si>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</si>
  <si>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</si>
  <si>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</si>
  <si>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</si>
  <si>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</si>
  <si>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</si>
  <si>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</si>
  <si>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</si>
  <si>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</si>
  <si>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</si>
  <si>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</si>
  <si>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</si>
  <si>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</si>
  <si>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</si>
  <si>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</si>
  <si>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</si>
  <si>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</si>
  <si>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</si>
  <si>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</si>
  <si>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</si>
  <si>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</si>
  <si>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</si>
  <si>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</si>
  <si>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</si>
  <si>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</si>
  <si>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</si>
  <si>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</si>
  <si>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</si>
  <si>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</si>
  <si>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</si>
  <si>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</si>
  <si>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</si>
  <si>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</si>
  <si>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</si>
  <si>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</si>
  <si>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</si>
  <si>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</si>
  <si>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</si>
  <si>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</si>
  <si>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</si>
  <si>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</si>
  <si>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</si>
  <si>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</si>
  <si>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</si>
  <si>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</si>
  <si>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</si>
  <si>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</si>
  <si>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</si>
  <si>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</si>
  <si>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</si>
  <si>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</si>
  <si>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</si>
  <si>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</si>
  <si>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</si>
  <si>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</si>
  <si>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</si>
  <si>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</si>
  <si>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</si>
  <si>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</si>
  <si>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</si>
  <si>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</si>
  <si>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</si>
  <si>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</si>
  <si>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</si>
  <si>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</si>
  <si>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</si>
  <si>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</si>
  <si>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</si>
  <si>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</si>
  <si>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</si>
  <si>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</si>
  <si>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</si>
  <si>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</si>
  <si>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</si>
  <si>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</si>
  <si>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</si>
  <si>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</si>
  <si>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</si>
  <si>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</si>
  <si>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</si>
  <si>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</si>
  <si>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</si>
  <si>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</si>
  <si>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</si>
  <si>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</si>
  <si>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</si>
  <si>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</si>
  <si>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</si>
  <si>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</si>
  <si>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</si>
  <si>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</si>
  <si>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</si>
  <si>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楼号</t>
    <phoneticPr fontId="143" type="noConversion"/>
  </si>
  <si>
    <t>序号</t>
    <phoneticPr fontId="143" type="noConversion"/>
  </si>
  <si>
    <t>地上</t>
  </si>
  <si>
    <t>地上</t>
    <phoneticPr fontId="143" type="noConversion"/>
  </si>
  <si>
    <t>地下</t>
    <phoneticPr fontId="143" type="noConversion"/>
  </si>
  <si>
    <t>层数</t>
    <phoneticPr fontId="143" type="noConversion"/>
  </si>
  <si>
    <t>建筑面积</t>
    <phoneticPr fontId="143" type="noConversion"/>
  </si>
  <si>
    <t>主要功能</t>
    <phoneticPr fontId="143" type="noConversion"/>
  </si>
  <si>
    <t>高层住宅</t>
  </si>
  <si>
    <t>高层住宅</t>
    <phoneticPr fontId="143" type="noConversion"/>
  </si>
  <si>
    <t>储藏室、车库</t>
    <phoneticPr fontId="143" type="noConversion"/>
  </si>
  <si>
    <t>1#</t>
    <phoneticPr fontId="143" type="noConversion"/>
  </si>
  <si>
    <t>2#</t>
  </si>
  <si>
    <t>3#</t>
  </si>
  <si>
    <t>4#</t>
  </si>
  <si>
    <t>5#</t>
  </si>
  <si>
    <t>6#</t>
  </si>
  <si>
    <t>7#</t>
  </si>
  <si>
    <t>8#</t>
  </si>
  <si>
    <t>高层住宅+配套</t>
    <phoneticPr fontId="143" type="noConversion"/>
  </si>
  <si>
    <t>14#</t>
    <phoneticPr fontId="143" type="noConversion"/>
  </si>
  <si>
    <t>17#</t>
    <phoneticPr fontId="143" type="noConversion"/>
  </si>
  <si>
    <t>低层住宅</t>
    <phoneticPr fontId="143" type="noConversion"/>
  </si>
  <si>
    <t>配套-1#</t>
    <phoneticPr fontId="143" type="noConversion"/>
  </si>
  <si>
    <t>配套公建</t>
    <phoneticPr fontId="143" type="noConversion"/>
  </si>
  <si>
    <t>配套-2#</t>
  </si>
  <si>
    <t>配套-3#</t>
  </si>
  <si>
    <t>52#</t>
    <phoneticPr fontId="143" type="noConversion"/>
  </si>
  <si>
    <t>61#</t>
    <phoneticPr fontId="143" type="noConversion"/>
  </si>
  <si>
    <t>73#</t>
    <phoneticPr fontId="143" type="noConversion"/>
  </si>
  <si>
    <t>57#</t>
    <phoneticPr fontId="143" type="noConversion"/>
  </si>
  <si>
    <t>66#</t>
    <phoneticPr fontId="143" type="noConversion"/>
  </si>
  <si>
    <t>21#、22#、32#、42#-44#</t>
    <phoneticPr fontId="143" type="noConversion"/>
  </si>
  <si>
    <t>26#、36#、47#</t>
    <phoneticPr fontId="143" type="noConversion"/>
  </si>
  <si>
    <t>27#、37#</t>
    <phoneticPr fontId="143" type="noConversion"/>
  </si>
  <si>
    <t>31#、41#</t>
    <phoneticPr fontId="143" type="noConversion"/>
  </si>
  <si>
    <t>51#、60#、72#</t>
    <phoneticPr fontId="143" type="noConversion"/>
  </si>
  <si>
    <t>56#、65#</t>
    <phoneticPr fontId="143" type="noConversion"/>
  </si>
  <si>
    <t>74#-78#</t>
    <phoneticPr fontId="143" type="noConversion"/>
  </si>
  <si>
    <t>合计</t>
    <phoneticPr fontId="143" type="noConversion"/>
  </si>
  <si>
    <t>9#</t>
    <phoneticPr fontId="143" type="noConversion"/>
  </si>
  <si>
    <t>10#</t>
    <phoneticPr fontId="143" type="noConversion"/>
  </si>
  <si>
    <t>11#</t>
    <phoneticPr fontId="143" type="noConversion"/>
  </si>
  <si>
    <t>12#</t>
  </si>
  <si>
    <t>13#</t>
  </si>
  <si>
    <t>15#、16#</t>
    <phoneticPr fontId="143" type="noConversion"/>
  </si>
  <si>
    <t>18#、19#、39#、40#</t>
    <phoneticPr fontId="143" type="noConversion"/>
  </si>
  <si>
    <t>20#、30#</t>
    <phoneticPr fontId="143" type="noConversion"/>
  </si>
  <si>
    <t>23#、24#、33#、34#、45#、46#</t>
    <phoneticPr fontId="143" type="noConversion"/>
  </si>
  <si>
    <t>25#、35#</t>
    <phoneticPr fontId="143" type="noConversion"/>
  </si>
  <si>
    <t>28#、29#、38#</t>
    <phoneticPr fontId="143" type="noConversion"/>
  </si>
  <si>
    <t>商业-1#</t>
    <phoneticPr fontId="143" type="noConversion"/>
  </si>
  <si>
    <t>商业</t>
    <phoneticPr fontId="143" type="noConversion"/>
  </si>
  <si>
    <t>商业-2#</t>
  </si>
  <si>
    <t>商业-3#</t>
  </si>
  <si>
    <t>商业-4#</t>
  </si>
  <si>
    <t>商业-5#</t>
  </si>
  <si>
    <t>商业-6#</t>
  </si>
  <si>
    <t>配套-4#</t>
    <phoneticPr fontId="143" type="noConversion"/>
  </si>
  <si>
    <t>配套-5#</t>
    <phoneticPr fontId="143" type="noConversion"/>
  </si>
  <si>
    <t>48#、49#、63#、70#、71#</t>
    <phoneticPr fontId="143" type="noConversion"/>
  </si>
  <si>
    <t>50#、62#、64#</t>
    <phoneticPr fontId="143" type="noConversion"/>
  </si>
  <si>
    <t>58#</t>
    <phoneticPr fontId="143" type="noConversion"/>
  </si>
  <si>
    <t>53#、54#、68#</t>
    <phoneticPr fontId="143" type="noConversion"/>
  </si>
  <si>
    <t>55#、67#、69#</t>
    <phoneticPr fontId="143" type="noConversion"/>
  </si>
  <si>
    <t>59#</t>
    <phoneticPr fontId="143" type="noConversion"/>
  </si>
  <si>
    <t>地块三</t>
    <phoneticPr fontId="143" type="noConversion"/>
  </si>
  <si>
    <t>地块四</t>
    <phoneticPr fontId="143" type="noConversion"/>
  </si>
  <si>
    <t>规划净用地面积</t>
    <phoneticPr fontId="143" type="noConversion"/>
  </si>
  <si>
    <t>地块三 经济技术指标</t>
    <phoneticPr fontId="143" type="noConversion"/>
  </si>
  <si>
    <t>总建筑面积</t>
    <phoneticPr fontId="143" type="noConversion"/>
  </si>
  <si>
    <t>地上建筑面积</t>
    <phoneticPr fontId="143" type="noConversion"/>
  </si>
  <si>
    <t>住宅建筑面积</t>
    <phoneticPr fontId="143" type="noConversion"/>
  </si>
  <si>
    <t>配套建筑面积</t>
    <phoneticPr fontId="143" type="noConversion"/>
  </si>
  <si>
    <t>商业建筑面积</t>
    <phoneticPr fontId="143" type="noConversion"/>
  </si>
  <si>
    <t>其中</t>
    <phoneticPr fontId="143" type="noConversion"/>
  </si>
  <si>
    <t>地下建筑面积</t>
    <phoneticPr fontId="143" type="noConversion"/>
  </si>
  <si>
    <t>地块四 经济技术指标</t>
    <phoneticPr fontId="143" type="noConversion"/>
  </si>
  <si>
    <t>低密度住宅</t>
  </si>
  <si>
    <t>低密度住宅</t>
    <phoneticPr fontId="143" type="noConversion"/>
  </si>
  <si>
    <t>高层住宅</t>
    <phoneticPr fontId="143" type="noConversion"/>
  </si>
  <si>
    <t>配套设施</t>
    <phoneticPr fontId="143" type="noConversion"/>
  </si>
  <si>
    <t>总面积</t>
    <phoneticPr fontId="143" type="noConversion"/>
  </si>
  <si>
    <t>已售建筑面积</t>
    <phoneticPr fontId="143" type="noConversion"/>
  </si>
  <si>
    <t>在建4栋高层</t>
    <phoneticPr fontId="143" type="noConversion"/>
  </si>
  <si>
    <t>可抵押</t>
    <phoneticPr fontId="143" type="noConversion"/>
  </si>
  <si>
    <t>测绘？</t>
    <phoneticPr fontId="143" type="noConversion"/>
  </si>
  <si>
    <t>地下部分怎么分摊？</t>
    <phoneticPr fontId="143" type="noConversion"/>
  </si>
  <si>
    <t>2019-1-0070-F01DYGJ1</t>
    <phoneticPr fontId="6" type="noConversion"/>
  </si>
  <si>
    <t>吴薇</t>
  </si>
  <si>
    <t>崔锴</t>
  </si>
  <si>
    <t>华澳信托</t>
    <phoneticPr fontId="6" type="noConversion"/>
  </si>
  <si>
    <t>陕西逸阳房地产开发有限公司</t>
    <phoneticPr fontId="6" type="noConversion"/>
  </si>
  <si>
    <t>抵押</t>
  </si>
  <si>
    <t>房地产抵押价值</t>
  </si>
  <si>
    <t>其他：</t>
  </si>
  <si>
    <t>陕西省</t>
    <phoneticPr fontId="6" type="noConversion"/>
  </si>
  <si>
    <t>陕西省西安市泾阳县高庄镇费家崖村香榭庄园项目部分住宅用房</t>
    <phoneticPr fontId="6" type="noConversion"/>
  </si>
  <si>
    <t>出让</t>
  </si>
  <si>
    <t>住宅</t>
  </si>
  <si>
    <t>住宅</t>
    <phoneticPr fontId="6" type="noConversion"/>
  </si>
  <si>
    <r>
      <rPr>
        <sz val="12"/>
        <color theme="9" tint="-0.249977111117893"/>
        <rFont val="宋体"/>
        <family val="3"/>
        <charset val="134"/>
      </rPr>
      <t>住宅</t>
    </r>
    <r>
      <rPr>
        <sz val="12"/>
        <color theme="9" tint="-0.249977111117893"/>
        <rFont val="Arial"/>
        <family val="2"/>
      </rPr>
      <t>64.96</t>
    </r>
    <r>
      <rPr>
        <sz val="12"/>
        <color theme="9" tint="-0.249977111117893"/>
        <rFont val="宋体"/>
        <family val="3"/>
        <charset val="134"/>
      </rPr>
      <t>年</t>
    </r>
    <phoneticPr fontId="6" type="noConversion"/>
  </si>
  <si>
    <t>复印件</t>
  </si>
  <si>
    <t>居住项目</t>
  </si>
  <si>
    <t>在建</t>
  </si>
  <si>
    <t>通路</t>
  </si>
  <si>
    <t>通电</t>
  </si>
  <si>
    <t>通讯</t>
  </si>
  <si>
    <t>通上水</t>
  </si>
  <si>
    <t>通下水</t>
  </si>
  <si>
    <t>通热</t>
  </si>
  <si>
    <t>燃气</t>
  </si>
  <si>
    <t>低密度住宅</t>
    <phoneticPr fontId="16" type="noConversion"/>
  </si>
  <si>
    <t>高层住宅</t>
    <phoneticPr fontId="16" type="noConversion"/>
  </si>
  <si>
    <t>独立商业</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</si>
  <si>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</si>
  <si>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</si>
  <si>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</si>
  <si>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</si>
  <si>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</si>
  <si>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</si>
  <si>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</si>
  <si>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</si>
  <si>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</si>
  <si>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</si>
  <si>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</si>
  <si>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</si>
  <si>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</si>
  <si>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</si>
  <si>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</si>
  <si>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</si>
  <si>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</si>
  <si>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</si>
  <si>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</si>
  <si>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</si>
  <si>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</si>
  <si>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</si>
  <si>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</si>
  <si>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</si>
  <si>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</si>
  <si>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</si>
  <si>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</si>
  <si>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</si>
  <si>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</si>
  <si>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</si>
  <si>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</si>
  <si>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</si>
  <si>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</si>
  <si>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</si>
  <si>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</si>
  <si>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</si>
  <si>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</si>
  <si>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</si>
  <si>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</si>
  <si>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</si>
  <si>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</si>
  <si>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</si>
  <si>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</si>
  <si>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</si>
  <si>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</si>
  <si>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</si>
  <si>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西延高速(G65W)泾阳立交以东,汉阳大道西段以南</t>
  </si>
  <si>
    <t>西安市</t>
  </si>
  <si>
    <t>住宅用地</t>
  </si>
  <si>
    <t>西咸新区</t>
  </si>
  <si>
    <t>挂牌</t>
  </si>
  <si>
    <t>XXJH-2017-011-03</t>
  </si>
  <si>
    <t>其他普通商品住房用地</t>
  </si>
  <si>
    <t>≥1.2,＜1.8</t>
  </si>
  <si>
    <t>≤30%</t>
  </si>
  <si>
    <t>未开工</t>
  </si>
  <si>
    <t>2018-07-03</t>
  </si>
  <si>
    <t>2018-07-23</t>
  </si>
  <si>
    <t>2018-08-01</t>
  </si>
  <si>
    <t>西咸土出告字[2018]012号-3</t>
  </si>
  <si>
    <t>已成交</t>
  </si>
  <si>
    <t>西安经发地产有限公司</t>
  </si>
  <si>
    <t>70年</t>
  </si>
  <si>
    <t>1星</t>
  </si>
  <si>
    <t>XXJH-2017-011-02</t>
  </si>
  <si>
    <t>≥1.2,≤1.8</t>
  </si>
  <si>
    <t>西咸土出告字[2018]012号-2</t>
  </si>
  <si>
    <t>兰池二路以南、兰池大道以北、秦宫三路以东、秦宫四路以西</t>
  </si>
  <si>
    <t>综合用地(含住宅)</t>
  </si>
  <si>
    <t>XXQH-WB03-06-04</t>
  </si>
  <si>
    <t>住宅1.5-2,商业4-4.5</t>
  </si>
  <si>
    <t>住宅≤25%;商业住宅≤45%</t>
  </si>
  <si>
    <t>2018-10-12</t>
  </si>
  <si>
    <t>2018-11-01</t>
  </si>
  <si>
    <t>2018-11-14</t>
  </si>
  <si>
    <t>西咸土出告字[2018]019号-5</t>
  </si>
  <si>
    <t>西安西北航空中心有限公司</t>
  </si>
  <si>
    <t>住宅70年,商业40年</t>
  </si>
  <si>
    <t>2星</t>
  </si>
  <si>
    <t>住宅</t>
    <phoneticPr fontId="3"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</si>
  <si>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</si>
  <si>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</si>
  <si>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</si>
  <si>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</si>
  <si>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</si>
  <si>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</si>
  <si>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</si>
  <si>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</si>
  <si>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</si>
  <si>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</si>
  <si>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</si>
  <si>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</si>
  <si>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</si>
  <si>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</si>
  <si>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</si>
  <si>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</si>
  <si>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估价对象周边居住用地比例较低、居住小区规模和社区发展完善程度较差，2公里内有隆基泰和万和郡、滨江翡翠城小区等项目，综合评价居住社区成熟度一般</t>
    <phoneticPr fontId="3" type="noConversion"/>
  </si>
  <si>
    <t>估价对象周边商业氛围较差，正在开发建设中，商业繁华度较差</t>
    <phoneticPr fontId="25" type="noConversion"/>
  </si>
  <si>
    <t>估价对象周边有326、泾阳9、泾阳16等公交线路，综合评价交通便捷度较差</t>
    <phoneticPr fontId="3" type="noConversion"/>
  </si>
  <si>
    <t>估价对象所在区域公共配套设施齐备度较差</t>
    <phoneticPr fontId="3" type="noConversion"/>
  </si>
  <si>
    <t>周边1公里有泾河，综合评价环境状况一般</t>
    <phoneticPr fontId="3" type="noConversion"/>
  </si>
  <si>
    <t>城市支路</t>
    <phoneticPr fontId="25" type="noConversion"/>
  </si>
  <si>
    <t>较差</t>
  </si>
  <si>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1" type="noConversion"/>
  </si>
  <si>
    <r>
      <t>1</t>
    </r>
    <r>
      <rPr>
        <sz val="11"/>
        <rFont val="宋体"/>
        <family val="3"/>
        <charset val="134"/>
      </rPr>
      <t>公里泾河</t>
    </r>
    <phoneticPr fontId="31" type="noConversion"/>
  </si>
  <si>
    <t>估价对象所在区域基础设施水平达七通</t>
    <phoneticPr fontId="3" type="noConversion"/>
  </si>
  <si>
    <r>
      <t>33</t>
    </r>
    <r>
      <rPr>
        <sz val="11"/>
        <rFont val="宋体"/>
        <family val="3"/>
        <charset val="134"/>
      </rPr>
      <t>、</t>
    </r>
    <r>
      <rPr>
        <sz val="11"/>
        <rFont val="Arial"/>
        <family val="2"/>
      </rPr>
      <t>1140</t>
    </r>
    <r>
      <rPr>
        <sz val="11"/>
        <rFont val="宋体"/>
        <family val="3"/>
        <charset val="134"/>
      </rPr>
      <t>、</t>
    </r>
    <r>
      <rPr>
        <sz val="11"/>
        <rFont val="Arial"/>
        <family val="2"/>
      </rPr>
      <t>1010</t>
    </r>
    <phoneticPr fontId="31" type="noConversion"/>
  </si>
  <si>
    <r>
      <t>1</t>
    </r>
    <r>
      <rPr>
        <sz val="11"/>
        <rFont val="宋体"/>
        <family val="3"/>
        <charset val="134"/>
      </rPr>
      <t>公里渭河</t>
    </r>
    <phoneticPr fontId="31" type="noConversion"/>
  </si>
  <si>
    <t>未包含在土地购买价格中</t>
  </si>
  <si>
    <t>已包含在土地取得成本中</t>
  </si>
  <si>
    <t>成本法</t>
  </si>
  <si>
    <t>假设开发法</t>
  </si>
  <si>
    <t>已全部缴纳</t>
  </si>
  <si>
    <t>全部缴纳</t>
  </si>
  <si>
    <t>滨江翡翠城</t>
    <phoneticPr fontId="3" type="noConversion"/>
  </si>
  <si>
    <t>多层</t>
    <phoneticPr fontId="3" type="noConversion"/>
  </si>
  <si>
    <t>高层</t>
    <phoneticPr fontId="3" type="noConversion"/>
  </si>
  <si>
    <t>超高层</t>
    <phoneticPr fontId="3"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</si>
  <si>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</si>
  <si>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</si>
  <si>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</si>
  <si>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</si>
  <si>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</si>
  <si>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t>钢混</t>
    <phoneticPr fontId="143" type="noConversion"/>
  </si>
  <si>
    <t>混合</t>
    <phoneticPr fontId="143" type="noConversion"/>
  </si>
  <si>
    <t>高档</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</si>
  <si>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</si>
  <si>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</si>
  <si>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</si>
  <si>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</si>
  <si>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</si>
  <si>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</si>
  <si>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r>
      <rPr>
        <sz val="11"/>
        <color indexed="8"/>
        <rFont val="仿宋_GB2312"/>
        <family val="3"/>
        <charset val="134"/>
      </rPr>
      <t>道路级别</t>
    </r>
    <phoneticPr fontId="3" type="noConversion"/>
  </si>
  <si>
    <t>高层</t>
  </si>
  <si>
    <t>钢混</t>
  </si>
  <si>
    <t>中档</t>
  </si>
  <si>
    <t>精装修</t>
  </si>
  <si>
    <t>专业</t>
  </si>
  <si>
    <t>60-70（含）</t>
  </si>
  <si>
    <t>住宅</t>
    <phoneticPr fontId="25" type="noConversion"/>
  </si>
  <si>
    <t>泾阳崇文塔</t>
    <phoneticPr fontId="25" type="noConversion"/>
  </si>
  <si>
    <t>黄冈学府城</t>
    <phoneticPr fontId="3" type="noConversion"/>
  </si>
  <si>
    <t>1公里泾河</t>
    <phoneticPr fontId="25" type="noConversion"/>
  </si>
  <si>
    <t>中南春溪集</t>
    <phoneticPr fontId="3" type="noConversion"/>
  </si>
  <si>
    <r>
      <t>1</t>
    </r>
    <r>
      <rPr>
        <sz val="11"/>
        <rFont val="宋体"/>
        <family val="3"/>
        <charset val="134"/>
      </rPr>
      <t>公里有隆基泰和万和郡、北方融城等</t>
    </r>
    <phoneticPr fontId="25" type="noConversion"/>
  </si>
  <si>
    <r>
      <t>328</t>
    </r>
    <r>
      <rPr>
        <sz val="11"/>
        <rFont val="宋体"/>
        <family val="3"/>
        <charset val="134"/>
      </rPr>
      <t>、泾渭环线</t>
    </r>
    <r>
      <rPr>
        <sz val="11"/>
        <rFont val="Arial"/>
        <family val="2"/>
      </rPr>
      <t>2</t>
    </r>
    <r>
      <rPr>
        <sz val="11"/>
        <rFont val="宋体"/>
        <family val="3"/>
        <charset val="134"/>
      </rPr>
      <t>、</t>
    </r>
    <r>
      <rPr>
        <sz val="11"/>
        <rFont val="Arial"/>
        <family val="2"/>
      </rPr>
      <t>4</t>
    </r>
    <r>
      <rPr>
        <sz val="11"/>
        <rFont val="宋体"/>
        <family val="3"/>
        <charset val="134"/>
      </rPr>
      <t>号</t>
    </r>
    <phoneticPr fontId="25" type="noConversion"/>
  </si>
  <si>
    <t>泾渭体育运动中心</t>
    <phoneticPr fontId="25" type="noConversion"/>
  </si>
  <si>
    <t>低密度</t>
  </si>
  <si>
    <t>低密度</t>
    <phoneticPr fontId="3" type="noConversion"/>
  </si>
  <si>
    <t>毛坯</t>
  </si>
  <si>
    <t>银河湾御泉72坊</t>
    <phoneticPr fontId="3" type="noConversion"/>
  </si>
  <si>
    <r>
      <t>2</t>
    </r>
    <r>
      <rPr>
        <sz val="11"/>
        <rFont val="宋体"/>
        <family val="3"/>
        <charset val="134"/>
      </rPr>
      <t>公里有颐和盛世、渭水茗居等多个项目</t>
    </r>
    <phoneticPr fontId="25" type="noConversion"/>
  </si>
  <si>
    <r>
      <t>326</t>
    </r>
    <r>
      <rPr>
        <sz val="11"/>
        <rFont val="宋体"/>
        <family val="3"/>
        <charset val="134"/>
      </rPr>
      <t>、泾阳</t>
    </r>
    <r>
      <rPr>
        <sz val="11"/>
        <rFont val="Arial"/>
        <family val="2"/>
      </rPr>
      <t>9</t>
    </r>
    <r>
      <rPr>
        <sz val="11"/>
        <rFont val="宋体"/>
        <family val="3"/>
        <charset val="134"/>
      </rPr>
      <t>、</t>
    </r>
    <r>
      <rPr>
        <sz val="11"/>
        <rFont val="Arial"/>
        <family val="2"/>
      </rPr>
      <t>16</t>
    </r>
    <r>
      <rPr>
        <sz val="11"/>
        <rFont val="宋体"/>
        <family val="3"/>
        <charset val="134"/>
      </rPr>
      <t>路</t>
    </r>
    <phoneticPr fontId="143" type="noConversion"/>
  </si>
  <si>
    <t>高档</t>
  </si>
  <si>
    <t>万科理想城</t>
    <phoneticPr fontId="3" type="noConversion"/>
  </si>
  <si>
    <r>
      <t>1</t>
    </r>
    <r>
      <rPr>
        <sz val="11"/>
        <rFont val="宋体"/>
        <family val="3"/>
        <charset val="134"/>
      </rPr>
      <t>公里有星河湾、山水逸景等</t>
    </r>
    <phoneticPr fontId="25" type="noConversion"/>
  </si>
  <si>
    <t>低密度多层</t>
  </si>
  <si>
    <t>低密度多层</t>
    <phoneticPr fontId="3" type="noConversion"/>
  </si>
  <si>
    <t>独栋</t>
  </si>
  <si>
    <t>独栋</t>
    <phoneticPr fontId="3" type="noConversion"/>
  </si>
  <si>
    <t>世园大公馆</t>
    <phoneticPr fontId="3" type="noConversion"/>
  </si>
  <si>
    <r>
      <t>1</t>
    </r>
    <r>
      <rPr>
        <sz val="11"/>
        <rFont val="宋体"/>
        <family val="3"/>
        <charset val="134"/>
      </rPr>
      <t>公里有中南樾府、绿城桂语江南等</t>
    </r>
    <phoneticPr fontId="25" type="noConversion"/>
  </si>
  <si>
    <r>
      <t>47</t>
    </r>
    <r>
      <rPr>
        <sz val="11"/>
        <rFont val="宋体"/>
        <family val="3"/>
        <charset val="134"/>
      </rPr>
      <t>、</t>
    </r>
    <r>
      <rPr>
        <sz val="11"/>
        <rFont val="Arial"/>
        <family val="2"/>
      </rPr>
      <t>195</t>
    </r>
    <r>
      <rPr>
        <sz val="11"/>
        <rFont val="宋体"/>
        <family val="3"/>
        <charset val="134"/>
      </rPr>
      <t>、</t>
    </r>
    <r>
      <rPr>
        <sz val="11"/>
        <rFont val="Arial"/>
        <family val="2"/>
      </rPr>
      <t>907</t>
    </r>
    <r>
      <rPr>
        <sz val="11"/>
        <rFont val="宋体"/>
        <family val="3"/>
        <charset val="134"/>
      </rPr>
      <t>等</t>
    </r>
    <phoneticPr fontId="25" type="noConversion"/>
  </si>
  <si>
    <t>西安世博园</t>
    <phoneticPr fontId="25" type="noConversion"/>
  </si>
  <si>
    <t>序号</t>
  </si>
  <si>
    <t>项目</t>
  </si>
  <si>
    <r>
      <t>（分摊）土地面积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</si>
  <si>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</si>
  <si>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</si>
  <si>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房地产价值</t>
    </r>
    <r>
      <rPr>
        <sz val="9"/>
        <color rgb="FF000000"/>
        <rFont val="Arial"/>
        <family val="2"/>
      </rPr>
      <t>/</t>
    </r>
    <r>
      <rPr>
        <sz val="9"/>
        <color rgb="FF000000"/>
        <rFont val="华文细黑"/>
        <family val="3"/>
        <charset val="134"/>
      </rPr>
      <t>万元</t>
    </r>
  </si>
  <si>
    <r>
      <t>咨询对象</t>
    </r>
    <r>
      <rPr>
        <sz val="9"/>
        <color rgb="FF000000"/>
        <rFont val="Arial"/>
        <family val="2"/>
      </rPr>
      <t>1</t>
    </r>
  </si>
  <si>
    <t>滨湖庄园</t>
  </si>
  <si>
    <r>
      <t>咨询对象</t>
    </r>
    <r>
      <rPr>
        <sz val="9"/>
        <color rgb="FF000000"/>
        <rFont val="Arial"/>
        <family val="2"/>
      </rPr>
      <t>2</t>
    </r>
  </si>
  <si>
    <r>
      <t>咨询对象</t>
    </r>
    <r>
      <rPr>
        <sz val="9"/>
        <color rgb="FF000000"/>
        <rFont val="Arial"/>
        <family val="2"/>
      </rPr>
      <t>3</t>
    </r>
  </si>
  <si>
    <t>香榭庄园</t>
  </si>
  <si>
    <r>
      <t>咨询对象</t>
    </r>
    <r>
      <rPr>
        <sz val="9"/>
        <color rgb="FF000000"/>
        <rFont val="Arial"/>
        <family val="2"/>
      </rPr>
      <t>4</t>
    </r>
  </si>
  <si>
    <r>
      <t>咨询对象</t>
    </r>
    <r>
      <rPr>
        <sz val="9"/>
        <color rgb="FF000000"/>
        <rFont val="Arial"/>
        <family val="2"/>
      </rPr>
      <t>5</t>
    </r>
  </si>
  <si>
    <t>收益法</t>
  </si>
  <si>
    <t>在建（套用方法）</t>
  </si>
  <si>
    <t>押一</t>
  </si>
  <si>
    <t>非生产用房</t>
  </si>
  <si>
    <t>按租金收入计税</t>
  </si>
  <si>
    <t>地下</t>
  </si>
  <si>
    <t>车库</t>
  </si>
  <si>
    <t>地下车库</t>
    <phoneticPr fontId="7" type="noConversion"/>
  </si>
  <si>
    <t>收益法车</t>
  </si>
  <si>
    <t>收益法车</t>
    <phoneticPr fontId="16" type="noConversion"/>
  </si>
  <si>
    <t>自定义</t>
  </si>
  <si>
    <t>成本比率</t>
  </si>
  <si>
    <t>商业</t>
    <phoneticPr fontId="7" type="noConversion"/>
  </si>
  <si>
    <t>住宅、商业</t>
  </si>
  <si>
    <t>住宅、商业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</si>
</sst>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0"/>
      <color theme="1"/>
      <name val="Times New Roman"/>
      <family val="1"/>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4" fontId="99" fillId="0" borderId="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0" fillId="0" borderId="1" xfId="0" applyBorder="1">
      <alignment vertical="center"/>
    </xf>
    <xf numFmtId="0" fontId="113" fillId="0" borderId="1" xfId="0" applyFont="1" applyBorder="1" applyAlignment="1">
      <alignment horizontal="right" vertical="center"/>
    </xf>
    <xf numFmtId="0" fontId="113" fillId="0" borderId="0" xfId="0" applyFont="1" applyAlignment="1">
      <alignment horizontal="right" vertical="center"/>
    </xf>
    <xf numFmtId="0" fontId="113" fillId="0" borderId="1" xfId="0" applyFont="1" applyBorder="1" applyAlignment="1">
      <alignment horizontal="center" vertical="center"/>
    </xf>
    <xf numFmtId="0" fontId="113" fillId="0" borderId="0" xfId="0" applyFont="1" applyAlignment="1">
      <alignment horizontal="center" vertical="center"/>
    </xf>
    <xf numFmtId="2" fontId="113" fillId="0" borderId="1" xfId="0" applyNumberFormat="1" applyFont="1" applyBorder="1" applyAlignment="1">
      <alignment horizontal="right" vertical="center"/>
    </xf>
    <xf numFmtId="0" fontId="113" fillId="5" borderId="1" xfId="0" applyFont="1" applyFill="1" applyBorder="1" applyAlignment="1">
      <alignment horizontal="right" vertical="center"/>
    </xf>
    <xf numFmtId="0" fontId="0" fillId="17" borderId="1" xfId="0" applyFill="1" applyBorder="1">
      <alignment vertical="center"/>
    </xf>
    <xf numFmtId="0" fontId="99" fillId="17" borderId="1" xfId="0" applyFont="1" applyFill="1" applyBorder="1">
      <alignment vertical="center"/>
    </xf>
    <xf numFmtId="0" fontId="0" fillId="10" borderId="1" xfId="0" applyFill="1" applyBorder="1">
      <alignment vertical="center"/>
    </xf>
    <xf numFmtId="0" fontId="99" fillId="10" borderId="1" xfId="0" applyFont="1" applyFill="1" applyBorder="1">
      <alignment vertical="center"/>
    </xf>
    <xf numFmtId="0" fontId="99" fillId="16" borderId="5" xfId="0" applyFont="1" applyFill="1" applyBorder="1" applyAlignment="1">
      <alignment horizontal="center" vertical="center"/>
    </xf>
    <xf numFmtId="0" fontId="113" fillId="16" borderId="1" xfId="0" applyFont="1" applyFill="1" applyBorder="1" applyAlignment="1">
      <alignment horizontal="center" vertical="center"/>
    </xf>
    <xf numFmtId="0" fontId="113" fillId="16" borderId="1" xfId="0" applyFont="1" applyFill="1" applyBorder="1" applyAlignment="1">
      <alignment horizontal="right" vertical="center"/>
    </xf>
    <xf numFmtId="0" fontId="99" fillId="16" borderId="1" xfId="0" applyFont="1" applyFill="1" applyBorder="1" applyAlignment="1">
      <alignment horizontal="left" vertical="center"/>
    </xf>
    <xf numFmtId="0" fontId="99" fillId="16" borderId="5" xfId="0" applyFont="1" applyFill="1" applyBorder="1" applyAlignment="1">
      <alignment horizontal="left" vertical="center"/>
    </xf>
    <xf numFmtId="0" fontId="99" fillId="16" borderId="5" xfId="0" applyFont="1" applyFill="1" applyBorder="1">
      <alignment vertical="center"/>
    </xf>
    <xf numFmtId="0" fontId="99" fillId="0" borderId="1" xfId="0" applyFont="1" applyBorder="1" applyAlignment="1">
      <alignment vertical="center" wrapText="1"/>
    </xf>
    <xf numFmtId="0" fontId="0" fillId="16" borderId="1" xfId="0" applyFill="1" applyBorder="1" applyAlignment="1">
      <alignment vertical="center" wrapText="1"/>
    </xf>
    <xf numFmtId="0" fontId="99" fillId="16" borderId="1" xfId="0" applyFont="1" applyFill="1" applyBorder="1" applyAlignment="1">
      <alignment vertical="center" wrapText="1"/>
    </xf>
    <xf numFmtId="0" fontId="99" fillId="8" borderId="0" xfId="0" applyFont="1" applyFill="1">
      <alignment vertical="center"/>
    </xf>
    <xf numFmtId="0" fontId="0" fillId="8" borderId="0" xfId="0" applyFill="1">
      <alignment vertical="center"/>
    </xf>
    <xf numFmtId="2" fontId="113" fillId="0" borderId="1" xfId="0"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protection locked="0"/>
    </xf>
    <xf numFmtId="0" fontId="0" fillId="5" borderId="0" xfId="0" applyFill="1" applyAlignment="1"/>
    <xf numFmtId="0" fontId="98" fillId="0" borderId="9" xfId="17" applyNumberFormat="1" applyFont="1" applyFill="1" applyBorder="1" applyAlignment="1" applyProtection="1">
      <alignment horizontal="center" vertical="center" wrapText="1"/>
      <protection locked="0"/>
    </xf>
    <xf numFmtId="0" fontId="54" fillId="0" borderId="78" xfId="17" applyNumberFormat="1" applyFont="1" applyFill="1" applyBorder="1" applyAlignment="1" applyProtection="1">
      <alignment horizontal="center" vertical="center" wrapText="1"/>
      <protection locked="0"/>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4" fillId="0" borderId="44" xfId="17" applyNumberFormat="1" applyFont="1" applyFill="1" applyBorder="1" applyAlignment="1" applyProtection="1">
      <alignment horizontal="center" vertical="center" wrapText="1"/>
      <protection locked="0"/>
    </xf>
    <xf numFmtId="0" fontId="47" fillId="0" borderId="24" xfId="0" applyNumberFormat="1" applyFont="1" applyBorder="1" applyAlignment="1" applyProtection="1">
      <alignment horizontal="center" vertical="center"/>
      <protection locked="0"/>
    </xf>
    <xf numFmtId="49" fontId="254" fillId="0" borderId="24" xfId="17" applyNumberFormat="1" applyFont="1" applyFill="1" applyBorder="1" applyAlignment="1" applyProtection="1">
      <alignment horizontal="center" vertical="center" wrapText="1"/>
      <protection locked="0"/>
    </xf>
    <xf numFmtId="194" fontId="254" fillId="0" borderId="24" xfId="17" applyFont="1" applyBorder="1" applyAlignment="1" applyProtection="1">
      <alignment horizontal="center" vertical="center" wrapText="1"/>
      <protection locked="0"/>
    </xf>
    <xf numFmtId="194" fontId="255" fillId="0" borderId="24" xfId="17" applyFont="1" applyBorder="1" applyAlignment="1" applyProtection="1">
      <alignment horizontal="center" vertical="center" wrapText="1"/>
      <protection locked="0"/>
    </xf>
    <xf numFmtId="194" fontId="254" fillId="0" borderId="49" xfId="17" applyFont="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0" xfId="0" applyFont="1" applyAlignment="1">
      <alignment vertical="center" wrapText="1"/>
    </xf>
    <xf numFmtId="0" fontId="257" fillId="0" borderId="81" xfId="0" applyFont="1" applyBorder="1" applyAlignment="1">
      <alignment horizontal="justify" vertical="center" wrapText="1"/>
    </xf>
    <xf numFmtId="0" fontId="257" fillId="0" borderId="43" xfId="0" applyFont="1" applyBorder="1" applyAlignment="1">
      <alignment horizontal="justify" vertical="center" wrapText="1"/>
    </xf>
    <xf numFmtId="0" fontId="258" fillId="0" borderId="43" xfId="0" applyFont="1" applyBorder="1" applyAlignment="1">
      <alignment horizontal="justify" vertical="center" wrapText="1"/>
    </xf>
    <xf numFmtId="179" fontId="50" fillId="0" borderId="23" xfId="0"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10" borderId="5" xfId="0" applyFont="1" applyFill="1" applyBorder="1" applyAlignment="1">
      <alignment horizontal="center" vertical="center"/>
    </xf>
    <xf numFmtId="0" fontId="99" fillId="10" borderId="3" xfId="0" applyFont="1" applyFill="1" applyBorder="1" applyAlignment="1">
      <alignment horizontal="center" vertical="center"/>
    </xf>
    <xf numFmtId="0" fontId="99" fillId="16" borderId="1" xfId="0" applyFont="1" applyFill="1" applyBorder="1" applyAlignment="1">
      <alignment horizontal="center" vertical="center"/>
    </xf>
    <xf numFmtId="0" fontId="99" fillId="16" borderId="5" xfId="0" applyFont="1" applyFill="1" applyBorder="1" applyAlignment="1">
      <alignment horizontal="center" vertical="center"/>
    </xf>
    <xf numFmtId="0" fontId="113" fillId="0" borderId="13" xfId="0" applyFont="1" applyBorder="1" applyAlignment="1">
      <alignment horizontal="center" vertical="center"/>
    </xf>
    <xf numFmtId="0" fontId="113" fillId="0" borderId="15" xfId="0" applyFont="1" applyBorder="1" applyAlignment="1">
      <alignment horizontal="center" vertical="center"/>
    </xf>
    <xf numFmtId="0" fontId="113" fillId="0" borderId="2" xfId="0" applyFont="1" applyBorder="1" applyAlignment="1">
      <alignment horizontal="center" vertical="center"/>
    </xf>
    <xf numFmtId="0" fontId="99" fillId="17" borderId="5" xfId="0" applyFont="1" applyFill="1" applyBorder="1" applyAlignment="1">
      <alignment horizontal="center" vertical="center"/>
    </xf>
    <xf numFmtId="0" fontId="99" fillId="17" borderId="3" xfId="0" applyFont="1" applyFill="1" applyBorder="1" applyAlignment="1">
      <alignment horizontal="center" vertical="center"/>
    </xf>
    <xf numFmtId="0" fontId="99" fillId="17" borderId="54" xfId="0" applyFont="1" applyFill="1" applyBorder="1" applyAlignment="1">
      <alignment horizontal="center" vertical="center"/>
    </xf>
    <xf numFmtId="0" fontId="99" fillId="17" borderId="13" xfId="0" applyFont="1" applyFill="1" applyBorder="1" applyAlignment="1">
      <alignment horizontal="center" vertical="center"/>
    </xf>
    <xf numFmtId="0" fontId="0" fillId="17" borderId="15" xfId="0" applyFill="1" applyBorder="1" applyAlignment="1">
      <alignment horizontal="center" vertical="center"/>
    </xf>
    <xf numFmtId="0" fontId="0" fillId="17" borderId="2" xfId="0" applyFill="1" applyBorder="1" applyAlignment="1">
      <alignment horizontal="center" vertical="center"/>
    </xf>
    <xf numFmtId="0" fontId="99" fillId="10" borderId="54" xfId="0" applyFont="1" applyFill="1" applyBorder="1" applyAlignment="1">
      <alignment horizontal="center" vertical="center"/>
    </xf>
    <xf numFmtId="0" fontId="99" fillId="10" borderId="13" xfId="0" applyFont="1" applyFill="1" applyBorder="1" applyAlignment="1">
      <alignment horizontal="center" vertical="center"/>
    </xf>
    <xf numFmtId="0" fontId="0" fillId="10" borderId="15" xfId="0" applyFill="1" applyBorder="1" applyAlignment="1">
      <alignment horizontal="center" vertical="center"/>
    </xf>
    <xf numFmtId="0" fontId="0" fillId="10" borderId="2" xfId="0" applyFill="1" applyBorder="1" applyAlignment="1">
      <alignment horizontal="center" vertic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57" fillId="0" borderId="27" xfId="0" applyFont="1" applyBorder="1" applyAlignment="1">
      <alignment horizontal="justify" vertical="center" wrapText="1"/>
    </xf>
    <xf numFmtId="0" fontId="257" fillId="0" borderId="80" xfId="0" applyFont="1" applyBorder="1" applyAlignment="1">
      <alignment horizontal="justify" vertical="center" wrapText="1"/>
    </xf>
    <xf numFmtId="0" fontId="257" fillId="0" borderId="81" xfId="0" applyFont="1" applyBorder="1" applyAlignment="1">
      <alignment horizontal="justify" vertical="center" wrapText="1"/>
    </xf>
    <xf numFmtId="0" fontId="257" fillId="0" borderId="63" xfId="0" applyFont="1" applyBorder="1" applyAlignment="1">
      <alignment horizontal="justify" vertical="center" wrapText="1"/>
    </xf>
    <xf numFmtId="0" fontId="257" fillId="0" borderId="65" xfId="0" applyFont="1" applyBorder="1" applyAlignment="1">
      <alignment horizontal="justify"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06" fillId="5" borderId="23"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176" fontId="54" fillId="7" borderId="24"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陕西省陕西省西安市泾阳县高庄镇费家崖村香榭庄园项目部分住宅用房出让国有建设用地使用权及在建建筑物房地产抵押价值预评估</v>
      </c>
    </row>
    <row r="3" spans="1:2" s="1591" customFormat="1">
      <c r="A3" s="1589" t="s">
        <v>1216</v>
      </c>
      <c r="B3" s="1590" t="str">
        <f>'预评函-封皮'!B40</f>
        <v>华澳信托</v>
      </c>
    </row>
    <row r="4" spans="1:2" s="1591" customFormat="1">
      <c r="A4" s="1589" t="s">
        <v>1217</v>
      </c>
      <c r="B4" s="1590" t="str">
        <f ca="1">'预评函-封皮'!B46</f>
        <v>吴薇（注册号：1419970001)、崔锴（注册号：1120100036)</v>
      </c>
    </row>
    <row r="5" spans="1:2" s="1585" customFormat="1" ht="15" thickBot="1">
      <c r="A5" s="1592" t="s">
        <v>1218</v>
      </c>
      <c r="B5" s="1593" t="str">
        <f>'预评函-封皮'!B49</f>
        <v>康正预评字2019-1-0070-F01DYGJ1号</v>
      </c>
    </row>
    <row r="6" spans="1:2" s="1588" customFormat="1" ht="15" thickTop="1">
      <c r="A6" s="1586" t="s">
        <v>1219</v>
      </c>
      <c r="B6" s="1587" t="str">
        <f>'预评函-1'!A4</f>
        <v>受贵公司委托，我公司对陕西省陕西省西安市泾阳县高庄镇费家崖村香榭庄园项目部分住宅用房出让国有建设用地使用权及在建建筑物房地产抵押价值进行了预评估。</v>
      </c>
    </row>
    <row r="7" spans="1:2" s="1591" customFormat="1">
      <c r="A7" s="1589" t="s">
        <v>1259</v>
      </c>
      <c r="B7" s="1590" t="str">
        <f>'预评函-1'!A7</f>
        <v>估价对象为陕西省陕西省西安市泾阳县高庄镇费家崖村香榭庄园项目部分住宅用房出让国有建设用地使用权及在建建筑物房地产，为所有。根据《国有土地使用证》[]，估价对象（分摊）出让国有建设用地使用权面积为102537.74平方米，建筑面积为269955.14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102537.74平方米，规划建筑面积为269955.14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2019年1月28日（评估专业人员实地查勘之日）</v>
      </c>
    </row>
    <row r="13" spans="1:2" s="1591" customFormat="1">
      <c r="A13" s="1589" t="s">
        <v>1222</v>
      </c>
      <c r="B13" s="1590" t="str">
        <f>'预评函-1'!A18</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4" spans="1:2" s="1591" customFormat="1">
      <c r="A14" s="1589" t="s">
        <v>1223</v>
      </c>
      <c r="B14" s="1590" t="str">
        <f>'预评函-1'!A19</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本次评估采用的主估价方法为成本法和假设开发法。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77995</v>
      </c>
    </row>
    <row r="21" spans="1:2" s="1591" customFormat="1">
      <c r="A21" s="1589" t="s">
        <v>1230</v>
      </c>
      <c r="B21" s="1590">
        <f ca="1">'预评函-2'!D7</f>
        <v>2889</v>
      </c>
    </row>
    <row r="22" spans="1:2" s="1591" customFormat="1">
      <c r="A22" s="1589" t="s">
        <v>1231</v>
      </c>
      <c r="B22" s="1590" t="str">
        <f ca="1">'预评函-2'!D6</f>
        <v>柒亿柒仟玖佰玖拾伍万元整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77995</v>
      </c>
    </row>
    <row r="31" spans="1:2" s="1591" customFormat="1">
      <c r="A31" s="1589" t="s">
        <v>1269</v>
      </c>
      <c r="B31" s="1590">
        <f ca="1">'预评函-2'!D15</f>
        <v>2889</v>
      </c>
    </row>
    <row r="32" spans="1:2" s="1591" customFormat="1">
      <c r="A32" s="1589" t="s">
        <v>1236</v>
      </c>
      <c r="B32" s="1590" t="str">
        <f ca="1">'预评函-2'!D14</f>
        <v>柒亿柒仟玖佰玖拾伍万元整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陕西省陕西省西安市泾阳县高庄镇费家崖村香榭庄园项目部分住宅用房出让国有建设用地使用权及在建建筑物房地产</v>
      </c>
    </row>
    <row r="42" spans="1:2" s="1591" customFormat="1">
      <c r="A42" s="1589" t="s">
        <v>1283</v>
      </c>
      <c r="B42" s="1590" t="str">
        <f>'预评函-3'!B2</f>
        <v>建筑面积</v>
      </c>
    </row>
    <row r="43" spans="1:2" s="1591" customFormat="1">
      <c r="A43" s="1589" t="s">
        <v>1284</v>
      </c>
      <c r="B43" s="1590">
        <f>'预评函-3'!B4</f>
        <v>269955.14</v>
      </c>
    </row>
    <row r="44" spans="1:2" s="1591" customFormat="1">
      <c r="A44" s="1589" t="s">
        <v>1268</v>
      </c>
      <c r="B44" s="1590" t="str">
        <f>'预评函-3'!C2</f>
        <v>(分摊)土地面积</v>
      </c>
    </row>
    <row r="45" spans="1:2" s="1591" customFormat="1">
      <c r="A45" s="1589" t="s">
        <v>1240</v>
      </c>
      <c r="B45" s="1590">
        <f>'预评函-3'!C4</f>
        <v>102537.74</v>
      </c>
    </row>
    <row r="46" spans="1:2" s="1591" customFormat="1">
      <c r="A46" s="1589" t="s">
        <v>1266</v>
      </c>
      <c r="B46" s="1590" t="str">
        <f>'预评函-3'!D2</f>
        <v>出让国有建设用地使用权价值</v>
      </c>
    </row>
    <row r="47" spans="1:2" s="1591" customFormat="1">
      <c r="A47" s="1589" t="s">
        <v>1241</v>
      </c>
      <c r="B47" s="1590">
        <f ca="1">'预评函-3'!D4</f>
        <v>75655</v>
      </c>
    </row>
    <row r="48" spans="1:2" s="1591" customFormat="1">
      <c r="A48" s="1589" t="s">
        <v>1242</v>
      </c>
      <c r="B48" s="1590">
        <f ca="1">'预评函-3'!E4</f>
        <v>2802</v>
      </c>
    </row>
    <row r="49" spans="1:2" s="1591" customFormat="1">
      <c r="A49" s="1589" t="s">
        <v>1243</v>
      </c>
      <c r="B49" s="1590" t="str">
        <f ca="1">'预评函-3'!D5</f>
        <v>柒亿伍仟陆佰伍拾伍万元整</v>
      </c>
    </row>
    <row r="50" spans="1:2" s="1591" customFormat="1">
      <c r="A50" s="1589" t="s">
        <v>1267</v>
      </c>
      <c r="B50" s="1590" t="str">
        <f>'预评函-3'!F2</f>
        <v>在建建筑物价值</v>
      </c>
    </row>
    <row r="51" spans="1:2" s="1591" customFormat="1">
      <c r="A51" s="1589" t="s">
        <v>1244</v>
      </c>
      <c r="B51" s="1590">
        <f ca="1">'预评函-3'!F4</f>
        <v>2340</v>
      </c>
    </row>
    <row r="52" spans="1:2" s="1591" customFormat="1">
      <c r="A52" s="1589" t="s">
        <v>1245</v>
      </c>
      <c r="B52" s="1590">
        <f ca="1">'预评函-3'!G4</f>
        <v>87</v>
      </c>
    </row>
    <row r="53" spans="1:2" s="1591" customFormat="1">
      <c r="A53" s="1589" t="s">
        <v>1273</v>
      </c>
      <c r="B53" s="1590" t="str">
        <f ca="1">'预评函-3'!F5</f>
        <v>贰仟叁佰肆拾万元整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吴薇</v>
      </c>
    </row>
    <row r="71" spans="1:2">
      <c r="A71" s="1589" t="s">
        <v>1256</v>
      </c>
      <c r="B71" s="1590">
        <f ca="1">'预评函-4'!B4</f>
        <v>1419970001</v>
      </c>
    </row>
    <row r="72" spans="1:2">
      <c r="A72" s="1589" t="s">
        <v>1257</v>
      </c>
      <c r="B72" s="1598" t="str">
        <f>'预评函-4'!A5</f>
        <v>崔锴</v>
      </c>
    </row>
    <row r="73" spans="1:2" s="1585" customFormat="1" ht="15" thickBot="1">
      <c r="A73" s="1592" t="s">
        <v>1258</v>
      </c>
      <c r="B73" s="1593">
        <f ca="1">'预评函-4'!B5</f>
        <v>1120100036</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3349</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5" t="s">
        <v>3160</v>
      </c>
      <c r="B7" s="2015" t="s">
        <v>1143</v>
      </c>
      <c r="C7" s="2013" t="s">
        <v>31</v>
      </c>
      <c r="F7" s="2014" t="s">
        <v>1737</v>
      </c>
      <c r="H7" s="2014" t="s">
        <v>1738</v>
      </c>
      <c r="I7" s="2014" t="s">
        <v>1739</v>
      </c>
    </row>
    <row r="8" spans="1:23">
      <c r="A8" s="2015" t="s">
        <v>3161</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0" t="s">
        <v>1279</v>
      </c>
    </row>
    <row r="52" spans="1:4">
      <c r="A52" s="2019" t="s">
        <v>855</v>
      </c>
      <c r="B52" s="2019" t="s">
        <v>856</v>
      </c>
      <c r="C52" s="2017" t="s">
        <v>857</v>
      </c>
      <c r="D52" s="2017" t="s">
        <v>858</v>
      </c>
    </row>
    <row r="53" spans="1:4">
      <c r="A53" s="304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8"/>
      <c r="B54" s="2020" t="s">
        <v>861</v>
      </c>
      <c r="C54" s="2017" t="s">
        <v>1276</v>
      </c>
    </row>
    <row r="55" spans="1:4">
      <c r="A55" s="3048"/>
      <c r="B55" s="2020" t="s">
        <v>862</v>
      </c>
      <c r="C55" s="2017" t="s">
        <v>1277</v>
      </c>
    </row>
    <row r="56" spans="1:4">
      <c r="A56" s="3048"/>
      <c r="B56" s="2020" t="s">
        <v>863</v>
      </c>
      <c r="C56" s="2017" t="s">
        <v>1281</v>
      </c>
    </row>
    <row r="57" spans="1:4">
      <c r="A57" s="3048"/>
      <c r="B57" s="2020" t="s">
        <v>864</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1" sqref="H21"/>
    </sheetView>
  </sheetViews>
  <sheetFormatPr defaultColWidth="10" defaultRowHeight="18" customHeight="1"/>
  <cols>
    <col min="1" max="1" width="14.875" style="2030" customWidth="1"/>
    <col min="2" max="2" width="10" style="2030" customWidth="1"/>
    <col min="3" max="3" width="9.75" style="2030" bestFit="1"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1769</v>
      </c>
      <c r="B1" s="3049" t="str">
        <f>IF(B10="北京市","北京市",C10)&amp;F10&amp;IF(结果表!G1="在建","出让国有建设用地使用权及在建建筑物",IF(结果表!G1="土地","出让国有建设用地使用权",))&amp;B9&amp;"预评估"</f>
        <v>陕西省陕西省西安市泾阳县高庄镇费家崖村香榭庄园项目部分住宅用房出让国有建设用地使用权及在建建筑物房地产抵押价值预评估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陕西省陕西省西安市泾阳县高庄镇费家崖村香榭庄园项目部分住宅用房出让国有建设用地使用权及在建建筑物房地产抵押价值</v>
      </c>
    </row>
    <row r="2" spans="1:19" ht="18" customHeight="1">
      <c r="A2" s="2024" t="s">
        <v>1770</v>
      </c>
      <c r="B2" s="1038" t="s">
        <v>3136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陕西省陕西省西安市泾阳县高庄镇费家崖村香榭庄园项目部分住宅用房出让国有建设用地使用权及在建建筑物房地产</v>
      </c>
    </row>
    <row r="3" spans="1:19" ht="18" customHeight="1">
      <c r="A3" s="2033" t="s">
        <v>1771</v>
      </c>
      <c r="B3" s="2034">
        <v>43493</v>
      </c>
      <c r="C3" s="2035" t="s">
        <v>1772</v>
      </c>
      <c r="D3" s="2034">
        <f>B3</f>
        <v>43493</v>
      </c>
      <c r="E3" s="2024"/>
      <c r="F3" s="2024"/>
      <c r="G3" s="2024"/>
      <c r="H3" s="2024"/>
      <c r="I3" s="2024"/>
      <c r="J3" s="2024"/>
      <c r="K3" s="2025"/>
      <c r="L3" s="2026"/>
      <c r="M3" s="2026"/>
      <c r="N3" s="2027"/>
      <c r="O3" s="2028"/>
      <c r="P3" s="2027"/>
      <c r="Q3" s="2027"/>
      <c r="R3" s="2027"/>
      <c r="S3" s="2029"/>
    </row>
    <row r="4" spans="1:19" ht="18" customHeight="1" thickBot="1">
      <c r="A4" s="2036" t="s">
        <v>1773</v>
      </c>
      <c r="B4" s="2037" t="s">
        <v>3137</v>
      </c>
      <c r="C4" s="1036">
        <f ca="1">SUMIF(注册房地产估价师,B4,估价师及机构信息!B3:B24)</f>
        <v>1419970001</v>
      </c>
      <c r="D4" s="2037" t="s">
        <v>3138</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1774</v>
      </c>
      <c r="B5" s="2963" t="s">
        <v>3139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1775</v>
      </c>
      <c r="B6" s="2963" t="s">
        <v>3139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64" t="s">
        <v>3140</v>
      </c>
      <c r="C7" s="2046"/>
      <c r="D7" s="2047"/>
      <c r="E7" s="2032"/>
      <c r="F7" s="2040"/>
      <c r="G7" s="2040"/>
      <c r="H7" s="2040"/>
      <c r="I7" s="2040"/>
      <c r="J7" s="2040"/>
      <c r="K7" s="2049"/>
      <c r="L7" s="2026"/>
      <c r="M7" s="2026"/>
      <c r="N7" s="2027"/>
      <c r="O7" s="2028"/>
      <c r="P7" s="2027"/>
      <c r="Q7" s="2027"/>
      <c r="R7" s="2027"/>
    </row>
    <row r="8" spans="1:19" ht="18" customHeight="1">
      <c r="A8" s="2045" t="s">
        <v>1777</v>
      </c>
      <c r="B8" s="2050" t="s">
        <v>3141</v>
      </c>
      <c r="C8" s="2051"/>
      <c r="D8" s="3052" t="s">
        <v>1778</v>
      </c>
      <c r="E8" s="2052" t="s">
        <v>3142</v>
      </c>
      <c r="F8" s="2053"/>
      <c r="G8" s="2024"/>
      <c r="H8" s="2024"/>
      <c r="I8" s="2024"/>
      <c r="J8" s="2040"/>
      <c r="K8" s="2041"/>
      <c r="L8" s="2026"/>
      <c r="M8" s="2026"/>
      <c r="N8" s="2027"/>
      <c r="O8" s="2028"/>
      <c r="P8" s="2027"/>
      <c r="Q8" s="2027"/>
      <c r="R8" s="2027"/>
    </row>
    <row r="9" spans="1:19" ht="18" customHeight="1" thickBot="1">
      <c r="A9" s="2038" t="s">
        <v>1779</v>
      </c>
      <c r="B9" s="2054" t="s">
        <v>3142</v>
      </c>
      <c r="C9" s="2055"/>
      <c r="D9" s="3053"/>
      <c r="E9" s="2054" t="s">
        <v>70</v>
      </c>
      <c r="F9" s="2056"/>
      <c r="G9" s="2057"/>
      <c r="H9" s="2057"/>
      <c r="I9" s="2057"/>
      <c r="J9" s="2040"/>
      <c r="K9" s="2049"/>
      <c r="L9" s="2026"/>
      <c r="M9" s="2026"/>
      <c r="N9" s="2027"/>
      <c r="O9" s="2028"/>
      <c r="P9" s="2027"/>
      <c r="Q9" s="2027"/>
      <c r="R9" s="2027"/>
    </row>
    <row r="10" spans="1:19" ht="18" customHeight="1" thickTop="1">
      <c r="A10" s="2058" t="s">
        <v>1780</v>
      </c>
      <c r="B10" s="2059" t="s">
        <v>3143</v>
      </c>
      <c r="C10" s="2965" t="s">
        <v>3144</v>
      </c>
      <c r="D10" s="2044"/>
      <c r="E10" s="2060" t="s">
        <v>1781</v>
      </c>
      <c r="F10" s="2966" t="s">
        <v>3145</v>
      </c>
      <c r="G10" s="2061"/>
      <c r="H10" s="2062"/>
      <c r="I10" s="2044"/>
      <c r="J10" s="2040"/>
      <c r="K10" s="2049"/>
      <c r="L10" s="2026"/>
      <c r="M10" s="2026"/>
      <c r="N10" s="2027"/>
      <c r="O10" s="2028"/>
      <c r="P10" s="2027"/>
      <c r="Q10" s="2027"/>
      <c r="R10" s="2027"/>
    </row>
    <row r="11" spans="1:19" ht="18" customHeight="1">
      <c r="A11" s="2063" t="s">
        <v>1782</v>
      </c>
      <c r="B11" s="2064"/>
      <c r="C11" s="2065"/>
      <c r="D11" s="2066"/>
      <c r="E11" s="2040"/>
      <c r="F11" s="2040"/>
      <c r="G11" s="2040"/>
      <c r="H11" s="2040"/>
      <c r="I11" s="2040"/>
      <c r="J11" s="2040"/>
      <c r="K11" s="2049"/>
      <c r="L11" s="2026"/>
      <c r="M11" s="2026"/>
      <c r="N11" s="2027"/>
      <c r="O11" s="2028"/>
      <c r="P11" s="2027"/>
      <c r="Q11" s="2027"/>
      <c r="R11" s="2027"/>
    </row>
    <row r="12" spans="1:19" ht="18" customHeight="1">
      <c r="A12" s="2067" t="s">
        <v>1783</v>
      </c>
      <c r="B12" s="2064" t="s">
        <v>3146</v>
      </c>
      <c r="C12" s="2068" t="s">
        <v>1784</v>
      </c>
      <c r="D12" s="2069" t="s">
        <v>1785</v>
      </c>
      <c r="E12" s="2069" t="s">
        <v>1786</v>
      </c>
      <c r="F12" s="2069" t="s">
        <v>1787</v>
      </c>
      <c r="G12" s="2069" t="s">
        <v>1788</v>
      </c>
      <c r="H12" s="2069" t="s">
        <v>1789</v>
      </c>
      <c r="I12" s="2069" t="s">
        <v>1790</v>
      </c>
      <c r="J12" s="2040"/>
      <c r="K12" s="2049"/>
      <c r="L12" s="2026"/>
      <c r="M12" s="2026"/>
      <c r="N12" s="2027"/>
      <c r="O12" s="2028"/>
      <c r="P12" s="2027"/>
      <c r="Q12" s="2027"/>
      <c r="R12" s="2027"/>
    </row>
    <row r="13" spans="1:19" ht="18" customHeight="1">
      <c r="A13" s="2070"/>
      <c r="B13" s="2071"/>
      <c r="C13" s="2072" t="s">
        <v>1791</v>
      </c>
      <c r="D13" s="2073">
        <v>67205</v>
      </c>
      <c r="E13" s="2073">
        <v>56248</v>
      </c>
      <c r="F13" s="2073"/>
      <c r="G13" s="2073">
        <v>59900</v>
      </c>
      <c r="H13" s="2073"/>
      <c r="I13" s="1046"/>
      <c r="J13" s="2040"/>
      <c r="K13" s="2049"/>
      <c r="L13" s="2026"/>
      <c r="M13" s="2026"/>
      <c r="N13" s="2027"/>
      <c r="O13" s="2028"/>
      <c r="P13" s="2027"/>
      <c r="Q13" s="2027"/>
      <c r="R13" s="2027"/>
    </row>
    <row r="14" spans="1:19" ht="18" customHeight="1">
      <c r="A14" s="2070"/>
      <c r="B14" s="2071"/>
      <c r="C14" s="2072" t="s">
        <v>1792</v>
      </c>
      <c r="D14" s="1049">
        <v>70</v>
      </c>
      <c r="E14" s="1049">
        <v>40</v>
      </c>
      <c r="F14" s="1049"/>
      <c r="G14" s="1049">
        <v>50</v>
      </c>
      <c r="H14" s="1049"/>
      <c r="I14" s="1049"/>
      <c r="J14" s="2040"/>
      <c r="K14" s="2074"/>
      <c r="L14" s="2026"/>
      <c r="M14" s="2026"/>
      <c r="N14" s="2027"/>
      <c r="O14" s="2028"/>
      <c r="P14" s="2027"/>
      <c r="Q14" s="2027"/>
      <c r="R14" s="2027"/>
    </row>
    <row r="15" spans="1:19" ht="18" customHeight="1">
      <c r="A15" s="2058"/>
      <c r="B15" s="2075"/>
      <c r="C15" s="2072" t="s">
        <v>1793</v>
      </c>
      <c r="D15" s="1048">
        <f>IF(B12="出让",IF(D13="","",ROUNDDOWN(MIN((D13-$D$3)/365,D14),2)),D14)</f>
        <v>64.959999999999994</v>
      </c>
      <c r="E15" s="1048">
        <f>IF(B12="出让",IF(E13="","",ROUNDDOWN(MIN((E13-$D$3)/365,E14),2)),E14)</f>
        <v>34.94</v>
      </c>
      <c r="F15" s="1048" t="str">
        <f>IF(B12="出让",IF(F13="","",ROUNDDOWN(MIN((F13-$D$3)/365,F14),2)),F14)</f>
        <v/>
      </c>
      <c r="G15" s="1048">
        <f>IF(B12="出让",IF(G13="","",ROUNDDOWN(MIN((G13-$D$3)/365,G14),2)),G14)</f>
        <v>44.95</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1794</v>
      </c>
      <c r="B16" s="3059" t="s">
        <v>3148</v>
      </c>
      <c r="C16" s="3060"/>
      <c r="D16" s="3061"/>
      <c r="E16" s="2079" t="s">
        <v>1795</v>
      </c>
      <c r="F16" s="3062" t="s">
        <v>3149</v>
      </c>
      <c r="G16" s="3063"/>
      <c r="H16" s="3063"/>
      <c r="I16" s="3064"/>
      <c r="J16" s="2027"/>
      <c r="K16" s="2076"/>
      <c r="L16" s="2077"/>
      <c r="M16" s="2077"/>
      <c r="N16" s="2078"/>
      <c r="O16" s="2077"/>
      <c r="P16" s="2078"/>
      <c r="Q16" s="2027"/>
      <c r="R16" s="2027"/>
    </row>
    <row r="17" spans="1:22" ht="18" customHeight="1">
      <c r="A17" s="2080" t="s">
        <v>1796</v>
      </c>
      <c r="B17" s="2033" t="s">
        <v>1797</v>
      </c>
      <c r="C17" s="1053">
        <f>'数据-汇总表'!E3</f>
        <v>269955.14</v>
      </c>
      <c r="D17" s="2081" t="s">
        <v>1798</v>
      </c>
      <c r="E17" s="3065" t="s">
        <v>1799</v>
      </c>
      <c r="F17" s="3066"/>
      <c r="G17" s="3066"/>
      <c r="H17" s="3066"/>
      <c r="I17" s="3067"/>
      <c r="J17" s="2027"/>
      <c r="K17" s="2082"/>
      <c r="L17" s="2077"/>
      <c r="M17" s="2077"/>
      <c r="N17" s="2078"/>
      <c r="O17" s="2077"/>
      <c r="P17" s="2078"/>
      <c r="Q17" s="2027"/>
      <c r="R17" s="2027"/>
      <c r="S17" s="2027"/>
      <c r="T17" s="2027"/>
      <c r="U17" s="2027"/>
      <c r="V17" s="2027"/>
    </row>
    <row r="18" spans="1:22" ht="36" customHeight="1" thickBot="1">
      <c r="A18" s="2083" t="s">
        <v>1800</v>
      </c>
      <c r="B18" s="2036" t="s">
        <v>1801</v>
      </c>
      <c r="C18" s="1443">
        <f>'数据-汇总表'!D3</f>
        <v>102537.74</v>
      </c>
      <c r="D18" s="2084" t="s">
        <v>1798</v>
      </c>
      <c r="E18" s="3068" t="s">
        <v>1802</v>
      </c>
      <c r="F18" s="3069"/>
      <c r="G18" s="3069"/>
      <c r="H18" s="3069"/>
      <c r="I18" s="3070"/>
      <c r="J18" s="2027"/>
      <c r="K18" s="2082"/>
      <c r="L18" s="2077"/>
      <c r="M18" s="2077"/>
      <c r="N18" s="2078"/>
      <c r="O18" s="2077"/>
      <c r="P18" s="2078"/>
      <c r="Q18" s="2027"/>
      <c r="R18" s="2027"/>
      <c r="S18" s="2027"/>
      <c r="T18" s="2027"/>
      <c r="U18" s="2027"/>
      <c r="V18" s="2027"/>
    </row>
    <row r="19" spans="1:22" ht="37.5" customHeight="1" thickTop="1" thickBot="1">
      <c r="A19" s="371" t="s">
        <v>1803</v>
      </c>
      <c r="B19" s="350" t="s">
        <v>1804</v>
      </c>
      <c r="C19" s="2085"/>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055" t="s">
        <v>1807</v>
      </c>
      <c r="C20" s="3056"/>
      <c r="D20" s="3057" t="s">
        <v>1808</v>
      </c>
      <c r="E20" s="3058"/>
      <c r="F20" s="2091" t="s">
        <v>1809</v>
      </c>
      <c r="G20" s="2040"/>
      <c r="H20" s="2040"/>
      <c r="I20" s="2040"/>
      <c r="J20" s="2040"/>
      <c r="K20" s="3054"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1811</v>
      </c>
      <c r="C21" s="2093" t="s">
        <v>3150</v>
      </c>
      <c r="D21" s="2094" t="s">
        <v>1813</v>
      </c>
      <c r="E21" s="2095" t="s">
        <v>1812</v>
      </c>
      <c r="F21" s="2096"/>
      <c r="G21" s="2040"/>
      <c r="H21" s="2040"/>
      <c r="I21" s="2040"/>
      <c r="J21" s="2040"/>
      <c r="K21" s="305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1814</v>
      </c>
      <c r="C22" s="2093" t="s">
        <v>1815</v>
      </c>
      <c r="D22" s="2024"/>
      <c r="E22" s="2024"/>
      <c r="F22" s="2098"/>
      <c r="G22" s="2040"/>
      <c r="H22" s="2040"/>
      <c r="I22" s="2040"/>
      <c r="J22" s="2040"/>
      <c r="K22" s="305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1" t="s">
        <v>1817</v>
      </c>
      <c r="C23" s="2100"/>
      <c r="D23" s="2101" t="s">
        <v>1817</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1" t="s">
        <v>1818</v>
      </c>
      <c r="C24" s="2105"/>
      <c r="D24" s="2099" t="s">
        <v>1818</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1" t="s">
        <v>1819</v>
      </c>
      <c r="C25" s="2105"/>
      <c r="D25" s="2099" t="s">
        <v>1819</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72" t="s">
        <v>1822</v>
      </c>
      <c r="B27" s="2058" t="s">
        <v>1823</v>
      </c>
      <c r="C27" s="2113" t="s">
        <v>3151</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72"/>
      <c r="B28" s="2033" t="s">
        <v>1824</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72"/>
      <c r="B29" s="2033" t="s">
        <v>1825</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73"/>
      <c r="B30" s="2033" t="s">
        <v>1826</v>
      </c>
      <c r="C30" s="3074"/>
      <c r="D30" s="307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76" t="s">
        <v>1827</v>
      </c>
      <c r="B31" s="2120" t="s">
        <v>3152</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77"/>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77"/>
      <c r="B33" s="2124"/>
      <c r="C33" s="2063"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7" t="s">
        <v>3153</v>
      </c>
      <c r="C34" s="2127" t="s">
        <v>3154</v>
      </c>
      <c r="D34" s="2127" t="s">
        <v>3155</v>
      </c>
      <c r="E34" s="2127" t="s">
        <v>3156</v>
      </c>
      <c r="F34" s="2127" t="s">
        <v>3157</v>
      </c>
      <c r="G34" s="2127" t="s">
        <v>3158</v>
      </c>
      <c r="H34" s="2127" t="s">
        <v>3159</v>
      </c>
      <c r="I34" s="2040"/>
      <c r="J34" s="2040"/>
      <c r="K34" s="1793">
        <f>COUNTIF(B34:H34,"——")</f>
        <v>0</v>
      </c>
      <c r="L34" s="2068" t="s">
        <v>1829</v>
      </c>
      <c r="M34" s="2068" t="s">
        <v>1830</v>
      </c>
      <c r="N34" s="2068" t="s">
        <v>1831</v>
      </c>
      <c r="O34" s="2068" t="s">
        <v>1832</v>
      </c>
      <c r="P34" s="2068" t="s">
        <v>1833</v>
      </c>
      <c r="Q34" s="2068" t="s">
        <v>1834</v>
      </c>
      <c r="R34" s="2068" t="s">
        <v>1835</v>
      </c>
      <c r="S34" s="3071" t="s">
        <v>1836</v>
      </c>
      <c r="T34" s="2128" t="str">
        <f>NUMBERSTRING(7-K34,1)&amp;"通"</f>
        <v>七通</v>
      </c>
      <c r="U34" s="2027"/>
      <c r="V34" s="2027"/>
    </row>
    <row r="35" spans="1:22" ht="18" customHeight="1">
      <c r="A35" s="2129"/>
      <c r="B35" s="3078" t="s">
        <v>1837</v>
      </c>
      <c r="C35" s="3078"/>
      <c r="D35" s="3078"/>
      <c r="E35" s="3078"/>
      <c r="F35" s="2130" t="str">
        <f>C10</f>
        <v>陕西省</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1"/>
      <c r="T35" s="48" t="str">
        <f>IF(T34="一通",L35,IF(T34="二通",M35,IF(T34="三通",N35,IF(T34="四通",O35,IF(T34="五通",P35,IF(T34="六通",Q35,R35))))))</f>
        <v>通路、通电、通讯、通上水、通下水、通热、燃气</v>
      </c>
      <c r="U35" s="2027"/>
      <c r="V35" s="2027"/>
    </row>
    <row r="36" spans="1:22" ht="18" customHeight="1">
      <c r="A36" s="2131"/>
      <c r="B36" s="2130" t="s">
        <v>1838</v>
      </c>
      <c r="C36" s="2130" t="s">
        <v>1839</v>
      </c>
      <c r="D36" s="2130" t="s">
        <v>1840</v>
      </c>
      <c r="E36" s="2130" t="s">
        <v>1841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pane xSplit="2" ySplit="2" topLeftCell="F3" activePane="bottomRight" state="frozen"/>
      <selection pane="topRight" activeCell="B1" sqref="B1"/>
      <selection pane="bottomLeft" activeCell="A3" sqref="A3"/>
      <selection pane="bottomRight" activeCell="M15" sqref="M15"/>
    </sheetView>
  </sheetViews>
  <sheetFormatPr defaultRowHeight="13.5"/>
  <cols>
    <col min="1" max="2" width="9" style="2944"/>
    <col min="3" max="3" width="27" style="2944" bestFit="1" customWidth="1"/>
    <col min="4" max="5" width="9" style="2942"/>
    <col min="6" max="6" width="13.625" style="2942" customWidth="1"/>
    <col min="7" max="7" width="11.875" style="2942" customWidth="1"/>
    <col min="8" max="8" width="12.375" style="2942" bestFit="1" customWidth="1"/>
    <col min="9" max="9" width="13" style="2942" bestFit="1" customWidth="1"/>
    <col min="12" max="12" width="15.125" bestFit="1" customWidth="1"/>
    <col min="13" max="13" width="10.5" bestFit="1" customWidth="1"/>
    <col min="14" max="14" width="11.875" customWidth="1"/>
    <col min="16" max="16" width="10.5" bestFit="1" customWidth="1"/>
    <col min="18" max="18" width="10.875" customWidth="1"/>
  </cols>
  <sheetData>
    <row r="1" spans="1:18">
      <c r="A1" s="3083"/>
      <c r="B1" s="3083" t="s">
        <v>3049</v>
      </c>
      <c r="C1" s="3083" t="s">
        <v>3048</v>
      </c>
      <c r="D1" s="3096" t="s">
        <v>3053</v>
      </c>
      <c r="E1" s="3097"/>
      <c r="F1" s="3096" t="s">
        <v>3054</v>
      </c>
      <c r="G1" s="3097"/>
      <c r="H1" s="3096" t="s">
        <v>3055</v>
      </c>
      <c r="I1" s="3097"/>
    </row>
    <row r="2" spans="1:18">
      <c r="A2" s="3085"/>
      <c r="B2" s="3085"/>
      <c r="C2" s="3085"/>
      <c r="D2" s="2943" t="s">
        <v>3051</v>
      </c>
      <c r="E2" s="2943" t="s">
        <v>3052</v>
      </c>
      <c r="F2" s="2943" t="s">
        <v>3051</v>
      </c>
      <c r="G2" s="2943" t="s">
        <v>3052</v>
      </c>
      <c r="H2" s="2943" t="s">
        <v>3051</v>
      </c>
      <c r="I2" s="2943" t="s">
        <v>3052</v>
      </c>
    </row>
    <row r="3" spans="1:18">
      <c r="A3" s="3083" t="s">
        <v>3115</v>
      </c>
      <c r="B3" s="2943">
        <v>1</v>
      </c>
      <c r="C3" s="2943" t="s">
        <v>3059</v>
      </c>
      <c r="D3" s="2941">
        <v>31</v>
      </c>
      <c r="E3" s="2941">
        <v>1</v>
      </c>
      <c r="F3" s="2941">
        <v>14108.3</v>
      </c>
      <c r="G3" s="2941"/>
      <c r="H3" s="2941" t="s">
        <v>3057</v>
      </c>
      <c r="I3" s="2941" t="s">
        <v>3058</v>
      </c>
      <c r="K3" s="3079" t="s">
        <v>3125</v>
      </c>
      <c r="L3" s="3092"/>
      <c r="M3" s="3092"/>
      <c r="N3" s="3080"/>
      <c r="O3" s="3086" t="s">
        <v>3117</v>
      </c>
      <c r="P3" s="3088"/>
      <c r="Q3" s="3088"/>
      <c r="R3" s="3087"/>
    </row>
    <row r="4" spans="1:18">
      <c r="A4" s="3084"/>
      <c r="B4" s="2943">
        <v>2</v>
      </c>
      <c r="C4" s="2943" t="s">
        <v>3060</v>
      </c>
      <c r="D4" s="2941">
        <v>31</v>
      </c>
      <c r="E4" s="2941">
        <v>1</v>
      </c>
      <c r="F4" s="2941">
        <v>14108.3</v>
      </c>
      <c r="G4" s="2941"/>
      <c r="H4" s="2941" t="s">
        <v>3057</v>
      </c>
      <c r="I4" s="2941" t="s">
        <v>3058</v>
      </c>
      <c r="K4" s="3079" t="s">
        <v>3116</v>
      </c>
      <c r="L4" s="3080"/>
      <c r="M4" s="2949">
        <f>65092.44+11914</f>
        <v>77006.44</v>
      </c>
      <c r="N4" s="2949"/>
      <c r="O4" s="3086" t="s">
        <v>3116</v>
      </c>
      <c r="P4" s="3087"/>
      <c r="Q4" s="2947">
        <v>52936.71</v>
      </c>
      <c r="R4" s="2947"/>
    </row>
    <row r="5" spans="1:18">
      <c r="A5" s="3084"/>
      <c r="B5" s="2943">
        <v>3</v>
      </c>
      <c r="C5" s="2943" t="s">
        <v>3061</v>
      </c>
      <c r="D5" s="2941">
        <v>31</v>
      </c>
      <c r="E5" s="2941">
        <v>1</v>
      </c>
      <c r="F5" s="2941">
        <v>14108.3</v>
      </c>
      <c r="G5" s="2941"/>
      <c r="H5" s="2941" t="s">
        <v>3057</v>
      </c>
      <c r="I5" s="2941" t="s">
        <v>3058</v>
      </c>
      <c r="K5" s="3079" t="s">
        <v>3118</v>
      </c>
      <c r="L5" s="3080"/>
      <c r="M5" s="2949">
        <f>SUM(M10,M6)</f>
        <v>202932.25</v>
      </c>
      <c r="N5" s="2949"/>
      <c r="O5" s="3086" t="s">
        <v>3118</v>
      </c>
      <c r="P5" s="3087"/>
      <c r="Q5" s="2947">
        <f>SUM(Q6,Q10)</f>
        <v>139174.19</v>
      </c>
      <c r="R5" s="2947"/>
    </row>
    <row r="6" spans="1:18">
      <c r="A6" s="3084"/>
      <c r="B6" s="2943">
        <v>4</v>
      </c>
      <c r="C6" s="2943" t="s">
        <v>3062</v>
      </c>
      <c r="D6" s="2941">
        <v>31</v>
      </c>
      <c r="E6" s="2941">
        <v>1</v>
      </c>
      <c r="F6" s="2941">
        <v>14108.3</v>
      </c>
      <c r="G6" s="2941"/>
      <c r="H6" s="2941" t="s">
        <v>3057</v>
      </c>
      <c r="I6" s="2941" t="s">
        <v>3058</v>
      </c>
      <c r="K6" s="3079" t="s">
        <v>3119</v>
      </c>
      <c r="L6" s="3080"/>
      <c r="M6" s="2950">
        <f>SUM(M7:M9)</f>
        <v>141975.31</v>
      </c>
      <c r="N6" s="2949"/>
      <c r="O6" s="3086" t="s">
        <v>3119</v>
      </c>
      <c r="P6" s="3087"/>
      <c r="Q6" s="2948">
        <f>SUM(Q7:Q9)</f>
        <v>91922.36</v>
      </c>
      <c r="R6" s="2947"/>
    </row>
    <row r="7" spans="1:18">
      <c r="A7" s="3084"/>
      <c r="B7" s="2943">
        <v>5</v>
      </c>
      <c r="C7" s="2943" t="s">
        <v>3063</v>
      </c>
      <c r="D7" s="2941">
        <v>28</v>
      </c>
      <c r="E7" s="2941">
        <v>2</v>
      </c>
      <c r="F7" s="2941">
        <v>12746.06</v>
      </c>
      <c r="G7" s="2941"/>
      <c r="H7" s="2941" t="s">
        <v>3057</v>
      </c>
      <c r="I7" s="2941" t="s">
        <v>3058</v>
      </c>
      <c r="K7" s="3093" t="s">
        <v>3123</v>
      </c>
      <c r="L7" s="2950" t="s">
        <v>3120</v>
      </c>
      <c r="M7" s="2950">
        <v>139943.46</v>
      </c>
      <c r="N7" s="2949"/>
      <c r="O7" s="3089" t="s">
        <v>3123</v>
      </c>
      <c r="P7" s="2948" t="s">
        <v>3120</v>
      </c>
      <c r="Q7" s="2948">
        <v>86413.3</v>
      </c>
      <c r="R7" s="2947"/>
    </row>
    <row r="8" spans="1:18">
      <c r="A8" s="3084"/>
      <c r="B8" s="2943">
        <v>6</v>
      </c>
      <c r="C8" s="2943" t="s">
        <v>3064</v>
      </c>
      <c r="D8" s="2941">
        <v>31</v>
      </c>
      <c r="E8" s="2941">
        <v>2</v>
      </c>
      <c r="F8" s="2941">
        <v>11795.55</v>
      </c>
      <c r="G8" s="2941"/>
      <c r="H8" s="2946" t="s">
        <v>3067</v>
      </c>
      <c r="I8" s="2946" t="s">
        <v>3058</v>
      </c>
      <c r="K8" s="3094"/>
      <c r="L8" s="2950" t="s">
        <v>3121</v>
      </c>
      <c r="M8" s="2949">
        <v>2031.85</v>
      </c>
      <c r="N8" s="2949"/>
      <c r="O8" s="3090"/>
      <c r="P8" s="2948" t="s">
        <v>3121</v>
      </c>
      <c r="Q8" s="2947">
        <v>2364.4299999999998</v>
      </c>
      <c r="R8" s="2947"/>
    </row>
    <row r="9" spans="1:18">
      <c r="A9" s="3084"/>
      <c r="B9" s="2943">
        <v>7</v>
      </c>
      <c r="C9" s="2943" t="s">
        <v>3065</v>
      </c>
      <c r="D9" s="2941">
        <v>31</v>
      </c>
      <c r="E9" s="2941">
        <v>2</v>
      </c>
      <c r="F9" s="2941">
        <v>14108.3</v>
      </c>
      <c r="G9" s="2941"/>
      <c r="H9" s="2941" t="s">
        <v>3057</v>
      </c>
      <c r="I9" s="2941" t="s">
        <v>3058</v>
      </c>
      <c r="K9" s="3095"/>
      <c r="L9" s="2950" t="s">
        <v>3122</v>
      </c>
      <c r="M9" s="2949">
        <v>0</v>
      </c>
      <c r="N9" s="2949"/>
      <c r="O9" s="3091"/>
      <c r="P9" s="2948" t="s">
        <v>3122</v>
      </c>
      <c r="Q9" s="2947">
        <v>3144.63</v>
      </c>
      <c r="R9" s="2947"/>
    </row>
    <row r="10" spans="1:18">
      <c r="A10" s="3084"/>
      <c r="B10" s="2943">
        <v>8</v>
      </c>
      <c r="C10" s="2943" t="s">
        <v>3066</v>
      </c>
      <c r="D10" s="2941">
        <v>28</v>
      </c>
      <c r="E10" s="2941">
        <v>2</v>
      </c>
      <c r="F10" s="2941">
        <v>12746.06</v>
      </c>
      <c r="G10" s="2941"/>
      <c r="H10" s="2946" t="s">
        <v>3067</v>
      </c>
      <c r="I10" s="2946" t="s">
        <v>3058</v>
      </c>
      <c r="K10" s="3079" t="s">
        <v>3124</v>
      </c>
      <c r="L10" s="3080"/>
      <c r="M10" s="2949">
        <v>60956.94</v>
      </c>
      <c r="N10" s="2949"/>
      <c r="O10" s="3086" t="s">
        <v>3124</v>
      </c>
      <c r="P10" s="3087"/>
      <c r="Q10" s="2947">
        <v>47251.83</v>
      </c>
      <c r="R10" s="2947"/>
    </row>
    <row r="11" spans="1:18">
      <c r="A11" s="3084"/>
      <c r="B11" s="2943">
        <v>9</v>
      </c>
      <c r="C11" s="2943" t="s">
        <v>3068</v>
      </c>
      <c r="D11" s="2941">
        <v>30</v>
      </c>
      <c r="E11" s="2941">
        <v>1</v>
      </c>
      <c r="F11" s="2941">
        <v>8528.75</v>
      </c>
      <c r="G11" s="2941"/>
      <c r="H11" s="2946" t="s">
        <v>3067</v>
      </c>
      <c r="I11" s="2946" t="s">
        <v>3058</v>
      </c>
      <c r="K11" s="2940"/>
      <c r="L11" s="2940"/>
      <c r="M11" s="2940"/>
      <c r="N11" s="2940"/>
    </row>
    <row r="12" spans="1:18">
      <c r="A12" s="3084"/>
      <c r="B12" s="2952">
        <v>10</v>
      </c>
      <c r="C12" s="2952" t="s">
        <v>3069</v>
      </c>
      <c r="D12" s="2953">
        <v>3</v>
      </c>
      <c r="E12" s="2953">
        <v>1</v>
      </c>
      <c r="F12" s="2953">
        <v>1012.56</v>
      </c>
      <c r="G12" s="2953"/>
      <c r="H12" s="2953" t="s">
        <v>3070</v>
      </c>
      <c r="I12" s="2953" t="s">
        <v>3058</v>
      </c>
    </row>
    <row r="13" spans="1:18" ht="27">
      <c r="A13" s="3084"/>
      <c r="B13" s="2952">
        <v>11</v>
      </c>
      <c r="C13" s="2952" t="s">
        <v>3080</v>
      </c>
      <c r="D13" s="2953">
        <v>3</v>
      </c>
      <c r="E13" s="2953">
        <v>1</v>
      </c>
      <c r="F13" s="2953">
        <v>4216.68</v>
      </c>
      <c r="G13" s="2953"/>
      <c r="H13" s="2953" t="s">
        <v>3070</v>
      </c>
      <c r="I13" s="2953" t="s">
        <v>3058</v>
      </c>
      <c r="M13" s="2957" t="s">
        <v>3130</v>
      </c>
      <c r="N13" s="2957" t="s">
        <v>3131</v>
      </c>
      <c r="O13" s="2957" t="s">
        <v>3132</v>
      </c>
      <c r="P13" s="2957" t="s">
        <v>3133</v>
      </c>
    </row>
    <row r="14" spans="1:18">
      <c r="A14" s="3084"/>
      <c r="B14" s="2952">
        <v>12</v>
      </c>
      <c r="C14" s="2952" t="s">
        <v>3081</v>
      </c>
      <c r="D14" s="2953">
        <v>3</v>
      </c>
      <c r="E14" s="2953">
        <v>1</v>
      </c>
      <c r="F14" s="2953">
        <v>1179</v>
      </c>
      <c r="G14" s="2953"/>
      <c r="H14" s="2953" t="s">
        <v>3070</v>
      </c>
      <c r="I14" s="2953" t="s">
        <v>3058</v>
      </c>
      <c r="K14" s="2954" t="s">
        <v>3116</v>
      </c>
      <c r="L14" s="2951"/>
      <c r="M14" s="2958">
        <f>M4+Q4</f>
        <v>129943.15</v>
      </c>
      <c r="N14" s="2958"/>
      <c r="O14" s="2958"/>
      <c r="P14" s="2958"/>
    </row>
    <row r="15" spans="1:18">
      <c r="A15" s="3084"/>
      <c r="B15" s="2952">
        <v>13</v>
      </c>
      <c r="C15" s="2952" t="s">
        <v>3082</v>
      </c>
      <c r="D15" s="2953">
        <v>3</v>
      </c>
      <c r="E15" s="2953">
        <v>1</v>
      </c>
      <c r="F15" s="2953">
        <v>1405.56</v>
      </c>
      <c r="G15" s="2953"/>
      <c r="H15" s="2953" t="s">
        <v>3070</v>
      </c>
      <c r="I15" s="2953" t="s">
        <v>3058</v>
      </c>
      <c r="K15" s="3081" t="s">
        <v>3118</v>
      </c>
      <c r="L15" s="3082"/>
      <c r="M15" s="2958">
        <f>SUM(M23,M16)</f>
        <v>342106.44</v>
      </c>
      <c r="N15" s="2958"/>
      <c r="O15" s="2958"/>
      <c r="P15" s="2958">
        <f>SUM(P23,P16)</f>
        <v>269955.14</v>
      </c>
    </row>
    <row r="16" spans="1:18">
      <c r="A16" s="3084"/>
      <c r="B16" s="2952">
        <v>14</v>
      </c>
      <c r="C16" s="2952" t="s">
        <v>3083</v>
      </c>
      <c r="D16" s="2953">
        <v>3</v>
      </c>
      <c r="E16" s="2953">
        <v>1</v>
      </c>
      <c r="F16" s="2953">
        <v>786</v>
      </c>
      <c r="G16" s="2953"/>
      <c r="H16" s="2953" t="s">
        <v>3070</v>
      </c>
      <c r="I16" s="2953" t="s">
        <v>3058</v>
      </c>
      <c r="K16" s="3081" t="s">
        <v>3119</v>
      </c>
      <c r="L16" s="3082"/>
      <c r="M16" s="2959">
        <f>SUM(M17:M20)</f>
        <v>233897.67</v>
      </c>
      <c r="N16" s="2958"/>
      <c r="O16" s="2958"/>
      <c r="P16" s="2959">
        <f>SUM(P17:P20)</f>
        <v>164437.01000000004</v>
      </c>
    </row>
    <row r="17" spans="1:16">
      <c r="A17" s="3084"/>
      <c r="B17" s="2943">
        <v>15</v>
      </c>
      <c r="C17" s="2943" t="s">
        <v>3071</v>
      </c>
      <c r="D17" s="2941">
        <v>1</v>
      </c>
      <c r="E17" s="2941">
        <v>1</v>
      </c>
      <c r="F17" s="2941">
        <v>442.67</v>
      </c>
      <c r="G17" s="2941"/>
      <c r="H17" s="2941" t="s">
        <v>3072</v>
      </c>
      <c r="I17" s="2941" t="s">
        <v>3058</v>
      </c>
      <c r="K17" s="3081" t="s">
        <v>3123</v>
      </c>
      <c r="L17" s="2955" t="s">
        <v>3127</v>
      </c>
      <c r="M17" s="2959">
        <f>SUM(F12:F16)+SUM(F20:F27)+SUM(F34:F39)+SUM(F48:F53)</f>
        <v>48495.33</v>
      </c>
      <c r="N17" s="2958">
        <v>13027.46</v>
      </c>
      <c r="O17" s="2958"/>
      <c r="P17" s="2958">
        <f>M17-N17-O17</f>
        <v>35467.870000000003</v>
      </c>
    </row>
    <row r="18" spans="1:16">
      <c r="A18" s="3084"/>
      <c r="B18" s="2943">
        <v>16</v>
      </c>
      <c r="C18" s="2943" t="s">
        <v>3073</v>
      </c>
      <c r="D18" s="2941">
        <v>1</v>
      </c>
      <c r="E18" s="2941">
        <v>1</v>
      </c>
      <c r="F18" s="2941">
        <v>615.16</v>
      </c>
      <c r="G18" s="2941"/>
      <c r="H18" s="2941" t="s">
        <v>3072</v>
      </c>
      <c r="I18" s="2941" t="s">
        <v>3058</v>
      </c>
      <c r="K18" s="3081"/>
      <c r="L18" s="2955" t="s">
        <v>3128</v>
      </c>
      <c r="M18" s="2959">
        <f>SUM(F3:F11)-(M8-F17-F18-F19)+SUM(F29:F33)-(Q8-F46-F47)</f>
        <v>177861.43000000002</v>
      </c>
      <c r="N18" s="2958"/>
      <c r="O18" s="2958">
        <f>F3+F4+F5+F6</f>
        <v>56433.2</v>
      </c>
      <c r="P18" s="2958">
        <f t="shared" ref="P18:P20" si="0">M18-N18-O18</f>
        <v>121428.23000000003</v>
      </c>
    </row>
    <row r="19" spans="1:16">
      <c r="A19" s="3084"/>
      <c r="B19" s="2943">
        <v>17</v>
      </c>
      <c r="C19" s="2943" t="s">
        <v>3074</v>
      </c>
      <c r="D19" s="2941">
        <v>1</v>
      </c>
      <c r="E19" s="2941">
        <v>1</v>
      </c>
      <c r="F19" s="2941">
        <v>354.29</v>
      </c>
      <c r="G19" s="2941"/>
      <c r="H19" s="2941" t="s">
        <v>3072</v>
      </c>
      <c r="I19" s="2941" t="s">
        <v>3058</v>
      </c>
      <c r="K19" s="3081"/>
      <c r="L19" s="2955" t="s">
        <v>3129</v>
      </c>
      <c r="M19" s="2959">
        <f>M8+Q8</f>
        <v>4396.28</v>
      </c>
      <c r="N19" s="2958"/>
      <c r="O19" s="2958"/>
      <c r="P19" s="2958">
        <f t="shared" si="0"/>
        <v>4396.28</v>
      </c>
    </row>
    <row r="20" spans="1:16">
      <c r="A20" s="3084"/>
      <c r="B20" s="2952">
        <v>18</v>
      </c>
      <c r="C20" s="2952" t="s">
        <v>3075</v>
      </c>
      <c r="D20" s="2953">
        <v>3</v>
      </c>
      <c r="E20" s="2953">
        <v>1</v>
      </c>
      <c r="F20" s="2953">
        <v>2275.3200000000002</v>
      </c>
      <c r="G20" s="2953"/>
      <c r="H20" s="2953" t="s">
        <v>3070</v>
      </c>
      <c r="I20" s="2953" t="s">
        <v>3058</v>
      </c>
      <c r="K20" s="3081"/>
      <c r="L20" s="2955" t="s">
        <v>3122</v>
      </c>
      <c r="M20" s="2959">
        <f>Q9</f>
        <v>3144.63</v>
      </c>
      <c r="N20" s="2958"/>
      <c r="O20" s="2958"/>
      <c r="P20" s="2958">
        <f t="shared" si="0"/>
        <v>3144.63</v>
      </c>
    </row>
    <row r="21" spans="1:16">
      <c r="A21" s="3084"/>
      <c r="B21" s="2952">
        <v>19</v>
      </c>
      <c r="C21" s="2952" t="s">
        <v>3076</v>
      </c>
      <c r="D21" s="2953">
        <v>3</v>
      </c>
      <c r="E21" s="2953">
        <v>1</v>
      </c>
      <c r="F21" s="2953">
        <v>1896.1</v>
      </c>
      <c r="G21" s="2953"/>
      <c r="H21" s="2953" t="s">
        <v>3070</v>
      </c>
      <c r="I21" s="2953" t="s">
        <v>3058</v>
      </c>
      <c r="K21" s="3081"/>
      <c r="L21" s="2956"/>
      <c r="M21" s="2958"/>
      <c r="N21" s="2958"/>
      <c r="O21" s="2958"/>
      <c r="P21" s="2958"/>
    </row>
    <row r="22" spans="1:16">
      <c r="A22" s="3084"/>
      <c r="B22" s="2952">
        <v>20</v>
      </c>
      <c r="C22" s="2952" t="s">
        <v>3077</v>
      </c>
      <c r="D22" s="2953">
        <v>3</v>
      </c>
      <c r="E22" s="2953">
        <v>1</v>
      </c>
      <c r="F22" s="2953">
        <v>1896.1</v>
      </c>
      <c r="G22" s="2953"/>
      <c r="H22" s="2953" t="s">
        <v>3070</v>
      </c>
      <c r="I22" s="2953" t="s">
        <v>3058</v>
      </c>
      <c r="K22" s="3081"/>
      <c r="L22" s="2956"/>
      <c r="M22" s="2958"/>
      <c r="N22" s="2958"/>
      <c r="O22" s="2958"/>
      <c r="P22" s="2958"/>
    </row>
    <row r="23" spans="1:16">
      <c r="A23" s="3084"/>
      <c r="B23" s="2952">
        <v>21</v>
      </c>
      <c r="C23" s="2952" t="s">
        <v>3078</v>
      </c>
      <c r="D23" s="2953">
        <v>3</v>
      </c>
      <c r="E23" s="2953">
        <v>1</v>
      </c>
      <c r="F23" s="2953">
        <v>2465.16</v>
      </c>
      <c r="G23" s="2953"/>
      <c r="H23" s="2953" t="s">
        <v>3070</v>
      </c>
      <c r="I23" s="2953" t="s">
        <v>3058</v>
      </c>
      <c r="K23" s="3081" t="s">
        <v>3124</v>
      </c>
      <c r="L23" s="3082"/>
      <c r="M23" s="2958">
        <f>M10+Q10</f>
        <v>108208.77</v>
      </c>
      <c r="N23" s="2958">
        <v>2690.64</v>
      </c>
      <c r="O23" s="2958"/>
      <c r="P23" s="2958">
        <f>M23-N23-O23</f>
        <v>105518.13</v>
      </c>
    </row>
    <row r="24" spans="1:16">
      <c r="A24" s="3084"/>
      <c r="B24" s="2952">
        <v>22</v>
      </c>
      <c r="C24" s="2952" t="s">
        <v>3079</v>
      </c>
      <c r="D24" s="2953">
        <v>3</v>
      </c>
      <c r="E24" s="2953">
        <v>1</v>
      </c>
      <c r="F24" s="2953">
        <v>1643.44</v>
      </c>
      <c r="G24" s="2953"/>
      <c r="H24" s="2953" t="s">
        <v>3070</v>
      </c>
      <c r="I24" s="2953" t="s">
        <v>3058</v>
      </c>
      <c r="N24" s="2960" t="s">
        <v>3134</v>
      </c>
      <c r="O24" s="2961"/>
    </row>
    <row r="25" spans="1:16">
      <c r="A25" s="3084"/>
      <c r="B25" s="2952">
        <v>23</v>
      </c>
      <c r="C25" s="2952" t="s">
        <v>3084</v>
      </c>
      <c r="D25" s="2953">
        <v>3</v>
      </c>
      <c r="E25" s="2953">
        <v>1</v>
      </c>
      <c r="F25" s="2953">
        <v>1225.5</v>
      </c>
      <c r="G25" s="2953"/>
      <c r="H25" s="2953" t="s">
        <v>3070</v>
      </c>
      <c r="I25" s="2953" t="s">
        <v>3058</v>
      </c>
      <c r="N25" s="2960" t="s">
        <v>3135</v>
      </c>
      <c r="O25" s="2961"/>
    </row>
    <row r="26" spans="1:16">
      <c r="A26" s="3084"/>
      <c r="B26" s="2952">
        <v>24</v>
      </c>
      <c r="C26" s="2952" t="s">
        <v>3085</v>
      </c>
      <c r="D26" s="2953">
        <v>3</v>
      </c>
      <c r="E26" s="2953">
        <v>1</v>
      </c>
      <c r="F26" s="2953">
        <v>822.8</v>
      </c>
      <c r="G26" s="2953"/>
      <c r="H26" s="2953" t="s">
        <v>3070</v>
      </c>
      <c r="I26" s="2953" t="s">
        <v>3058</v>
      </c>
    </row>
    <row r="27" spans="1:16">
      <c r="A27" s="3084"/>
      <c r="B27" s="2952">
        <v>25</v>
      </c>
      <c r="C27" s="2952" t="s">
        <v>3086</v>
      </c>
      <c r="D27" s="2953">
        <v>3</v>
      </c>
      <c r="E27" s="2953">
        <v>1</v>
      </c>
      <c r="F27" s="2953">
        <v>3381.05</v>
      </c>
      <c r="G27" s="2953"/>
      <c r="H27" s="2953" t="s">
        <v>3070</v>
      </c>
      <c r="I27" s="2953" t="s">
        <v>3058</v>
      </c>
    </row>
    <row r="28" spans="1:16">
      <c r="A28" s="3085"/>
      <c r="B28" s="2943"/>
      <c r="C28" s="2943" t="s">
        <v>3087</v>
      </c>
      <c r="D28" s="2941"/>
      <c r="E28" s="2941"/>
      <c r="F28" s="2941">
        <f>SUM(F3:F27)</f>
        <v>141975.31</v>
      </c>
      <c r="G28" s="2941">
        <v>60956.94</v>
      </c>
      <c r="H28" s="2941"/>
      <c r="I28" s="2941"/>
    </row>
    <row r="29" spans="1:16">
      <c r="A29" s="3083" t="s">
        <v>3114</v>
      </c>
      <c r="B29" s="2943">
        <v>26</v>
      </c>
      <c r="C29" s="2943" t="s">
        <v>3088</v>
      </c>
      <c r="D29" s="2941">
        <v>31</v>
      </c>
      <c r="E29" s="2941">
        <v>2</v>
      </c>
      <c r="F29" s="2941">
        <v>14108.66</v>
      </c>
      <c r="G29" s="2941"/>
      <c r="H29" s="2946" t="s">
        <v>3067</v>
      </c>
      <c r="I29" s="2946" t="s">
        <v>3058</v>
      </c>
    </row>
    <row r="30" spans="1:16">
      <c r="A30" s="3084"/>
      <c r="B30" s="2943">
        <v>27</v>
      </c>
      <c r="C30" s="2943" t="s">
        <v>3089</v>
      </c>
      <c r="D30" s="2941">
        <v>28</v>
      </c>
      <c r="E30" s="2941">
        <v>2</v>
      </c>
      <c r="F30" s="2941">
        <v>12741</v>
      </c>
      <c r="G30" s="2941"/>
      <c r="H30" s="2946" t="s">
        <v>3067</v>
      </c>
      <c r="I30" s="2946" t="s">
        <v>3058</v>
      </c>
    </row>
    <row r="31" spans="1:16">
      <c r="A31" s="3084"/>
      <c r="B31" s="2943">
        <v>28</v>
      </c>
      <c r="C31" s="2943" t="s">
        <v>3090</v>
      </c>
      <c r="D31" s="2941">
        <v>31</v>
      </c>
      <c r="E31" s="2941">
        <v>2</v>
      </c>
      <c r="F31" s="2941">
        <v>14103.24</v>
      </c>
      <c r="G31" s="2941"/>
      <c r="H31" s="2946" t="s">
        <v>3067</v>
      </c>
      <c r="I31" s="2946" t="s">
        <v>3058</v>
      </c>
    </row>
    <row r="32" spans="1:16">
      <c r="A32" s="3084"/>
      <c r="B32" s="2943">
        <v>29</v>
      </c>
      <c r="C32" s="2943" t="s">
        <v>3091</v>
      </c>
      <c r="D32" s="2941">
        <v>31</v>
      </c>
      <c r="E32" s="2941">
        <v>2</v>
      </c>
      <c r="F32" s="2941">
        <v>13457.58</v>
      </c>
      <c r="G32" s="2941"/>
      <c r="H32" s="2941" t="s">
        <v>3057</v>
      </c>
      <c r="I32" s="2941" t="s">
        <v>3058</v>
      </c>
    </row>
    <row r="33" spans="1:9">
      <c r="A33" s="3084"/>
      <c r="B33" s="2943">
        <v>30</v>
      </c>
      <c r="C33" s="2943" t="s">
        <v>3092</v>
      </c>
      <c r="D33" s="2941">
        <v>30</v>
      </c>
      <c r="E33" s="2941">
        <v>2</v>
      </c>
      <c r="F33" s="2941">
        <v>8528.75</v>
      </c>
      <c r="G33" s="2941"/>
      <c r="H33" s="2941" t="s">
        <v>3057</v>
      </c>
      <c r="I33" s="2941" t="s">
        <v>3058</v>
      </c>
    </row>
    <row r="34" spans="1:9">
      <c r="A34" s="3084"/>
      <c r="B34" s="2943">
        <v>31</v>
      </c>
      <c r="C34" s="2952" t="s">
        <v>3093</v>
      </c>
      <c r="D34" s="2953">
        <v>3</v>
      </c>
      <c r="E34" s="2953">
        <v>1</v>
      </c>
      <c r="F34" s="2953">
        <v>1405.56</v>
      </c>
      <c r="G34" s="2953"/>
      <c r="H34" s="2953" t="s">
        <v>3070</v>
      </c>
      <c r="I34" s="2953" t="s">
        <v>3058</v>
      </c>
    </row>
    <row r="35" spans="1:9">
      <c r="A35" s="3084"/>
      <c r="B35" s="2943">
        <v>32</v>
      </c>
      <c r="C35" s="2952" t="s">
        <v>3094</v>
      </c>
      <c r="D35" s="2953">
        <v>3</v>
      </c>
      <c r="E35" s="2953">
        <v>1</v>
      </c>
      <c r="F35" s="2953">
        <v>2811.12</v>
      </c>
      <c r="G35" s="2953"/>
      <c r="H35" s="2953" t="s">
        <v>3070</v>
      </c>
      <c r="I35" s="2953" t="s">
        <v>3058</v>
      </c>
    </row>
    <row r="36" spans="1:9">
      <c r="A36" s="3084"/>
      <c r="B36" s="2943">
        <v>33</v>
      </c>
      <c r="C36" s="2952" t="s">
        <v>3095</v>
      </c>
      <c r="D36" s="2953">
        <v>3</v>
      </c>
      <c r="E36" s="2953">
        <v>1</v>
      </c>
      <c r="F36" s="2953">
        <v>786</v>
      </c>
      <c r="G36" s="2953"/>
      <c r="H36" s="2953" t="s">
        <v>3070</v>
      </c>
      <c r="I36" s="2953" t="s">
        <v>3058</v>
      </c>
    </row>
    <row r="37" spans="1:9">
      <c r="A37" s="3084"/>
      <c r="B37" s="2943">
        <v>34</v>
      </c>
      <c r="C37" s="2952" t="s">
        <v>3096</v>
      </c>
      <c r="D37" s="2953">
        <v>3</v>
      </c>
      <c r="E37" s="2953">
        <v>1</v>
      </c>
      <c r="F37" s="2953">
        <v>6075.36</v>
      </c>
      <c r="G37" s="2953"/>
      <c r="H37" s="2953" t="s">
        <v>3070</v>
      </c>
      <c r="I37" s="2953" t="s">
        <v>3058</v>
      </c>
    </row>
    <row r="38" spans="1:9">
      <c r="A38" s="3084"/>
      <c r="B38" s="2943">
        <v>35</v>
      </c>
      <c r="C38" s="2952" t="s">
        <v>3097</v>
      </c>
      <c r="D38" s="2953">
        <v>3</v>
      </c>
      <c r="E38" s="2953">
        <v>1</v>
      </c>
      <c r="F38" s="2953">
        <v>786</v>
      </c>
      <c r="G38" s="2953"/>
      <c r="H38" s="2953" t="s">
        <v>3070</v>
      </c>
      <c r="I38" s="2953" t="s">
        <v>3058</v>
      </c>
    </row>
    <row r="39" spans="1:9">
      <c r="A39" s="3084"/>
      <c r="B39" s="2943">
        <v>36</v>
      </c>
      <c r="C39" s="2952" t="s">
        <v>3098</v>
      </c>
      <c r="D39" s="2953">
        <v>3</v>
      </c>
      <c r="E39" s="2953">
        <v>1</v>
      </c>
      <c r="F39" s="2953">
        <v>3037.68</v>
      </c>
      <c r="G39" s="2953"/>
      <c r="H39" s="2953" t="s">
        <v>3070</v>
      </c>
      <c r="I39" s="2953" t="s">
        <v>3058</v>
      </c>
    </row>
    <row r="40" spans="1:9">
      <c r="A40" s="3084"/>
      <c r="B40" s="2943">
        <v>37</v>
      </c>
      <c r="C40" s="2943" t="s">
        <v>3099</v>
      </c>
      <c r="D40" s="2941">
        <v>1</v>
      </c>
      <c r="E40" s="2941">
        <v>1</v>
      </c>
      <c r="F40" s="2941">
        <v>441.92</v>
      </c>
      <c r="G40" s="2941"/>
      <c r="H40" s="2941" t="s">
        <v>3100</v>
      </c>
      <c r="I40" s="2941" t="s">
        <v>3058</v>
      </c>
    </row>
    <row r="41" spans="1:9">
      <c r="A41" s="3084"/>
      <c r="B41" s="2943">
        <v>38</v>
      </c>
      <c r="C41" s="2943" t="s">
        <v>3101</v>
      </c>
      <c r="D41" s="2941">
        <v>1</v>
      </c>
      <c r="E41" s="2941">
        <v>1</v>
      </c>
      <c r="F41" s="2941">
        <v>495.37</v>
      </c>
      <c r="G41" s="2941"/>
      <c r="H41" s="2941" t="s">
        <v>3100</v>
      </c>
      <c r="I41" s="2941" t="s">
        <v>3058</v>
      </c>
    </row>
    <row r="42" spans="1:9">
      <c r="A42" s="3084"/>
      <c r="B42" s="2943">
        <v>39</v>
      </c>
      <c r="C42" s="2943" t="s">
        <v>3102</v>
      </c>
      <c r="D42" s="2941">
        <v>1</v>
      </c>
      <c r="E42" s="2941">
        <v>1</v>
      </c>
      <c r="F42" s="2941">
        <v>203.11</v>
      </c>
      <c r="G42" s="2941"/>
      <c r="H42" s="2941" t="s">
        <v>3100</v>
      </c>
      <c r="I42" s="2941" t="s">
        <v>3058</v>
      </c>
    </row>
    <row r="43" spans="1:9">
      <c r="A43" s="3084"/>
      <c r="B43" s="2943">
        <v>40</v>
      </c>
      <c r="C43" s="2943" t="s">
        <v>3103</v>
      </c>
      <c r="D43" s="2941">
        <v>1</v>
      </c>
      <c r="E43" s="2941">
        <v>1</v>
      </c>
      <c r="F43" s="2941">
        <v>487.95</v>
      </c>
      <c r="G43" s="2941"/>
      <c r="H43" s="2941" t="s">
        <v>3100</v>
      </c>
      <c r="I43" s="2941" t="s">
        <v>3058</v>
      </c>
    </row>
    <row r="44" spans="1:9">
      <c r="A44" s="3084"/>
      <c r="B44" s="2943">
        <v>41</v>
      </c>
      <c r="C44" s="2943" t="s">
        <v>3104</v>
      </c>
      <c r="D44" s="2941">
        <v>1</v>
      </c>
      <c r="E44" s="2941">
        <v>1</v>
      </c>
      <c r="F44" s="2941">
        <v>301.92</v>
      </c>
      <c r="G44" s="2941"/>
      <c r="H44" s="2941" t="s">
        <v>3100</v>
      </c>
      <c r="I44" s="2941" t="s">
        <v>3058</v>
      </c>
    </row>
    <row r="45" spans="1:9">
      <c r="A45" s="3084"/>
      <c r="B45" s="2943">
        <v>42</v>
      </c>
      <c r="C45" s="2943" t="s">
        <v>3105</v>
      </c>
      <c r="D45" s="2941">
        <v>1</v>
      </c>
      <c r="E45" s="2941">
        <v>1</v>
      </c>
      <c r="F45" s="2941">
        <v>1214.3599999999999</v>
      </c>
      <c r="G45" s="2941"/>
      <c r="H45" s="2941" t="s">
        <v>3100</v>
      </c>
      <c r="I45" s="2941" t="s">
        <v>3058</v>
      </c>
    </row>
    <row r="46" spans="1:9">
      <c r="A46" s="3084"/>
      <c r="B46" s="2943">
        <v>43</v>
      </c>
      <c r="C46" s="2943" t="s">
        <v>3106</v>
      </c>
      <c r="D46" s="2941">
        <v>1</v>
      </c>
      <c r="E46" s="2941">
        <v>1</v>
      </c>
      <c r="F46" s="2941">
        <v>197.9</v>
      </c>
      <c r="G46" s="2941"/>
      <c r="H46" s="2941" t="s">
        <v>3072</v>
      </c>
      <c r="I46" s="2941" t="s">
        <v>3058</v>
      </c>
    </row>
    <row r="47" spans="1:9">
      <c r="A47" s="3084"/>
      <c r="B47" s="2943">
        <v>44</v>
      </c>
      <c r="C47" s="2943" t="s">
        <v>3107</v>
      </c>
      <c r="D47" s="2941">
        <v>1</v>
      </c>
      <c r="E47" s="2941">
        <v>1</v>
      </c>
      <c r="F47" s="2941">
        <v>1350.54</v>
      </c>
      <c r="G47" s="2941"/>
      <c r="H47" s="2941" t="s">
        <v>3072</v>
      </c>
      <c r="I47" s="2941" t="s">
        <v>3058</v>
      </c>
    </row>
    <row r="48" spans="1:9">
      <c r="A48" s="3084"/>
      <c r="B48" s="2943">
        <v>45</v>
      </c>
      <c r="C48" s="2952" t="s">
        <v>3108</v>
      </c>
      <c r="D48" s="2953">
        <v>3</v>
      </c>
      <c r="E48" s="2953">
        <v>1</v>
      </c>
      <c r="F48" s="2953">
        <v>2908.7</v>
      </c>
      <c r="G48" s="2953"/>
      <c r="H48" s="2953" t="s">
        <v>3070</v>
      </c>
      <c r="I48" s="2953" t="s">
        <v>3058</v>
      </c>
    </row>
    <row r="49" spans="1:9">
      <c r="A49" s="3084"/>
      <c r="B49" s="2943">
        <v>46</v>
      </c>
      <c r="C49" s="2952" t="s">
        <v>3109</v>
      </c>
      <c r="D49" s="2953">
        <v>3</v>
      </c>
      <c r="E49" s="2953">
        <v>1</v>
      </c>
      <c r="F49" s="2953">
        <v>872.61</v>
      </c>
      <c r="G49" s="2953"/>
      <c r="H49" s="2953" t="s">
        <v>3070</v>
      </c>
      <c r="I49" s="2953" t="s">
        <v>3058</v>
      </c>
    </row>
    <row r="50" spans="1:9">
      <c r="A50" s="3084"/>
      <c r="B50" s="2943">
        <v>47</v>
      </c>
      <c r="C50" s="2952" t="s">
        <v>3110</v>
      </c>
      <c r="D50" s="2953">
        <v>3</v>
      </c>
      <c r="E50" s="2953">
        <v>1</v>
      </c>
      <c r="F50" s="2953">
        <v>1454.35</v>
      </c>
      <c r="G50" s="2953"/>
      <c r="H50" s="2953" t="s">
        <v>3070</v>
      </c>
      <c r="I50" s="2953" t="s">
        <v>3058</v>
      </c>
    </row>
    <row r="51" spans="1:9">
      <c r="A51" s="3084"/>
      <c r="B51" s="2943">
        <v>48</v>
      </c>
      <c r="C51" s="2952" t="s">
        <v>3111</v>
      </c>
      <c r="D51" s="2953">
        <v>3</v>
      </c>
      <c r="E51" s="2953">
        <v>1</v>
      </c>
      <c r="F51" s="2953">
        <v>1779.72</v>
      </c>
      <c r="G51" s="2953"/>
      <c r="H51" s="2953" t="s">
        <v>3070</v>
      </c>
      <c r="I51" s="2953" t="s">
        <v>3058</v>
      </c>
    </row>
    <row r="52" spans="1:9">
      <c r="A52" s="3084"/>
      <c r="B52" s="2943">
        <v>49</v>
      </c>
      <c r="C52" s="2952" t="s">
        <v>3112</v>
      </c>
      <c r="D52" s="2953">
        <v>3</v>
      </c>
      <c r="E52" s="2953">
        <v>1</v>
      </c>
      <c r="F52" s="2953">
        <v>889.86</v>
      </c>
      <c r="G52" s="2953"/>
      <c r="H52" s="2953" t="s">
        <v>3070</v>
      </c>
      <c r="I52" s="2953" t="s">
        <v>3058</v>
      </c>
    </row>
    <row r="53" spans="1:9">
      <c r="A53" s="3084"/>
      <c r="B53" s="2943">
        <v>50</v>
      </c>
      <c r="C53" s="2952" t="s">
        <v>3113</v>
      </c>
      <c r="D53" s="2953">
        <v>3</v>
      </c>
      <c r="E53" s="2953">
        <v>1</v>
      </c>
      <c r="F53" s="2953">
        <v>1483.1</v>
      </c>
      <c r="G53" s="2953"/>
      <c r="H53" s="2953" t="s">
        <v>3070</v>
      </c>
      <c r="I53" s="2953" t="s">
        <v>3058</v>
      </c>
    </row>
    <row r="54" spans="1:9">
      <c r="A54" s="3085"/>
      <c r="B54" s="2943"/>
      <c r="C54" s="2943" t="s">
        <v>3087</v>
      </c>
      <c r="D54" s="2941"/>
      <c r="E54" s="2941"/>
      <c r="F54" s="2962">
        <f>SUM(F29:F53)</f>
        <v>91922.359999999986</v>
      </c>
      <c r="G54" s="2941">
        <v>47251.83</v>
      </c>
      <c r="H54" s="2941"/>
      <c r="I54" s="2941"/>
    </row>
    <row r="55" spans="1:9">
      <c r="A55" s="2943"/>
      <c r="B55" s="2943"/>
      <c r="C55" s="2943"/>
      <c r="D55" s="2941"/>
      <c r="E55" s="2941"/>
      <c r="F55" s="2945">
        <f>SUM(F54,F28)</f>
        <v>233897.66999999998</v>
      </c>
      <c r="G55" s="2945">
        <f>SUM(G54,G28)</f>
        <v>108208.77</v>
      </c>
      <c r="H55" s="2941"/>
      <c r="I55" s="2941"/>
    </row>
  </sheetData>
  <mergeCells count="24">
    <mergeCell ref="K6:L6"/>
    <mergeCell ref="K7:K9"/>
    <mergeCell ref="A1:A2"/>
    <mergeCell ref="D1:E1"/>
    <mergeCell ref="F1:G1"/>
    <mergeCell ref="H1:I1"/>
    <mergeCell ref="C1:C2"/>
    <mergeCell ref="B1:B2"/>
    <mergeCell ref="K10:L10"/>
    <mergeCell ref="K15:L15"/>
    <mergeCell ref="A3:A28"/>
    <mergeCell ref="A29:A54"/>
    <mergeCell ref="O4:P4"/>
    <mergeCell ref="O3:R3"/>
    <mergeCell ref="O5:P5"/>
    <mergeCell ref="O6:P6"/>
    <mergeCell ref="O7:O9"/>
    <mergeCell ref="O10:P10"/>
    <mergeCell ref="K3:N3"/>
    <mergeCell ref="K4:L4"/>
    <mergeCell ref="K16:L16"/>
    <mergeCell ref="K23:L23"/>
    <mergeCell ref="K17:K22"/>
    <mergeCell ref="K5:L5"/>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1869</v>
      </c>
      <c r="AZ2" s="1269"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面积表!M14</f>
        <v>129943.15</v>
      </c>
      <c r="B3" s="14">
        <f>IF(C3="否",G5-AT5,G5)</f>
        <v>342106.44</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342106.44</v>
      </c>
      <c r="H5" s="16">
        <f t="shared" ref="H5:AT5" si="0">SUM(H13:H656)</f>
        <v>298686.56</v>
      </c>
      <c r="I5" s="16">
        <f t="shared" si="0"/>
        <v>48495.33</v>
      </c>
      <c r="J5" s="16">
        <f t="shared" si="0"/>
        <v>13027.46</v>
      </c>
      <c r="K5" s="16">
        <f t="shared" si="0"/>
        <v>177861.43000000002</v>
      </c>
      <c r="L5" s="16">
        <f t="shared" si="0"/>
        <v>56433.2</v>
      </c>
      <c r="M5" s="16">
        <f t="shared" si="0"/>
        <v>3144.63</v>
      </c>
      <c r="N5" s="16">
        <f t="shared" si="0"/>
        <v>0</v>
      </c>
      <c r="O5" s="16">
        <f t="shared" si="0"/>
        <v>69185.17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43419.880000000005</v>
      </c>
      <c r="AD5" s="16">
        <f t="shared" si="0"/>
        <v>4396.28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39023.600000000006</v>
      </c>
      <c r="AO5" s="16">
        <f t="shared" si="0"/>
        <v>2690.64</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269955.14</v>
      </c>
      <c r="BA5" s="18">
        <f t="shared" si="1"/>
        <v>229225.90000000002</v>
      </c>
      <c r="BB5" s="18">
        <f t="shared" si="1"/>
        <v>35467.870000000003</v>
      </c>
      <c r="BC5" s="18">
        <f t="shared" si="1"/>
        <v>121428.23000000003</v>
      </c>
      <c r="BD5" s="18">
        <f t="shared" si="1"/>
        <v>3144.63</v>
      </c>
      <c r="BE5" s="18">
        <f t="shared" si="1"/>
        <v>69185.17</v>
      </c>
      <c r="BF5" s="18">
        <f t="shared" si="1"/>
        <v>0</v>
      </c>
      <c r="BG5" s="18">
        <f t="shared" si="1"/>
        <v>0</v>
      </c>
      <c r="BH5" s="18">
        <f t="shared" si="1"/>
        <v>0</v>
      </c>
      <c r="BI5" s="18">
        <f t="shared" si="1"/>
        <v>0</v>
      </c>
      <c r="BJ5" s="18">
        <f t="shared" si="1"/>
        <v>0</v>
      </c>
      <c r="BK5" s="18">
        <f t="shared" si="1"/>
        <v>0</v>
      </c>
      <c r="BL5" s="18">
        <f t="shared" si="1"/>
        <v>40729.240000000005</v>
      </c>
      <c r="BM5" s="18">
        <f t="shared" si="1"/>
        <v>4396.28</v>
      </c>
      <c r="BN5" s="18">
        <f t="shared" si="1"/>
        <v>0</v>
      </c>
      <c r="BO5" s="18">
        <f t="shared" si="1"/>
        <v>0</v>
      </c>
      <c r="BP5" s="18">
        <f t="shared" si="1"/>
        <v>0</v>
      </c>
      <c r="BQ5" s="18">
        <f t="shared" si="1"/>
        <v>0</v>
      </c>
      <c r="BR5" s="18">
        <f t="shared" si="1"/>
        <v>36332.960000000006</v>
      </c>
      <c r="BS5" s="18">
        <f t="shared" si="1"/>
        <v>0</v>
      </c>
      <c r="BT5" s="19">
        <f t="shared" si="1"/>
        <v>0</v>
      </c>
    </row>
    <row r="6" spans="1:72" s="2171" customFormat="1" ht="12.75">
      <c r="A6" s="15" t="s">
        <v>1874</v>
      </c>
      <c r="B6" s="2168"/>
      <c r="C6" s="2168"/>
      <c r="D6" s="2169"/>
      <c r="E6" s="16">
        <f>H6+AC6+AT6</f>
        <v>129943.13999999998</v>
      </c>
      <c r="F6" s="16" t="s">
        <v>1</v>
      </c>
      <c r="G6" s="16" t="s">
        <v>2</v>
      </c>
      <c r="H6" s="20">
        <f>SUMIF(I$12:AB$12,"总值",I6:AB6)</f>
        <v>113450.85999999999</v>
      </c>
      <c r="I6" s="16">
        <f t="shared" ref="I6:AB6" si="2">ROUND($A$3*I5/$B$3,2)</f>
        <v>18420.099999999999</v>
      </c>
      <c r="J6" s="16">
        <f t="shared" si="2"/>
        <v>4948.25</v>
      </c>
      <c r="K6" s="16">
        <f t="shared" si="2"/>
        <v>67557.55</v>
      </c>
      <c r="L6" s="16">
        <f t="shared" si="2"/>
        <v>21435.16</v>
      </c>
      <c r="M6" s="16">
        <f t="shared" si="2"/>
        <v>1194.43</v>
      </c>
      <c r="N6" s="16">
        <f t="shared" si="2"/>
        <v>0</v>
      </c>
      <c r="O6" s="16">
        <f t="shared" si="2"/>
        <v>26278.78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16492.28</v>
      </c>
      <c r="AD6" s="16">
        <f t="shared" ref="AD6:AS6" si="3">ROUND($A$3*AD5/$B$3,2)</f>
        <v>1669.85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14822.43</v>
      </c>
      <c r="AO6" s="16">
        <f t="shared" si="3"/>
        <v>1021.99</v>
      </c>
      <c r="AP6" s="16">
        <f t="shared" si="3"/>
        <v>0</v>
      </c>
      <c r="AQ6" s="16">
        <f t="shared" si="3"/>
        <v>0</v>
      </c>
      <c r="AR6" s="16">
        <f t="shared" si="3"/>
        <v>0</v>
      </c>
      <c r="AS6" s="16">
        <f t="shared" si="3"/>
        <v>0</v>
      </c>
      <c r="AT6" s="20">
        <f>IF(C3="是",ROUND($A$3*AT5/$B$3,2),0)</f>
        <v>0</v>
      </c>
      <c r="AU6" s="2170"/>
      <c r="AV6" s="15" t="s">
        <v>1874</v>
      </c>
      <c r="AW6" s="2168"/>
      <c r="AX6" s="2168"/>
      <c r="AY6" s="21">
        <f>IF(AY3&gt;0,AY3,ROUND($A$3*AZ5/$B$3,2))</f>
        <v>102537.74</v>
      </c>
      <c r="AZ6" s="16" t="s">
        <v>3</v>
      </c>
      <c r="BA6" s="16">
        <f>ROUND($AY$6*BA5/$AZ$5,2)</f>
        <v>87067.45</v>
      </c>
      <c r="BB6" s="16">
        <f>ROUND($AY$6*BB5/$AZ$5,2)</f>
        <v>13471.85</v>
      </c>
      <c r="BC6" s="16">
        <f t="shared" ref="BC6:BH6" si="4">ROUND($AY$6*BC5/$AZ$5,2)</f>
        <v>46122.39</v>
      </c>
      <c r="BD6" s="16">
        <f t="shared" si="4"/>
        <v>1194.43</v>
      </c>
      <c r="BE6" s="16">
        <f t="shared" si="4"/>
        <v>26278.78</v>
      </c>
      <c r="BF6" s="16">
        <f t="shared" si="4"/>
        <v>0</v>
      </c>
      <c r="BG6" s="16">
        <f t="shared" si="4"/>
        <v>0</v>
      </c>
      <c r="BH6" s="16">
        <f t="shared" si="4"/>
        <v>0</v>
      </c>
      <c r="BI6" s="16">
        <f t="shared" ref="BI6:BT6" si="5">ROUND($AY$6*BI5/$AZ$5,2)</f>
        <v>0</v>
      </c>
      <c r="BJ6" s="16">
        <f t="shared" si="5"/>
        <v>0</v>
      </c>
      <c r="BK6" s="16">
        <f t="shared" si="5"/>
        <v>0</v>
      </c>
      <c r="BL6" s="16">
        <f t="shared" si="5"/>
        <v>15470.29</v>
      </c>
      <c r="BM6" s="16">
        <f t="shared" si="5"/>
        <v>1669.85</v>
      </c>
      <c r="BN6" s="16">
        <f t="shared" si="5"/>
        <v>0</v>
      </c>
      <c r="BO6" s="16">
        <f t="shared" si="5"/>
        <v>0</v>
      </c>
      <c r="BP6" s="16">
        <f t="shared" si="5"/>
        <v>0</v>
      </c>
      <c r="BQ6" s="16">
        <f t="shared" si="5"/>
        <v>0</v>
      </c>
      <c r="BR6" s="16">
        <f t="shared" si="5"/>
        <v>13800.44</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80" t="s">
        <v>1888</v>
      </c>
      <c r="AD8" s="2182"/>
      <c r="AE8" s="2174"/>
      <c r="AF8" s="1816"/>
      <c r="AG8" s="1816"/>
      <c r="AH8" s="1816"/>
      <c r="AI8" s="1816"/>
      <c r="AJ8" s="1816"/>
      <c r="AK8" s="1816"/>
      <c r="AL8" s="1816"/>
      <c r="AM8" s="1816"/>
      <c r="AN8" s="1816"/>
      <c r="AO8" s="1816"/>
      <c r="AP8" s="1816"/>
      <c r="AQ8" s="1816"/>
      <c r="AR8" s="1816"/>
      <c r="AS8" s="1816"/>
      <c r="AT8" s="1291" t="s">
        <v>1889</v>
      </c>
      <c r="AU8" s="2176" t="s">
        <v>1890</v>
      </c>
      <c r="AV8" s="1291"/>
      <c r="AW8" s="2159"/>
      <c r="AX8" s="1291"/>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1893</v>
      </c>
      <c r="I9" s="2185" t="s">
        <v>3050</v>
      </c>
      <c r="J9" s="980"/>
      <c r="K9" s="2185" t="s">
        <v>3050</v>
      </c>
      <c r="L9" s="980"/>
      <c r="M9" s="2185" t="s">
        <v>3050</v>
      </c>
      <c r="N9" s="980"/>
      <c r="O9" s="2185" t="s">
        <v>3345</v>
      </c>
      <c r="P9" s="980"/>
      <c r="Q9" s="2185"/>
      <c r="R9" s="980"/>
      <c r="S9" s="2185"/>
      <c r="T9" s="980"/>
      <c r="U9" s="2185"/>
      <c r="V9" s="980"/>
      <c r="W9" s="2185"/>
      <c r="X9" s="2186"/>
      <c r="Y9" s="2185"/>
      <c r="Z9" s="980"/>
      <c r="AA9" s="2185"/>
      <c r="AB9" s="980"/>
      <c r="AC9" s="2177"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7"/>
      <c r="AT9" s="2176"/>
      <c r="AU9" s="2176" t="s">
        <v>1896</v>
      </c>
      <c r="AV9" s="1291"/>
      <c r="AW9" s="2159"/>
      <c r="AX9" s="1291"/>
      <c r="AY9" s="28"/>
      <c r="AZ9" s="28" t="s">
        <v>1886</v>
      </c>
      <c r="BA9" s="2188" t="s">
        <v>1897</v>
      </c>
      <c r="BB9" s="2189"/>
      <c r="BC9" s="1337"/>
      <c r="BD9" s="1337"/>
      <c r="BE9" s="1337"/>
      <c r="BF9" s="1337"/>
      <c r="BG9" s="1337"/>
      <c r="BH9" s="1337"/>
      <c r="BI9" s="1337"/>
      <c r="BJ9" s="1337"/>
      <c r="BK9" s="2190"/>
      <c r="BL9" s="15" t="s">
        <v>1898</v>
      </c>
      <c r="BM9" s="1816"/>
      <c r="BN9" s="2179"/>
      <c r="BO9" s="1816"/>
      <c r="BP9" s="1816"/>
      <c r="BQ9" s="1816"/>
      <c r="BR9" s="1816"/>
      <c r="BS9" s="1816"/>
      <c r="BT9" s="26"/>
    </row>
    <row r="10" spans="1:72" s="2183" customFormat="1" ht="12.75">
      <c r="A10" s="2176"/>
      <c r="B10" s="2176"/>
      <c r="C10" s="2176"/>
      <c r="D10" s="2176"/>
      <c r="E10" s="2176"/>
      <c r="F10" s="2176"/>
      <c r="G10" s="1291"/>
      <c r="H10" s="28"/>
      <c r="I10" s="2185" t="s">
        <v>3147</v>
      </c>
      <c r="J10" s="980"/>
      <c r="K10" s="2191" t="s">
        <v>3147</v>
      </c>
      <c r="L10" s="980"/>
      <c r="M10" s="2191" t="s">
        <v>1372</v>
      </c>
      <c r="N10" s="980"/>
      <c r="O10" s="2191" t="s">
        <v>3346</v>
      </c>
      <c r="P10" s="980"/>
      <c r="Q10" s="2191"/>
      <c r="R10" s="980"/>
      <c r="S10" s="2191"/>
      <c r="T10" s="980"/>
      <c r="U10" s="2191"/>
      <c r="V10" s="980"/>
      <c r="W10" s="2191"/>
      <c r="X10" s="980"/>
      <c r="Y10" s="2191"/>
      <c r="Z10" s="980"/>
      <c r="AA10" s="2191"/>
      <c r="AB10" s="980"/>
      <c r="AC10" s="1291"/>
      <c r="AD10" s="15" t="s">
        <v>1899</v>
      </c>
      <c r="AE10" s="2192"/>
      <c r="AF10" s="15" t="s">
        <v>1899</v>
      </c>
      <c r="AG10" s="2192"/>
      <c r="AH10" s="15" t="s">
        <v>1900</v>
      </c>
      <c r="AI10" s="2192"/>
      <c r="AJ10" s="15" t="s">
        <v>1900</v>
      </c>
      <c r="AK10" s="2192"/>
      <c r="AL10" s="15" t="s">
        <v>1901</v>
      </c>
      <c r="AM10" s="1297"/>
      <c r="AN10" s="15" t="s">
        <v>1901</v>
      </c>
      <c r="AO10" s="1297"/>
      <c r="AP10" s="15" t="s">
        <v>1902</v>
      </c>
      <c r="AQ10" s="1297"/>
      <c r="AR10" s="15" t="s">
        <v>1902</v>
      </c>
      <c r="AS10" s="1297"/>
      <c r="AT10" s="2176"/>
      <c r="AU10" s="2176"/>
      <c r="AV10" s="1291"/>
      <c r="AW10" s="2159"/>
      <c r="AX10" s="1291"/>
      <c r="AY10" s="28"/>
      <c r="AZ10" s="28"/>
      <c r="BA10" s="2193" t="s">
        <v>1893</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t="s">
        <v>3126</v>
      </c>
      <c r="J11" s="2197"/>
      <c r="K11" s="2196" t="s">
        <v>3056</v>
      </c>
      <c r="L11" s="2197"/>
      <c r="M11" s="2196" t="s">
        <v>3162</v>
      </c>
      <c r="N11" s="2197"/>
      <c r="O11" s="2196" t="s">
        <v>3346</v>
      </c>
      <c r="P11" s="2197"/>
      <c r="Q11" s="2196"/>
      <c r="R11" s="2197"/>
      <c r="S11" s="2196"/>
      <c r="T11" s="2197"/>
      <c r="U11" s="2196"/>
      <c r="V11" s="2197"/>
      <c r="W11" s="2196"/>
      <c r="X11" s="2197"/>
      <c r="Y11" s="2196"/>
      <c r="Z11" s="2197"/>
      <c r="AA11" s="2196"/>
      <c r="AB11" s="2197"/>
      <c r="AC11" s="1291"/>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1"/>
      <c r="AW11" s="2159"/>
      <c r="AX11" s="1291"/>
      <c r="AY11" s="28"/>
      <c r="AZ11" s="28"/>
      <c r="BA11" s="28"/>
      <c r="BB11" s="2181" t="str">
        <f>I10</f>
        <v>住宅</v>
      </c>
      <c r="BC11" s="2181" t="str">
        <f>K10</f>
        <v>住宅</v>
      </c>
      <c r="BD11" s="2181" t="str">
        <f>M10</f>
        <v>商业</v>
      </c>
      <c r="BE11" s="2181" t="str">
        <f>O10</f>
        <v>车库</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低密度住宅</v>
      </c>
      <c r="BC12" s="2206" t="str">
        <f>K11</f>
        <v>高层住宅</v>
      </c>
      <c r="BD12" s="2206" t="str">
        <f>M11</f>
        <v>独立商业</v>
      </c>
      <c r="BE12" s="2181" t="str">
        <f>O11</f>
        <v>车库</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2967" t="str">
        <f>面积表!L17</f>
        <v>低密度住宅</v>
      </c>
      <c r="D13" s="2207" t="s">
        <v>3163</v>
      </c>
      <c r="E13" s="16">
        <f>IF($C$3="是",ROUND($A$3*G13/$B$3,2),ROUND($A$3*(G13-AT13)/$B$3,2))</f>
        <v>18420.099999999999</v>
      </c>
      <c r="F13" s="32"/>
      <c r="G13" s="33">
        <f>H13+AC13+AT13</f>
        <v>48495.33</v>
      </c>
      <c r="H13" s="20">
        <f>SUMIF(I$12:AB$12,"总值",I13:AB13)</f>
        <v>48495.33</v>
      </c>
      <c r="I13" s="2208">
        <f>面积表!M17</f>
        <v>48495.33</v>
      </c>
      <c r="J13" s="2208">
        <f>面积表!N17</f>
        <v>13027.46</v>
      </c>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低密度住宅</v>
      </c>
      <c r="AY13" s="1804">
        <f>ROUND($AY$6*AZ13/$AZ$5,2)</f>
        <v>13471.85</v>
      </c>
      <c r="AZ13" s="16">
        <f>BA13+BL13</f>
        <v>35467.870000000003</v>
      </c>
      <c r="BA13" s="16">
        <f>SUM(BB13:BK13)</f>
        <v>35467.870000000003</v>
      </c>
      <c r="BB13" s="16">
        <f>IF($D13="是",I13-J13,0)</f>
        <v>35467.870000000003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967" t="str">
        <f>面积表!L18</f>
        <v>高层住宅</v>
      </c>
      <c r="D14" s="2207" t="s">
        <v>3163</v>
      </c>
      <c r="E14" s="16">
        <f>IF($C$3="是",ROUND($A$3*G14/$B$3,2),ROUND($A$3*(G14-AT14)/$B$3,2))</f>
        <v>67557.55</v>
      </c>
      <c r="F14" s="32"/>
      <c r="G14" s="33">
        <f>H14+AC14+AT14</f>
        <v>177861.43000000002</v>
      </c>
      <c r="H14" s="20">
        <f>SUMIF(I$12:AB$12,"总值",I14:AB14)</f>
        <v>177861.43000000002</v>
      </c>
      <c r="I14" s="2208"/>
      <c r="J14" s="2208"/>
      <c r="K14" s="2208">
        <f>面积表!M18</f>
        <v>177861.43000000002</v>
      </c>
      <c r="L14" s="2208">
        <f>面积表!O18</f>
        <v>56433.2</v>
      </c>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高层住宅</v>
      </c>
      <c r="AY14" s="1804">
        <f>ROUND($AY$6*AZ14/$AZ$5,2)</f>
        <v>46122.39</v>
      </c>
      <c r="AZ14" s="16">
        <f>BA14+BL14</f>
        <v>121428.23000000003</v>
      </c>
      <c r="BA14" s="16">
        <f>SUM(BB14:BK14)</f>
        <v>121428.23000000003</v>
      </c>
      <c r="BB14" s="16">
        <f>IF($D14="是",I14-J14,0)</f>
        <v>0</v>
      </c>
      <c r="BC14" s="16">
        <f>IF($D14="是",K14-L14,0)</f>
        <v>121428.23000000003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967" t="str">
        <f>面积表!L19</f>
        <v>配套设施</v>
      </c>
      <c r="D15" s="2207" t="s">
        <v>3163</v>
      </c>
      <c r="E15" s="16">
        <f>IF($C$3="是",ROUND($A$3*G15/$B$3,2),ROUND($A$3*(G15-AT15)/$B$3,2))</f>
        <v>1669.85</v>
      </c>
      <c r="F15" s="32"/>
      <c r="G15" s="33">
        <f>H15+AC15+AT15</f>
        <v>4396.28</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4396.28</v>
      </c>
      <c r="AD15" s="2209">
        <f>面积表!M19</f>
        <v>4396.28</v>
      </c>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配套设施</v>
      </c>
      <c r="AY15" s="1804">
        <f>ROUND($AY$6*AZ15/$AZ$5,2)</f>
        <v>1669.85</v>
      </c>
      <c r="AZ15" s="16">
        <f>BA15+BL15</f>
        <v>4396.28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4396.28</v>
      </c>
      <c r="BM15" s="16">
        <f>IF($D15="是",AD15-AE15,0)</f>
        <v>4396.28</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5" customHeight="1">
      <c r="A16" s="1271"/>
      <c r="B16" s="1271"/>
      <c r="C16" s="2967" t="str">
        <f>面积表!L20</f>
        <v>商业建筑面积</v>
      </c>
      <c r="D16" s="2207" t="s">
        <v>3163</v>
      </c>
      <c r="E16" s="16">
        <f>IF($C$3="是",ROUND($A$3*G16/$B$3,2),ROUND($A$3*(G16-AT16)/$B$3,2))</f>
        <v>1194.43</v>
      </c>
      <c r="F16" s="32"/>
      <c r="G16" s="33">
        <f>H16+AC16+AT16</f>
        <v>3144.63</v>
      </c>
      <c r="H16" s="20">
        <f>SUMIF(I$12:AB$12,"总值",I16:AB16)</f>
        <v>3144.63</v>
      </c>
      <c r="I16" s="2208"/>
      <c r="J16" s="2208"/>
      <c r="K16" s="2208"/>
      <c r="L16" s="2208"/>
      <c r="M16" s="2208">
        <f>面积表!M20</f>
        <v>3144.63</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商业建筑面积</v>
      </c>
      <c r="AY16" s="1804">
        <f>ROUND($AY$6*AZ16/$AZ$5,2)</f>
        <v>1194.43</v>
      </c>
      <c r="AZ16" s="16">
        <f>BA16+BL16</f>
        <v>3144.63</v>
      </c>
      <c r="BA16" s="16">
        <f>SUM(BB16:BK16)</f>
        <v>3144.63</v>
      </c>
      <c r="BB16" s="16">
        <f>IF($D16="是",I16-J16,0)</f>
        <v>0</v>
      </c>
      <c r="BC16" s="16">
        <f>IF($D16="是",K16-L16,0)</f>
        <v>0</v>
      </c>
      <c r="BD16" s="16">
        <f>IF($D16="是",M16-N16,0)</f>
        <v>3144.63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5" customHeight="1">
      <c r="A17" s="1271"/>
      <c r="B17" s="1271"/>
      <c r="C17" s="2147" t="str">
        <f>面积表!K23</f>
        <v>地下建筑面积</v>
      </c>
      <c r="D17" s="2207" t="s">
        <v>3163</v>
      </c>
      <c r="E17" s="16">
        <f>IF($C$3="是",ROUND($A$3*G17/$B$3,2),ROUND($A$3*(G17-AT17)/$B$3,2))</f>
        <v>41101.21</v>
      </c>
      <c r="F17" s="32"/>
      <c r="G17" s="33">
        <f>H17+AC17+AT17</f>
        <v>108208.77</v>
      </c>
      <c r="H17" s="20">
        <f>SUMIF(I$12:AB$12,"总值",I17:AB17)</f>
        <v>69185.17</v>
      </c>
      <c r="I17" s="2208"/>
      <c r="J17" s="2208"/>
      <c r="K17" s="2208"/>
      <c r="L17" s="2208"/>
      <c r="M17" s="2208"/>
      <c r="N17" s="2208"/>
      <c r="O17" s="2208">
        <v>69185.17</v>
      </c>
      <c r="P17" s="2208">
        <v>0</v>
      </c>
      <c r="Q17" s="2208"/>
      <c r="R17" s="2208"/>
      <c r="S17" s="2208"/>
      <c r="T17" s="2208"/>
      <c r="U17" s="2208"/>
      <c r="V17" s="2208"/>
      <c r="W17" s="2208"/>
      <c r="X17" s="2208"/>
      <c r="Y17" s="2208"/>
      <c r="Z17" s="2208"/>
      <c r="AA17" s="2208"/>
      <c r="AB17" s="2208"/>
      <c r="AC17" s="16">
        <f>SUMIF(AD$12:AS$12,"总值",AD17:AS17)</f>
        <v>39023.600000000006</v>
      </c>
      <c r="AD17" s="2209"/>
      <c r="AE17" s="2209"/>
      <c r="AF17" s="2209"/>
      <c r="AG17" s="2209"/>
      <c r="AH17" s="2209"/>
      <c r="AI17" s="2209"/>
      <c r="AJ17" s="2209"/>
      <c r="AK17" s="2209"/>
      <c r="AL17" s="2209"/>
      <c r="AM17" s="2209"/>
      <c r="AN17" s="2209">
        <f>面积表!M23-O17</f>
        <v>39023.600000000006</v>
      </c>
      <c r="AO17" s="2968">
        <f>面积表!N23</f>
        <v>2690.64</v>
      </c>
      <c r="AP17" s="2209"/>
      <c r="AQ17" s="2209"/>
      <c r="AR17" s="2209"/>
      <c r="AS17" s="2209"/>
      <c r="AT17" s="2210"/>
      <c r="AU17" s="2211"/>
      <c r="AV17" s="11">
        <f t="shared" si="6"/>
        <v>0</v>
      </c>
      <c r="AW17" s="11">
        <f t="shared" si="6"/>
        <v>0</v>
      </c>
      <c r="AX17" s="11" t="str">
        <f t="shared" si="6"/>
        <v>地下建筑面积</v>
      </c>
      <c r="AY17" s="1804">
        <f>ROUND($AY$6*AZ17/$AZ$5,2)</f>
        <v>40079.22</v>
      </c>
      <c r="AZ17" s="16">
        <f>BA17+BL17</f>
        <v>105518.13</v>
      </c>
      <c r="BA17" s="16">
        <f>SUM(BB17:BK17)</f>
        <v>69185.17</v>
      </c>
      <c r="BB17" s="16">
        <f>IF($D17="是",I17-J17,0)</f>
        <v>0</v>
      </c>
      <c r="BC17" s="16">
        <f>IF($D17="是",K17-L17,0)</f>
        <v>0</v>
      </c>
      <c r="BD17" s="16">
        <f>IF($D17="是",M17-N17,0)</f>
        <v>0</v>
      </c>
      <c r="BE17" s="16">
        <f>IF($D17="是",O17-P17,0)</f>
        <v>69185.17</v>
      </c>
      <c r="BF17" s="16">
        <f>IF($D17="是",Q17-R17,0)</f>
        <v>0</v>
      </c>
      <c r="BG17" s="16">
        <f>IF($D17="是",S17-T17,0)</f>
        <v>0</v>
      </c>
      <c r="BH17" s="16">
        <f>IF($D17="是",U17-V17,0)</f>
        <v>0</v>
      </c>
      <c r="BI17" s="16">
        <f>IF($D17="是",W17-X17,0)</f>
        <v>0</v>
      </c>
      <c r="BJ17" s="16">
        <f>IF($D17="是",Y17-Z17,0)</f>
        <v>0</v>
      </c>
      <c r="BK17" s="16">
        <f>IF($D17="是",AA17-AB17,0)</f>
        <v>0</v>
      </c>
      <c r="BL17" s="16">
        <f>SUM(BM17:BT17)</f>
        <v>36332.960000000006</v>
      </c>
      <c r="BM17" s="16">
        <f>IF($D17="是",AD17-AE17,0)</f>
        <v>0</v>
      </c>
      <c r="BN17" s="16">
        <f>IF($D17="是",AF17-AG17,0)</f>
        <v>0</v>
      </c>
      <c r="BO17" s="16">
        <f>IF($D17="是",AH17-AI17,0)</f>
        <v>0</v>
      </c>
      <c r="BP17" s="16">
        <f>IF($D17="是",AJ17-AK17,0)</f>
        <v>0</v>
      </c>
      <c r="BQ17" s="16">
        <f>IF($D17="是",AL17-AM17,0)</f>
        <v>0</v>
      </c>
      <c r="BR17" s="16">
        <f>IF($D17="是",AN17-AO17,0)</f>
        <v>36332.960000000006</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1"/>
      <c r="C1" s="1391"/>
      <c r="D1" s="1391"/>
      <c r="E1" s="1391"/>
      <c r="F1" s="1391"/>
      <c r="G1" s="1391"/>
      <c r="H1" s="1391"/>
      <c r="I1" s="1391"/>
      <c r="J1" s="1391"/>
      <c r="K1" s="1391"/>
      <c r="L1" s="1391"/>
      <c r="M1" s="1391"/>
      <c r="N1" s="1391"/>
      <c r="O1" s="1391"/>
      <c r="P1" s="1391"/>
    </row>
    <row r="2" spans="1:16" ht="15">
      <c r="A2" s="3109" t="s">
        <v>1933</v>
      </c>
      <c r="B2" s="3109"/>
      <c r="C2" s="3109"/>
      <c r="D2" s="966" t="s">
        <v>1909</v>
      </c>
      <c r="E2" s="2221" t="s">
        <v>1910</v>
      </c>
      <c r="F2" s="1391"/>
      <c r="G2" s="2222"/>
      <c r="H2" s="2223"/>
      <c r="I2" s="2224" t="s">
        <v>1934</v>
      </c>
      <c r="J2" s="1391"/>
      <c r="K2" s="1391"/>
      <c r="L2" s="1391"/>
      <c r="M2" s="1391"/>
      <c r="N2" s="1426"/>
      <c r="O2" s="1391"/>
      <c r="P2" s="1391"/>
    </row>
    <row r="3" spans="1:16" ht="15.75" thickBot="1">
      <c r="A3" s="3110" t="s">
        <v>1907</v>
      </c>
      <c r="B3" s="3110"/>
      <c r="C3" s="3110"/>
      <c r="D3" s="46">
        <f>'数据-基础表'!AY6</f>
        <v>102537.74</v>
      </c>
      <c r="E3" s="46">
        <f>'数据-基础表'!AZ5</f>
        <v>269955.14</v>
      </c>
      <c r="F3" s="1391"/>
      <c r="G3" s="1398"/>
      <c r="H3" s="1246" t="s">
        <v>1908</v>
      </c>
      <c r="I3" s="55">
        <f>ROUND('数据-基础表'!B3/'数据-基础表'!A3,2)</f>
        <v>2.63</v>
      </c>
      <c r="J3" s="1391"/>
      <c r="K3" s="1391"/>
      <c r="L3" s="1391"/>
      <c r="M3" s="1391"/>
      <c r="N3" s="1426"/>
      <c r="O3" s="1391"/>
      <c r="P3" s="1391"/>
    </row>
    <row r="4" spans="1:16" ht="15">
      <c r="A4" s="3111"/>
      <c r="B4" s="3112"/>
      <c r="C4" s="3113"/>
      <c r="D4" s="2225" t="s">
        <v>1909</v>
      </c>
      <c r="E4" s="2226" t="s">
        <v>1910</v>
      </c>
      <c r="F4" s="1391"/>
      <c r="G4" s="2227" t="s">
        <v>1935</v>
      </c>
      <c r="H4" s="1246" t="s">
        <v>1915</v>
      </c>
      <c r="I4" s="55">
        <f>ROUND(SUMIF('数据-基础表'!I9:AS9,"地上",'数据-基础表'!I5:AS5)/'数据-基础表'!A3,2)</f>
        <v>1.8</v>
      </c>
      <c r="J4" s="1391"/>
      <c r="K4" s="1391"/>
      <c r="L4" s="1391"/>
      <c r="M4" s="1391"/>
      <c r="N4" s="1426"/>
      <c r="O4" s="1391"/>
      <c r="P4" s="1391"/>
    </row>
    <row r="5" spans="1:16">
      <c r="A5" s="47" t="s">
        <v>1911</v>
      </c>
      <c r="B5" s="3114" t="s">
        <v>1912</v>
      </c>
      <c r="C5" s="3114"/>
      <c r="D5" s="48">
        <f>ROUND($D$3*E5/$E$3,2)</f>
        <v>59594.239999999998</v>
      </c>
      <c r="E5" s="49">
        <f>SUMIF('数据-基础表'!$11:$11,"住宅",'数据-基础表'!$5:$5)</f>
        <v>156896.10000000003</v>
      </c>
      <c r="F5" s="1391"/>
      <c r="G5" s="1398"/>
      <c r="H5" s="1246" t="s">
        <v>1908</v>
      </c>
      <c r="I5" s="55">
        <f>ROUND(E31/D31,2)</f>
        <v>2.63</v>
      </c>
      <c r="J5" s="1391"/>
      <c r="K5" s="1391"/>
      <c r="L5" s="1391"/>
      <c r="M5" s="1391"/>
      <c r="N5" s="1391"/>
      <c r="O5" s="1391"/>
      <c r="P5" s="1391"/>
    </row>
    <row r="6" spans="1:16" ht="15" thickBot="1">
      <c r="A6" s="2228"/>
      <c r="B6" s="3114" t="s">
        <v>1913</v>
      </c>
      <c r="C6" s="3114"/>
      <c r="D6" s="48">
        <f>ROUND($D$3*E6/$E$3,2)</f>
        <v>42943.5</v>
      </c>
      <c r="E6" s="49">
        <f>E3-E5</f>
        <v>113059.03999999998</v>
      </c>
      <c r="F6" s="1391"/>
      <c r="G6" s="2229" t="s">
        <v>1914</v>
      </c>
      <c r="H6" s="1398" t="s">
        <v>1915</v>
      </c>
      <c r="I6" s="938">
        <f>ROUND(F31/D31,2)</f>
        <v>1.6</v>
      </c>
      <c r="J6" s="1391"/>
      <c r="K6" s="1391"/>
      <c r="L6" s="1391"/>
      <c r="M6" s="1391"/>
      <c r="N6" s="1391"/>
      <c r="O6" s="1391"/>
      <c r="P6" s="1391"/>
    </row>
    <row r="7" spans="1:16" ht="15">
      <c r="A7" s="3106"/>
      <c r="B7" s="3107"/>
      <c r="C7" s="3108"/>
      <c r="D7" s="2225" t="s">
        <v>1909</v>
      </c>
      <c r="E7" s="2230" t="s">
        <v>1916</v>
      </c>
      <c r="F7" s="1391"/>
      <c r="G7" s="2222" t="s">
        <v>1917</v>
      </c>
      <c r="H7" s="64"/>
      <c r="I7" s="418">
        <f>I6</f>
        <v>1.6</v>
      </c>
      <c r="J7" s="1391"/>
      <c r="K7" s="1391"/>
      <c r="L7" s="1391"/>
      <c r="M7" s="1391"/>
      <c r="N7" s="1391"/>
      <c r="O7" s="1391"/>
      <c r="P7" s="1391"/>
    </row>
    <row r="8" spans="1:16">
      <c r="A8" s="47" t="s">
        <v>1918</v>
      </c>
      <c r="B8" s="50" t="s">
        <v>1919</v>
      </c>
      <c r="C8" s="48" t="s">
        <v>1920</v>
      </c>
      <c r="D8" s="48">
        <f t="shared" ref="D8:D15" si="0">ROUND($D$3*E8/$E$3,2)</f>
        <v>60788.67</v>
      </c>
      <c r="E8" s="51">
        <f>SUMIF('数据-基础表'!BB10:BK10,"地上",'数据-基础表'!BB5:BK5)</f>
        <v>160040.73000000004</v>
      </c>
      <c r="F8" s="1391"/>
      <c r="G8" s="2231"/>
      <c r="H8" s="2231"/>
      <c r="I8" s="1391"/>
      <c r="J8" s="1391"/>
      <c r="K8" s="1391"/>
      <c r="L8" s="1391"/>
      <c r="M8" s="1391"/>
      <c r="N8" s="1391"/>
      <c r="O8" s="1391"/>
      <c r="P8" s="1391"/>
    </row>
    <row r="9" spans="1:16">
      <c r="A9" s="2232"/>
      <c r="B9" s="2233"/>
      <c r="C9" s="48" t="s">
        <v>1921</v>
      </c>
      <c r="D9" s="48">
        <f t="shared" si="0"/>
        <v>0</v>
      </c>
      <c r="E9" s="52">
        <v>0</v>
      </c>
      <c r="F9" s="1391"/>
      <c r="G9" s="2231"/>
      <c r="H9" s="2231"/>
      <c r="I9" s="1391"/>
      <c r="J9" s="1391"/>
      <c r="K9" s="1391"/>
      <c r="L9" s="1391"/>
      <c r="M9" s="1391"/>
      <c r="N9" s="1391"/>
      <c r="O9" s="1391"/>
      <c r="P9" s="1391"/>
    </row>
    <row r="10" spans="1:16">
      <c r="A10" s="2232"/>
      <c r="B10" s="2233"/>
      <c r="C10" s="48" t="s">
        <v>1930</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1922</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1923</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1924</v>
      </c>
      <c r="D13" s="48">
        <f t="shared" si="0"/>
        <v>26278.78</v>
      </c>
      <c r="E13" s="51">
        <f>SUMPRODUCT(('数据-基础表'!BB10:BK10="地下")*('数据-基础表'!BB11:BK11="车库")*('数据-基础表'!BB5:BK5))</f>
        <v>69185.17</v>
      </c>
      <c r="F13" s="1391"/>
      <c r="G13" s="2231"/>
      <c r="H13" s="2231"/>
      <c r="I13" s="1391"/>
      <c r="J13" s="1391"/>
      <c r="K13" s="1391"/>
      <c r="L13" s="1391"/>
      <c r="M13" s="1391"/>
      <c r="N13" s="1391"/>
      <c r="O13" s="1391"/>
      <c r="P13" s="1391"/>
    </row>
    <row r="14" spans="1:16">
      <c r="A14" s="2232"/>
      <c r="B14" s="2233"/>
      <c r="C14" s="48" t="s">
        <v>1936</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1931</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1925</v>
      </c>
      <c r="D16" s="50">
        <f>SUM(D8:D15)</f>
        <v>87067.45</v>
      </c>
      <c r="E16" s="53">
        <f>SUM(E8:E15)</f>
        <v>229225.90000000002</v>
      </c>
      <c r="F16" s="1391"/>
      <c r="G16" s="2231"/>
      <c r="H16" s="2234" t="s">
        <v>1937</v>
      </c>
      <c r="I16" s="2235"/>
      <c r="J16" s="1391"/>
      <c r="K16" s="3103" t="s">
        <v>1937</v>
      </c>
      <c r="L16" s="3104"/>
      <c r="M16" s="3104"/>
      <c r="N16" s="3104"/>
      <c r="O16" s="3104"/>
      <c r="P16" s="3105"/>
    </row>
    <row r="17" spans="1:19" ht="15">
      <c r="A17" s="2236" t="s">
        <v>1938</v>
      </c>
      <c r="B17" s="2237" t="s">
        <v>1939</v>
      </c>
      <c r="C17" s="2238" t="s">
        <v>1940</v>
      </c>
      <c r="D17" s="2239" t="s">
        <v>1928</v>
      </c>
      <c r="E17" s="2240" t="s">
        <v>1929</v>
      </c>
      <c r="F17" s="2241"/>
      <c r="G17" s="2242"/>
      <c r="H17" s="2243" t="s">
        <v>1941</v>
      </c>
      <c r="I17" s="2244" t="s">
        <v>1926</v>
      </c>
      <c r="J17" s="1391"/>
      <c r="K17" s="3100" t="s">
        <v>1942</v>
      </c>
      <c r="L17" s="3101"/>
      <c r="M17" s="3102"/>
      <c r="N17" s="3100" t="s">
        <v>1943</v>
      </c>
      <c r="O17" s="3101"/>
      <c r="P17" s="3102"/>
      <c r="R17" s="2222" t="s">
        <v>1944</v>
      </c>
      <c r="S17" s="64"/>
    </row>
    <row r="18" spans="1:19" ht="15">
      <c r="A18" s="2232"/>
      <c r="B18" s="2245"/>
      <c r="C18" s="2246"/>
      <c r="D18" s="2247"/>
      <c r="E18" s="2248" t="s">
        <v>1945</v>
      </c>
      <c r="F18" s="2249" t="s">
        <v>1946</v>
      </c>
      <c r="G18" s="2250" t="s">
        <v>1947</v>
      </c>
      <c r="H18" s="1261" t="s">
        <v>1948</v>
      </c>
      <c r="I18" s="2251" t="s">
        <v>1949</v>
      </c>
      <c r="J18" s="1391"/>
      <c r="K18" s="1261" t="s">
        <v>1950</v>
      </c>
      <c r="L18" s="2252" t="s">
        <v>1951</v>
      </c>
      <c r="M18" s="1045" t="s">
        <v>1952</v>
      </c>
      <c r="N18" s="1261" t="s">
        <v>1950</v>
      </c>
      <c r="O18" s="2252" t="s">
        <v>1951</v>
      </c>
      <c r="P18" s="1045" t="s">
        <v>1952</v>
      </c>
      <c r="R18" s="1246" t="s">
        <v>1953</v>
      </c>
      <c r="S18" s="1246" t="s">
        <v>1954</v>
      </c>
    </row>
    <row r="19" spans="1:19">
      <c r="A19" s="2253"/>
      <c r="B19" s="50" t="s">
        <v>1927</v>
      </c>
      <c r="C19" s="2254" t="str">
        <f>面积表!L17</f>
        <v>低密度住宅</v>
      </c>
      <c r="D19" s="48">
        <f>ROUND($D$3*E19/$E$3,2)</f>
        <v>13471.85</v>
      </c>
      <c r="E19" s="56">
        <f t="shared" ref="E19:E26" si="1">SUM(F19:G19)</f>
        <v>35467.870000000003</v>
      </c>
      <c r="F19" s="57">
        <f>'数据-基础表'!I13-'数据-基础表'!J13</f>
        <v>35467.870000000003</v>
      </c>
      <c r="G19" s="58"/>
      <c r="H19" s="721">
        <f>ROUND($D$3*I19/$E$3,2)</f>
        <v>2512.81</v>
      </c>
      <c r="I19" s="51">
        <f t="shared" ref="I19:I26" si="2">IF($I$17="自定义",P19,M19)</f>
        <v>6615.58</v>
      </c>
      <c r="J19" s="1391"/>
      <c r="K19" s="1390">
        <f t="shared" ref="K19:K26" si="3">ROUND(E$28*E19/E$27,2)</f>
        <v>5621.76</v>
      </c>
      <c r="L19" s="1246">
        <f t="shared" ref="L19:L26" si="4">ROUND(IF(COUNTIF(C19,"*住宅*")&gt;0,E$29*E19/E$32,0),2)</f>
        <v>993.82</v>
      </c>
      <c r="M19" s="1402">
        <f>K19+L19</f>
        <v>6615.58</v>
      </c>
      <c r="N19" s="2255"/>
      <c r="O19" s="2256"/>
      <c r="P19" s="1402">
        <f>N19+O19</f>
        <v>0</v>
      </c>
      <c r="R19" s="1246">
        <f t="shared" ref="R19:S26" si="5">D19+H19</f>
        <v>15984.66</v>
      </c>
      <c r="S19" s="1247">
        <f t="shared" si="5"/>
        <v>42083.450000000004</v>
      </c>
    </row>
    <row r="20" spans="1:19">
      <c r="A20" s="2257"/>
      <c r="B20" s="50" t="s">
        <v>1955</v>
      </c>
      <c r="C20" s="2254" t="str">
        <f>面积表!L18</f>
        <v>高层住宅</v>
      </c>
      <c r="D20" s="48">
        <f t="shared" ref="D20:D26" si="6">ROUND($D$3*E20/$E$3,2)</f>
        <v>46122.39</v>
      </c>
      <c r="E20" s="56">
        <f t="shared" si="1"/>
        <v>121428.23000000003</v>
      </c>
      <c r="F20" s="57">
        <f>'数据-基础表'!K14-'数据-基础表'!L14</f>
        <v>121428.23000000003</v>
      </c>
      <c r="G20" s="58"/>
      <c r="H20" s="721">
        <f t="shared" ref="H20:H26" si="7">ROUND($D$3*I20/$E$3,2)</f>
        <v>8602.9</v>
      </c>
      <c r="I20" s="51">
        <f t="shared" si="2"/>
        <v>22649.18</v>
      </c>
      <c r="J20" s="1391"/>
      <c r="K20" s="1390">
        <f t="shared" si="3"/>
        <v>19246.72</v>
      </c>
      <c r="L20" s="1246">
        <f t="shared" si="4"/>
        <v>3402.46</v>
      </c>
      <c r="M20" s="1402">
        <f t="shared" ref="M20:M26" si="8">K20+L20</f>
        <v>22649.18</v>
      </c>
      <c r="N20" s="2255"/>
      <c r="O20" s="2256"/>
      <c r="P20" s="1402">
        <f t="shared" ref="P20:P26" si="9">N20+O20</f>
        <v>0</v>
      </c>
      <c r="R20" s="1246">
        <f t="shared" si="5"/>
        <v>54725.29</v>
      </c>
      <c r="S20" s="1247">
        <f t="shared" si="5"/>
        <v>144077.41000000003</v>
      </c>
    </row>
    <row r="21" spans="1:19">
      <c r="A21" s="2257"/>
      <c r="B21" s="50" t="s">
        <v>1955</v>
      </c>
      <c r="C21" s="3357" t="s">
        <v>3352</v>
      </c>
      <c r="D21" s="48">
        <f t="shared" si="6"/>
        <v>1194.43</v>
      </c>
      <c r="E21" s="56">
        <f t="shared" si="1"/>
        <v>3144.63</v>
      </c>
      <c r="F21" s="57">
        <f>'数据-基础表'!M16</f>
        <v>3144.63</v>
      </c>
      <c r="G21" s="58"/>
      <c r="H21" s="721">
        <f t="shared" si="7"/>
        <v>189.32</v>
      </c>
      <c r="I21" s="51">
        <f t="shared" si="2"/>
        <v>498.43</v>
      </c>
      <c r="J21" s="1391"/>
      <c r="K21" s="1390">
        <f t="shared" si="3"/>
        <v>498.43</v>
      </c>
      <c r="L21" s="1246">
        <f t="shared" si="4"/>
        <v>0</v>
      </c>
      <c r="M21" s="1402">
        <f t="shared" si="8"/>
        <v>498.43</v>
      </c>
      <c r="N21" s="2255"/>
      <c r="O21" s="2256"/>
      <c r="P21" s="1402">
        <f t="shared" si="9"/>
        <v>0</v>
      </c>
      <c r="R21" s="1246">
        <f t="shared" si="5"/>
        <v>1383.75</v>
      </c>
      <c r="S21" s="1247">
        <f t="shared" si="5"/>
        <v>3643.06</v>
      </c>
    </row>
    <row r="22" spans="1:19">
      <c r="A22" s="2257"/>
      <c r="B22" s="50" t="s">
        <v>1955</v>
      </c>
      <c r="C22" s="3004" t="s">
        <v>3347</v>
      </c>
      <c r="D22" s="48">
        <f t="shared" si="6"/>
        <v>26278.78</v>
      </c>
      <c r="E22" s="56">
        <f t="shared" si="1"/>
        <v>69185.17</v>
      </c>
      <c r="F22" s="61"/>
      <c r="G22" s="62">
        <f>'数据-基础表'!O17</f>
        <v>69185.17</v>
      </c>
      <c r="H22" s="721">
        <f t="shared" si="7"/>
        <v>4165.26</v>
      </c>
      <c r="I22" s="51">
        <f t="shared" si="2"/>
        <v>10966.05</v>
      </c>
      <c r="J22" s="1391"/>
      <c r="K22" s="1390">
        <f t="shared" si="3"/>
        <v>10966.05</v>
      </c>
      <c r="L22" s="1246">
        <f t="shared" si="4"/>
        <v>0</v>
      </c>
      <c r="M22" s="1402">
        <f t="shared" si="8"/>
        <v>10966.05</v>
      </c>
      <c r="N22" s="2255"/>
      <c r="O22" s="2256"/>
      <c r="P22" s="1402">
        <f t="shared" si="9"/>
        <v>0</v>
      </c>
      <c r="R22" s="1246">
        <f t="shared" si="5"/>
        <v>30444.04</v>
      </c>
      <c r="S22" s="1247">
        <f t="shared" si="5"/>
        <v>80151.22</v>
      </c>
    </row>
    <row r="23" spans="1:19">
      <c r="A23" s="2257"/>
      <c r="B23" s="50" t="s">
        <v>1955</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1955</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1956</v>
      </c>
      <c r="D27" s="1392">
        <f>SUM(D19:D26)</f>
        <v>87067.45</v>
      </c>
      <c r="E27" s="1393">
        <f>IF(SUM(E19:E26)='数据-基础表'!BA5,SUM(E19:E26),IF(F27="地上面积有误","面积有误","地下面积有误"))</f>
        <v>229225.90000000002</v>
      </c>
      <c r="F27" s="1392">
        <f>IF(SUM(F19:F26)=E8,SUM(F19:F26),"地上面积有误")</f>
        <v>160040.73000000004</v>
      </c>
      <c r="G27" s="1394">
        <f>SUM(G19:G26)</f>
        <v>69185.17</v>
      </c>
      <c r="H27" s="1395">
        <f>SUM(H19:H26)</f>
        <v>15470.289999999999</v>
      </c>
      <c r="I27" s="1396">
        <f>SUM(I19:I26)</f>
        <v>40729.240000000005</v>
      </c>
      <c r="J27" s="1391"/>
      <c r="K27" s="1399">
        <f>SUM(K19:K26)</f>
        <v>36332.960000000006</v>
      </c>
      <c r="L27" s="1400">
        <f>SUM(L19:L26)</f>
        <v>4396.28</v>
      </c>
      <c r="M27" s="1403">
        <f>SUM(M19:M26)</f>
        <v>40729.240000000005</v>
      </c>
      <c r="N27" s="1399">
        <f t="shared" ref="N27:O27" si="10">SUM(N19:N26)</f>
        <v>0</v>
      </c>
      <c r="O27" s="1400">
        <f t="shared" si="10"/>
        <v>0</v>
      </c>
      <c r="P27" s="1401">
        <f>SUM(P19:P26)</f>
        <v>0</v>
      </c>
      <c r="R27" s="1248">
        <f>IF(SUM(R19:R26)=$D$3,SUM(R19:R26),SUM(R19:R26)&amp;"误差"&amp;ROUND(SUM(R19:R26)-$D$3,2))</f>
        <v>102537.73999999999</v>
      </c>
      <c r="S27" s="1246">
        <f>IF(SUM(S19:S26)=$E$3,SUM(S19:S26),SUM(S19:S26)&amp;"误差"&amp;ROUND(SUM(S19:S26)-E3,2))</f>
        <v>269955.14</v>
      </c>
    </row>
    <row r="28" spans="1:19">
      <c r="A28" s="2257"/>
      <c r="B28" s="50" t="s">
        <v>1957</v>
      </c>
      <c r="C28" s="1258" t="s">
        <v>1958</v>
      </c>
      <c r="D28" s="48">
        <f>ROUND($D$3*E28/$E$3,2)</f>
        <v>13800.44</v>
      </c>
      <c r="E28" s="56">
        <f>SUM(F28:G28)</f>
        <v>36332.960000000006</v>
      </c>
      <c r="F28" s="64">
        <f>'数据-基础表'!BQ5+'数据-基础表'!BS5</f>
        <v>0</v>
      </c>
      <c r="G28" s="65">
        <f>'数据-基础表'!BR5+'数据-基础表'!BT5</f>
        <v>36332.960000000006</v>
      </c>
      <c r="H28" s="1391"/>
      <c r="I28" s="1391"/>
      <c r="J28" s="1391"/>
      <c r="K28" s="1391"/>
      <c r="L28" s="1391"/>
      <c r="M28" s="1391"/>
      <c r="N28" s="1391"/>
      <c r="O28" s="1391"/>
      <c r="P28" s="1391"/>
    </row>
    <row r="29" spans="1:19">
      <c r="A29" s="2257"/>
      <c r="B29" s="50" t="s">
        <v>1957</v>
      </c>
      <c r="C29" s="2261" t="s">
        <v>1959</v>
      </c>
      <c r="D29" s="48">
        <f>ROUND($D$3*E29/$E$3,2)</f>
        <v>1669.85</v>
      </c>
      <c r="E29" s="56">
        <f>SUM(F29:G29)</f>
        <v>4396.28</v>
      </c>
      <c r="F29" s="66">
        <f>'数据-基础表'!BM5+'数据-基础表'!BO5</f>
        <v>4396.28</v>
      </c>
      <c r="G29" s="67">
        <f>'数据-基础表'!BN5+'数据-基础表'!BP5</f>
        <v>0</v>
      </c>
      <c r="H29" s="1391"/>
      <c r="I29" s="1391"/>
      <c r="J29" s="1391"/>
      <c r="K29" s="1391"/>
      <c r="L29" s="1391"/>
      <c r="M29" s="1391"/>
      <c r="N29" s="1391"/>
      <c r="O29" s="1391"/>
      <c r="P29" s="1391"/>
    </row>
    <row r="30" spans="1:19" ht="15">
      <c r="A30" s="2257"/>
      <c r="B30" s="50"/>
      <c r="C30" s="2262" t="s">
        <v>1956</v>
      </c>
      <c r="D30" s="1392">
        <f>SUM(D28:D29)</f>
        <v>15470.29</v>
      </c>
      <c r="E30" s="1392">
        <f>SUM(E28:E29)</f>
        <v>40729.240000000005</v>
      </c>
      <c r="F30" s="1392">
        <f>SUM(F28:F29)</f>
        <v>4396.28</v>
      </c>
      <c r="G30" s="1394">
        <f>SUM(G28:G29)</f>
        <v>36332.960000000006</v>
      </c>
      <c r="H30" s="1391"/>
      <c r="I30" s="1391"/>
      <c r="J30" s="1391"/>
      <c r="K30" s="1391"/>
      <c r="L30" s="1391"/>
      <c r="M30" s="1391"/>
      <c r="N30" s="1391"/>
      <c r="O30" s="1391"/>
      <c r="P30" s="1391"/>
    </row>
    <row r="31" spans="1:19" ht="15.75" thickBot="1">
      <c r="A31" s="2263"/>
      <c r="B31" s="2264"/>
      <c r="C31" s="1006" t="s">
        <v>1960</v>
      </c>
      <c r="D31" s="727">
        <f>D27+D30</f>
        <v>102537.73999999999</v>
      </c>
      <c r="E31" s="727">
        <f>E27+E30</f>
        <v>269955.14</v>
      </c>
      <c r="F31" s="728">
        <f>F27+F30</f>
        <v>164437.01000000004</v>
      </c>
      <c r="G31" s="729">
        <f>G27+G30</f>
        <v>105518.13</v>
      </c>
      <c r="H31" s="1391"/>
      <c r="I31" s="1391"/>
      <c r="J31" s="1391"/>
      <c r="K31" s="1391"/>
      <c r="L31" s="1391"/>
      <c r="M31" s="1391"/>
      <c r="N31" s="1391"/>
      <c r="O31" s="1391"/>
      <c r="P31" s="1391"/>
    </row>
    <row r="32" spans="1:19">
      <c r="A32" s="2227"/>
      <c r="B32" s="2227" t="s">
        <v>1961</v>
      </c>
      <c r="C32" s="2227"/>
      <c r="D32" s="2227"/>
      <c r="E32" s="1273">
        <f>SUMIF(C19:C26,"*住宅*",E19:E26)</f>
        <v>156896.10000000003</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8.375" style="2269" bestFit="1"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0"/>
      <c r="C1" s="1579"/>
      <c r="D1" s="2267"/>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1963</v>
      </c>
      <c r="B2" s="1265">
        <f>项目基本情况!D3</f>
        <v>43493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1970</v>
      </c>
      <c r="B5" s="2284" t="s">
        <v>1971</v>
      </c>
      <c r="C5" s="2285" t="s">
        <v>1972</v>
      </c>
      <c r="D5" s="2286" t="s">
        <v>1973</v>
      </c>
      <c r="E5" s="1267" t="s">
        <v>1974</v>
      </c>
      <c r="F5" s="2287" t="s">
        <v>1975</v>
      </c>
      <c r="G5" s="1267" t="s">
        <v>1976</v>
      </c>
      <c r="H5" s="1267" t="s">
        <v>1977</v>
      </c>
      <c r="I5" s="1267" t="s">
        <v>1978</v>
      </c>
      <c r="J5" s="2288" t="s">
        <v>1979</v>
      </c>
      <c r="K5" s="2289" t="s">
        <v>1980</v>
      </c>
      <c r="L5" s="2290" t="s">
        <v>1981</v>
      </c>
      <c r="M5" s="2291" t="s">
        <v>1982</v>
      </c>
      <c r="N5" s="2292" t="s">
        <v>1983</v>
      </c>
      <c r="O5" s="2290" t="s">
        <v>1984</v>
      </c>
      <c r="P5" s="2293" t="s">
        <v>1985</v>
      </c>
      <c r="Q5" s="69" t="s">
        <v>1986</v>
      </c>
      <c r="R5" s="2294" t="s">
        <v>1987</v>
      </c>
      <c r="S5" s="2295" t="s">
        <v>1988</v>
      </c>
      <c r="T5" s="2296" t="s">
        <v>1989</v>
      </c>
      <c r="U5" s="1266" t="s">
        <v>1990</v>
      </c>
      <c r="V5" s="1267" t="s">
        <v>1991</v>
      </c>
      <c r="W5" s="1267" t="s">
        <v>1992</v>
      </c>
      <c r="X5" s="71"/>
      <c r="Y5" s="70" t="s">
        <v>1993</v>
      </c>
      <c r="Z5" s="2297" t="s">
        <v>1990</v>
      </c>
      <c r="AA5" s="1267" t="s">
        <v>1991</v>
      </c>
      <c r="AB5" s="1267" t="s">
        <v>1992</v>
      </c>
      <c r="AC5" s="71"/>
      <c r="AD5" s="71" t="s">
        <v>1993</v>
      </c>
      <c r="AE5" s="1266" t="s">
        <v>1994</v>
      </c>
      <c r="AF5" s="1267" t="s">
        <v>1995</v>
      </c>
      <c r="AG5" s="70" t="s">
        <v>1996</v>
      </c>
      <c r="AH5" s="1266" t="s">
        <v>1997</v>
      </c>
      <c r="AI5" s="2297" t="s">
        <v>1998</v>
      </c>
      <c r="AJ5" s="2297" t="s">
        <v>1999</v>
      </c>
      <c r="AK5" s="1267" t="s">
        <v>2000</v>
      </c>
      <c r="AL5" s="1267" t="s">
        <v>2001</v>
      </c>
      <c r="AM5" s="70" t="s">
        <v>2002</v>
      </c>
      <c r="AN5" s="2298" t="s">
        <v>2003</v>
      </c>
      <c r="AO5" s="2068" t="s">
        <v>2004</v>
      </c>
      <c r="AP5" s="1248"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低密度住宅</v>
      </c>
      <c r="B6" s="2301" t="str">
        <f>IF(A6=0,"","经营性")</f>
        <v>经营性</v>
      </c>
      <c r="C6" s="2302" t="s">
        <v>3147</v>
      </c>
      <c r="D6" s="1050">
        <f>SUMIF(项目基本情况!D$12:I$12,C6,项目基本情况!D$14:I$14)</f>
        <v>70</v>
      </c>
      <c r="E6" s="1047">
        <f>IF(B6="","",SUMIF(项目基本情况!D$12:I$12,C6,项目基本情况!D$13:I$13))</f>
        <v>67205</v>
      </c>
      <c r="F6" s="72">
        <f>SUMIF(项目基本情况!D$12:I$12,C6,项目基本情况!D$15:I$15)</f>
        <v>64.959999999999994</v>
      </c>
      <c r="G6" s="73">
        <f>IF(ISERROR(ROUND(POWER(1+H6,D6-F6)*(POWER(1+H6,F6)-1)/(POWER(1+H6,D6)-1),3)),0,ROUND(POWER(1+H6,D6-F6)*(POWER(1+H6,F6)-1)/(POWER(1+H6,D6)-1),3))</f>
        <v>0.98499999999999999</v>
      </c>
      <c r="H6" s="800">
        <v>0.04</v>
      </c>
      <c r="I6" s="800">
        <v>4.4999999999999998E-2</v>
      </c>
      <c r="J6" s="74">
        <v>0.08</v>
      </c>
      <c r="K6" s="1250">
        <f>SUMIF('数据-汇总表'!C$19:C$33,A6,'数据-汇总表'!E$19:E$33)</f>
        <v>35467.870000000003</v>
      </c>
      <c r="L6" s="801">
        <v>2000</v>
      </c>
      <c r="M6" s="75">
        <f t="shared" ref="M6:M14" si="0">ROUND(K6*L6/10000,0)</f>
        <v>7094</v>
      </c>
      <c r="N6" s="799">
        <v>0.03</v>
      </c>
      <c r="O6" s="75">
        <f>IF($N$5="成新度","——",ROUND(M6*N6,0))</f>
        <v>213</v>
      </c>
      <c r="P6" s="76">
        <f>IF($N$5="成新度","——",M6-O6)</f>
        <v>6881</v>
      </c>
      <c r="Q6" s="802">
        <v>0.15</v>
      </c>
      <c r="R6" s="77">
        <f ca="1">SUMIF('数据-汇总表'!C$19:C$33,A6,'数据-汇总表'!R$19:R$27)</f>
        <v>15984.66</v>
      </c>
      <c r="S6" s="54">
        <f>IF('数据-汇总表'!$I$17="按面积比例",SUMIF('数据-汇总表'!C$19:C$33,A6,'数据-汇总表'!K$19:K$33),SUMIF('数据-汇总表'!C$19:C$33,A6,'数据-汇总表'!N$19:N$33))</f>
        <v>5621.76</v>
      </c>
      <c r="T6" s="1442">
        <f>ROUND($L$14*S6/10000,0)</f>
        <v>1124</v>
      </c>
      <c r="U6" s="78"/>
      <c r="V6" s="79"/>
      <c r="W6" s="79"/>
      <c r="X6" s="1260"/>
      <c r="Y6" s="80"/>
      <c r="Z6" s="81"/>
      <c r="AA6" s="74"/>
      <c r="AB6" s="74"/>
      <c r="AC6" s="1260"/>
      <c r="AD6" s="82"/>
      <c r="AE6" s="1261">
        <f ca="1">IF(AN6="",0,SUMIF(INDIRECT("'"&amp;AN6&amp;"'"&amp;"!E:E"),$AE$5,INDIRECT("'"&amp;AN6&amp;"'"&amp;"!F:F")))</f>
        <v>0</v>
      </c>
      <c r="AF6" s="1802"/>
      <c r="AG6" s="145">
        <f>IF(AF6="",0,AE6-AF6)</f>
        <v>0</v>
      </c>
      <c r="AH6" s="83"/>
      <c r="AI6" s="85"/>
      <c r="AJ6" s="86"/>
      <c r="AK6" s="87"/>
      <c r="AL6" s="88"/>
      <c r="AM6" s="89"/>
      <c r="AN6" s="2303"/>
      <c r="AO6" s="55" t="e">
        <f ca="1">SUMIF(INDIRECT("'"&amp;AN6&amp;"'"&amp;"!A:A"),"总价",INDIRECT("'"&amp;AN6&amp;"'"&amp;"!B:B"))</f>
        <v>#REF!</v>
      </c>
      <c r="AP6" s="2304">
        <f>IF(C6="住宅",K6*L6,0)</f>
        <v>70935740</v>
      </c>
      <c r="AQ6" s="55">
        <f>ROUND($L$14*$N$14*S6/10000,0)</f>
        <v>34</v>
      </c>
      <c r="AR6" s="55">
        <f>ROUND($L$14*(1-$N$14)*S6/10000,0)</f>
        <v>1091</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高层住宅</v>
      </c>
      <c r="B7" s="2301" t="str">
        <f t="shared" ref="B7:B13" si="1">IF(A7=0,"","经营性")</f>
        <v>经营性</v>
      </c>
      <c r="C7" s="2302" t="s">
        <v>3147</v>
      </c>
      <c r="D7" s="1050">
        <f>SUMIF(项目基本情况!D$12:I$12,C7,项目基本情况!D$14:I$14)</f>
        <v>70</v>
      </c>
      <c r="E7" s="1047">
        <f>IF(B7="","",SUMIF(项目基本情况!D$12:I$12,C7,项目基本情况!D$13:I$13))</f>
        <v>67205</v>
      </c>
      <c r="F7" s="72">
        <f>SUMIF(项目基本情况!D$12:I$12,C7,项目基本情况!D$15:I$15)</f>
        <v>64.959999999999994</v>
      </c>
      <c r="G7" s="73">
        <f t="shared" ref="G7:G11" si="2">IF(ISERROR(ROUND(POWER(1+H7,D7-F7)*(POWER(1+H7,F7)-1)/(POWER(1+H7,D7)-1),3)),0,ROUND(POWER(1+H7,D7-F7)*(POWER(1+H7,F7)-1)/(POWER(1+H7,D7)-1),3))</f>
        <v>0.98499999999999999</v>
      </c>
      <c r="H7" s="800">
        <v>0.04</v>
      </c>
      <c r="I7" s="800">
        <v>4.4999999999999998E-2</v>
      </c>
      <c r="J7" s="74">
        <v>0.08</v>
      </c>
      <c r="K7" s="1250">
        <f>SUMIF('数据-汇总表'!C$19:C$33,A7,'数据-汇总表'!E$19:E$33)</f>
        <v>121428.23000000003</v>
      </c>
      <c r="L7" s="801">
        <v>2300</v>
      </c>
      <c r="M7" s="75">
        <f t="shared" si="0"/>
        <v>27928</v>
      </c>
      <c r="N7" s="799">
        <f>N6</f>
        <v>0.03</v>
      </c>
      <c r="O7" s="75">
        <f t="shared" ref="O7:O14" si="3">IF($N$5="成新度","——",ROUND(M7*N7,0))</f>
        <v>838</v>
      </c>
      <c r="P7" s="76">
        <f t="shared" ref="P7:P14" si="4">IF($N$5="成新度","——",M7-O7)</f>
        <v>27090</v>
      </c>
      <c r="Q7" s="802">
        <v>0.1</v>
      </c>
      <c r="R7" s="77">
        <f ca="1">SUMIF('数据-汇总表'!C$19:C$33,A7,'数据-汇总表'!R$19:R$27)</f>
        <v>54725.29</v>
      </c>
      <c r="S7" s="54">
        <f>IF('数据-汇总表'!$I$17="按面积比例",SUMIF('数据-汇总表'!C$19:C$33,A7,'数据-汇总表'!K$19:K$33),SUMIF('数据-汇总表'!C$19:C$33,A7,'数据-汇总表'!N$19:N$33))</f>
        <v>19246.72</v>
      </c>
      <c r="T7" s="1442">
        <f t="shared" ref="T7:T13" si="5">ROUND($L$14*S7/10000,0)</f>
        <v>3849</v>
      </c>
      <c r="U7" s="3361"/>
      <c r="V7" s="79"/>
      <c r="W7" s="79"/>
      <c r="X7" s="1260"/>
      <c r="Y7" s="80"/>
      <c r="Z7" s="81"/>
      <c r="AA7" s="74"/>
      <c r="AB7" s="74"/>
      <c r="AC7" s="1260"/>
      <c r="AD7" s="82"/>
      <c r="AE7" s="1261">
        <f t="shared" ref="AE7:AE13" ca="1" si="6">IF(AN7="",0,SUMIF(INDIRECT("'"&amp;AN7&amp;"'"&amp;"!E:E"),$AE$5,INDIRECT("'"&amp;AN7&amp;"'"&amp;"!F:F")))</f>
        <v>0</v>
      </c>
      <c r="AF7" s="1802"/>
      <c r="AG7" s="145">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279284929.00000006</v>
      </c>
      <c r="AQ7" s="55">
        <f t="shared" ref="AQ7:AQ13" si="10">ROUND($L$14*$N$14*S7/10000,0)</f>
        <v>115</v>
      </c>
      <c r="AR7" s="55">
        <f t="shared" ref="AR7:AR13" si="11">ROUND($L$14*(1-$N$14)*S7/10000,0)</f>
        <v>3734</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商业</v>
      </c>
      <c r="B8" s="2301" t="str">
        <f t="shared" si="1"/>
        <v>经营性</v>
      </c>
      <c r="C8" s="2302" t="s">
        <v>1372</v>
      </c>
      <c r="D8" s="1050">
        <f>SUMIF(项目基本情况!D$12:I$12,C8,项目基本情况!D$14:I$14)</f>
        <v>40</v>
      </c>
      <c r="E8" s="1047">
        <f>IF(B8="","",SUMIF(项目基本情况!D$12:I$12,C8,项目基本情况!D$13:I$13))</f>
        <v>56248</v>
      </c>
      <c r="F8" s="72">
        <f>SUMIF(项目基本情况!D$12:I$12,C8,项目基本情况!D$15:I$15)</f>
        <v>34.94</v>
      </c>
      <c r="G8" s="73">
        <f t="shared" si="2"/>
        <v>0.95399999999999996</v>
      </c>
      <c r="H8" s="800">
        <v>0.05</v>
      </c>
      <c r="I8" s="800">
        <v>5.5E-2</v>
      </c>
      <c r="J8" s="74">
        <v>0.08</v>
      </c>
      <c r="K8" s="1250">
        <f>SUMIF('数据-汇总表'!C$19:C$33,A8,'数据-汇总表'!E$19:E$33)</f>
        <v>3144.63</v>
      </c>
      <c r="L8" s="801">
        <v>2000</v>
      </c>
      <c r="M8" s="75">
        <f>ROUND(K8*L8/10000,0)</f>
        <v>629</v>
      </c>
      <c r="N8" s="799">
        <f>N6</f>
        <v>0.03</v>
      </c>
      <c r="O8" s="75">
        <f t="shared" si="3"/>
        <v>19</v>
      </c>
      <c r="P8" s="76">
        <f t="shared" si="4"/>
        <v>610</v>
      </c>
      <c r="Q8" s="802">
        <v>0.12</v>
      </c>
      <c r="R8" s="77">
        <f ca="1">SUMIF('数据-汇总表'!C$19:C$33,A8,'数据-汇总表'!R$19:R$27)</f>
        <v>1383.75</v>
      </c>
      <c r="S8" s="54">
        <f>IF('数据-汇总表'!$I$17="按面积比例",SUMIF('数据-汇总表'!C$19:C$33,A8,'数据-汇总表'!K$19:K$33),SUMIF('数据-汇总表'!C$19:C$33,A8,'数据-汇总表'!N$19:N$33))</f>
        <v>498.43</v>
      </c>
      <c r="T8" s="1442">
        <f t="shared" si="5"/>
        <v>100</v>
      </c>
      <c r="U8" s="3362">
        <v>2.5</v>
      </c>
      <c r="V8" s="803">
        <v>2.5000000000000001E-2</v>
      </c>
      <c r="W8" s="803">
        <v>0.15</v>
      </c>
      <c r="X8" s="1260"/>
      <c r="Y8" s="804">
        <v>1</v>
      </c>
      <c r="Z8" s="81"/>
      <c r="AA8" s="74"/>
      <c r="AB8" s="74"/>
      <c r="AC8" s="1260"/>
      <c r="AD8" s="82"/>
      <c r="AE8" s="1261">
        <f t="shared" ca="1" si="6"/>
        <v>33.04</v>
      </c>
      <c r="AF8" s="1802"/>
      <c r="AG8" s="145">
        <f t="shared" si="7"/>
        <v>0</v>
      </c>
      <c r="AH8" s="2994">
        <f>K8</f>
        <v>3144.63</v>
      </c>
      <c r="AI8" s="85">
        <v>365</v>
      </c>
      <c r="AJ8" s="86"/>
      <c r="AK8" s="805">
        <v>1.4999999999999999E-2</v>
      </c>
      <c r="AL8" s="806">
        <v>1.5E-3</v>
      </c>
      <c r="AM8" s="807">
        <v>0.02</v>
      </c>
      <c r="AN8" s="2303" t="s">
        <v>3340</v>
      </c>
      <c r="AO8" s="55">
        <f t="shared" ca="1" si="8"/>
        <v>3646</v>
      </c>
      <c r="AP8" s="2304">
        <f t="shared" si="9"/>
        <v>0</v>
      </c>
      <c r="AQ8" s="55">
        <f t="shared" si="10"/>
        <v>3</v>
      </c>
      <c r="AR8" s="55">
        <f t="shared" si="11"/>
        <v>97</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地下车库</v>
      </c>
      <c r="B9" s="2301" t="str">
        <f t="shared" si="1"/>
        <v>经营性</v>
      </c>
      <c r="C9" s="2302" t="s">
        <v>3346</v>
      </c>
      <c r="D9" s="1050">
        <f>SUMIF(项目基本情况!D$12:I$12,C9,项目基本情况!D$14:I$14)</f>
        <v>50</v>
      </c>
      <c r="E9" s="1047">
        <f>IF(B9="","",SUMIF(项目基本情况!D$12:I$12,C9,项目基本情况!D$13:I$13))</f>
        <v>59900</v>
      </c>
      <c r="F9" s="72">
        <f>SUMIF(项目基本情况!D$12:I$12,C9,项目基本情况!D$15:I$15)</f>
        <v>44.95</v>
      </c>
      <c r="G9" s="73">
        <f t="shared" si="2"/>
        <v>0.96899999999999997</v>
      </c>
      <c r="H9" s="800">
        <v>4.4999999999999998E-2</v>
      </c>
      <c r="I9" s="800">
        <v>0.05</v>
      </c>
      <c r="J9" s="74">
        <v>0.08</v>
      </c>
      <c r="K9" s="1250">
        <f>SUMIF('数据-汇总表'!C$19:C$33,A9,'数据-汇总表'!E$19:E$33)</f>
        <v>69185.17</v>
      </c>
      <c r="L9" s="801">
        <v>2000</v>
      </c>
      <c r="M9" s="75">
        <f t="shared" si="0"/>
        <v>13837</v>
      </c>
      <c r="N9" s="799">
        <f>N8</f>
        <v>0.03</v>
      </c>
      <c r="O9" s="75">
        <f t="shared" si="3"/>
        <v>415</v>
      </c>
      <c r="P9" s="76">
        <f t="shared" si="4"/>
        <v>13422</v>
      </c>
      <c r="Q9" s="90">
        <v>0.05</v>
      </c>
      <c r="R9" s="77">
        <f ca="1">SUMIF('数据-汇总表'!C$19:C$33,A9,'数据-汇总表'!R$19:R$27)</f>
        <v>30444.04</v>
      </c>
      <c r="S9" s="54">
        <f>IF('数据-汇总表'!$I$17="按面积比例",SUMIF('数据-汇总表'!C$19:C$33,A9,'数据-汇总表'!K$19:K$33),SUMIF('数据-汇总表'!C$19:C$33,A9,'数据-汇总表'!N$19:N$33))</f>
        <v>10966.05</v>
      </c>
      <c r="T9" s="1442">
        <f t="shared" si="5"/>
        <v>2193</v>
      </c>
      <c r="U9" s="3362">
        <v>0.6</v>
      </c>
      <c r="V9" s="803">
        <v>2.5000000000000001E-2</v>
      </c>
      <c r="W9" s="803">
        <v>0.15</v>
      </c>
      <c r="X9" s="1260"/>
      <c r="Y9" s="80">
        <f>Y8</f>
        <v>1</v>
      </c>
      <c r="Z9" s="81"/>
      <c r="AA9" s="74"/>
      <c r="AB9" s="74"/>
      <c r="AC9" s="1260"/>
      <c r="AD9" s="82"/>
      <c r="AE9" s="1261">
        <f t="shared" ca="1" si="6"/>
        <v>43.050000000000004</v>
      </c>
      <c r="AF9" s="1802"/>
      <c r="AG9" s="145">
        <f t="shared" si="7"/>
        <v>0</v>
      </c>
      <c r="AH9" s="2994">
        <f>K9</f>
        <v>69185.17</v>
      </c>
      <c r="AI9" s="85">
        <v>365</v>
      </c>
      <c r="AJ9" s="86"/>
      <c r="AK9" s="805">
        <v>1.4999999999999999E-2</v>
      </c>
      <c r="AL9" s="806">
        <v>1.5E-3</v>
      </c>
      <c r="AM9" s="807">
        <v>0.01</v>
      </c>
      <c r="AN9" s="2303" t="s">
        <v>3348</v>
      </c>
      <c r="AO9" s="55">
        <f t="shared" ca="1" si="8"/>
        <v>17329</v>
      </c>
      <c r="AP9" s="2304">
        <f t="shared" si="9"/>
        <v>0</v>
      </c>
      <c r="AQ9" s="55">
        <f t="shared" si="10"/>
        <v>66</v>
      </c>
      <c r="AR9" s="55">
        <f t="shared" si="11"/>
        <v>2127</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3361"/>
      <c r="V10" s="79"/>
      <c r="W10" s="79"/>
      <c r="X10" s="1260"/>
      <c r="Y10" s="80"/>
      <c r="Z10" s="81"/>
      <c r="AA10" s="74"/>
      <c r="AB10" s="74"/>
      <c r="AC10" s="1260"/>
      <c r="AD10" s="82"/>
      <c r="AE10" s="1261">
        <f t="shared" ca="1" si="6"/>
        <v>0</v>
      </c>
      <c r="AF10" s="1802"/>
      <c r="AG10" s="145">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5">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5">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2008</v>
      </c>
      <c r="B14" s="2301" t="s">
        <v>2009</v>
      </c>
      <c r="C14" s="2306" t="s">
        <v>2008</v>
      </c>
      <c r="D14" s="1050"/>
      <c r="E14" s="1047"/>
      <c r="F14" s="72"/>
      <c r="G14" s="73"/>
      <c r="H14" s="1249"/>
      <c r="I14" s="1249"/>
      <c r="J14" s="1249"/>
      <c r="K14" s="1250">
        <f>SUMIF('数据-汇总表'!C$19:C$33,A14,'数据-汇总表'!E$19:E$33)</f>
        <v>36332.960000000006</v>
      </c>
      <c r="L14" s="91">
        <v>2000</v>
      </c>
      <c r="M14" s="75">
        <f t="shared" si="0"/>
        <v>7267</v>
      </c>
      <c r="N14" s="92">
        <f>N7</f>
        <v>0.03</v>
      </c>
      <c r="O14" s="75">
        <f t="shared" si="3"/>
        <v>218</v>
      </c>
      <c r="P14" s="76">
        <f t="shared" si="4"/>
        <v>7049</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2010</v>
      </c>
      <c r="B15" s="2301" t="s">
        <v>2009</v>
      </c>
      <c r="C15" s="2306" t="s">
        <v>2011</v>
      </c>
      <c r="D15" s="1050"/>
      <c r="E15" s="1047"/>
      <c r="F15" s="72"/>
      <c r="G15" s="73"/>
      <c r="H15" s="1249"/>
      <c r="I15" s="1249"/>
      <c r="J15" s="1249"/>
      <c r="K15" s="1250">
        <f>SUMIF('数据-汇总表'!C$19:C$33,A15,'数据-汇总表'!E$19:E$33)</f>
        <v>4396.28</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2012</v>
      </c>
      <c r="B16" s="97"/>
      <c r="C16" s="1004"/>
      <c r="D16" s="2308"/>
      <c r="E16" s="97"/>
      <c r="F16" s="97"/>
      <c r="G16" s="98">
        <f>ROUND(SUMPRODUCT(G6:G13,K6:K13)/SUMPRODUCT((G6:G13&gt;0)*(K6:K13)),3)</f>
        <v>0.98</v>
      </c>
      <c r="H16" s="99">
        <f>ROUND(SUMPRODUCT(H6:H13,K6:K13)/SUMPRODUCT((H6:H13&gt;0)*(K6:K13)),3)</f>
        <v>4.2000000000000003E-2</v>
      </c>
      <c r="I16" s="100"/>
      <c r="J16" s="100"/>
      <c r="K16" s="101">
        <f>SUM(K6:K15)</f>
        <v>269955.14000000007</v>
      </c>
      <c r="L16" s="102">
        <f>ROUND(M16*10000/SUM(K6:K14),0)</f>
        <v>2137</v>
      </c>
      <c r="M16" s="102">
        <f>SUM(M6:M14)</f>
        <v>56755</v>
      </c>
      <c r="N16" s="103">
        <f>ROUND(SUMPRODUCT(M6:M14,N6:N14)/M16,3)</f>
        <v>0.03</v>
      </c>
      <c r="O16" s="102">
        <f>SUM(O6:O14)</f>
        <v>1703</v>
      </c>
      <c r="P16" s="102">
        <f>SUM(P6:P14)</f>
        <v>55052</v>
      </c>
      <c r="Q16" s="104">
        <f>ROUND(SUMPRODUCT(Q6:Q13,K6:K13)/SUMPRODUCT((Q6:Q13&gt;0)*(K6:K13)),2)</f>
        <v>0.09</v>
      </c>
      <c r="R16" s="1254">
        <f ca="1">SUM(R6:R13)</f>
        <v>102537.73999999999</v>
      </c>
      <c r="S16" s="105">
        <f>SUM(S6:S13)</f>
        <v>36332.960000000006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4"/>
      <c r="C18" s="2271"/>
      <c r="D18" s="2272"/>
      <c r="E18" s="2271"/>
      <c r="F18" s="2271"/>
      <c r="G18" s="2271"/>
      <c r="H18" s="2271"/>
      <c r="I18" s="2271"/>
      <c r="J18" s="2271"/>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2">
        <v>0</v>
      </c>
      <c r="C19" s="2271" t="s">
        <v>2015</v>
      </c>
      <c r="D19" s="2272"/>
      <c r="E19" s="2271"/>
      <c r="F19" s="2271"/>
      <c r="G19" s="2271"/>
      <c r="H19" s="2271"/>
      <c r="I19" s="2271"/>
      <c r="J19" s="2271"/>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3">
        <v>2</v>
      </c>
      <c r="C20" s="2271" t="s">
        <v>2017</v>
      </c>
      <c r="D20" s="2272"/>
      <c r="E20" s="2271"/>
      <c r="F20" s="2271"/>
      <c r="G20" s="2271"/>
      <c r="H20" s="2271"/>
      <c r="I20" s="2271"/>
      <c r="J20" s="2271"/>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3363">
        <v>0.1</v>
      </c>
      <c r="C21" s="2271"/>
      <c r="D21" s="2272"/>
      <c r="E21" s="2271"/>
      <c r="F21" s="2271"/>
      <c r="G21" s="2271"/>
      <c r="H21" s="2271"/>
      <c r="I21" s="2271"/>
      <c r="J21" s="2271"/>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4">
        <f>B19+B20</f>
        <v>2</v>
      </c>
      <c r="C22" s="2271"/>
      <c r="D22" s="2272"/>
      <c r="E22" s="2271"/>
      <c r="F22" s="2271"/>
      <c r="G22" s="2271"/>
      <c r="H22" s="2271"/>
      <c r="I22" s="2271"/>
      <c r="J22" s="2271"/>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4">
        <f>B19+B21</f>
        <v>0.1</v>
      </c>
      <c r="C23" s="2271"/>
      <c r="D23" s="2272"/>
      <c r="E23" s="2271"/>
      <c r="F23" s="2271"/>
      <c r="G23" s="2271"/>
      <c r="H23" s="2271"/>
      <c r="I23" s="2271"/>
      <c r="J23" s="2271"/>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5">
        <f>B20-B21</f>
        <v>1.9</v>
      </c>
      <c r="C24" s="2271"/>
      <c r="D24" s="2272"/>
      <c r="E24" s="2271"/>
      <c r="F24" s="2271"/>
      <c r="G24" s="2271"/>
      <c r="H24" s="2271"/>
      <c r="I24" s="2271"/>
      <c r="J24" s="2271"/>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722">
        <v>150</v>
      </c>
      <c r="C27" s="1762" t="s">
        <v>2026</v>
      </c>
      <c r="D27" s="2317"/>
      <c r="E27" s="1426"/>
      <c r="F27" s="1426"/>
      <c r="G27" s="2271"/>
      <c r="H27" s="2271"/>
      <c r="I27" s="2271"/>
      <c r="J27" s="2271"/>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2027</v>
      </c>
      <c r="B28" s="722">
        <f>B27</f>
        <v>150</v>
      </c>
      <c r="C28" s="2320"/>
      <c r="D28" s="2317"/>
      <c r="E28" s="1426"/>
      <c r="F28" s="1426"/>
      <c r="G28" s="2271"/>
      <c r="H28" s="2271"/>
      <c r="I28" s="2271"/>
      <c r="J28" s="2271"/>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2028</v>
      </c>
      <c r="B29" s="722">
        <v>0</v>
      </c>
      <c r="C29" s="1762" t="s">
        <v>2029</v>
      </c>
      <c r="D29" s="2317"/>
      <c r="E29" s="1426"/>
      <c r="F29" s="1426"/>
      <c r="G29" s="2271"/>
      <c r="H29" s="2271"/>
      <c r="I29" s="2271"/>
      <c r="J29" s="2271"/>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2030</v>
      </c>
      <c r="B30" s="722">
        <v>200</v>
      </c>
      <c r="C30" s="2320"/>
      <c r="D30" s="2317"/>
      <c r="E30" s="1426"/>
      <c r="F30" s="1426"/>
      <c r="G30" s="2271"/>
      <c r="H30" s="2271"/>
      <c r="I30" s="2271"/>
      <c r="J30" s="2271"/>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2031</v>
      </c>
      <c r="B31" s="119">
        <f>B30-B32</f>
        <v>200</v>
      </c>
      <c r="C31" s="1762"/>
      <c r="D31" s="2317"/>
      <c r="E31" s="1426"/>
      <c r="F31" s="1426"/>
      <c r="G31" s="2271"/>
      <c r="H31" s="2271"/>
      <c r="I31" s="2271"/>
      <c r="J31" s="2271"/>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2032</v>
      </c>
      <c r="B32" s="723">
        <v>0</v>
      </c>
      <c r="C32" s="2320"/>
      <c r="D32" s="2272"/>
      <c r="E32" s="2271"/>
      <c r="F32" s="2271"/>
      <c r="G32" s="2271"/>
      <c r="H32" s="2271"/>
      <c r="I32" s="2271"/>
      <c r="J32" s="2271"/>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2033</v>
      </c>
      <c r="B33" s="724">
        <v>0.03</v>
      </c>
      <c r="C33" s="1761" t="s">
        <v>2034</v>
      </c>
      <c r="D33" s="2272"/>
      <c r="E33" s="2271"/>
      <c r="F33" s="2271"/>
      <c r="G33" s="2271"/>
      <c r="H33" s="2271"/>
      <c r="I33" s="2271"/>
      <c r="J33" s="2271"/>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2035</v>
      </c>
      <c r="B34" s="120">
        <v>0.05</v>
      </c>
      <c r="C34" s="1761" t="s">
        <v>2036</v>
      </c>
      <c r="D34" s="2272" t="s">
        <v>2037</v>
      </c>
      <c r="E34" s="730"/>
      <c r="F34" s="2271"/>
      <c r="G34" s="2271"/>
      <c r="H34" s="2271"/>
      <c r="I34" s="2271"/>
      <c r="J34" s="2271"/>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2038</v>
      </c>
      <c r="B35" s="118">
        <f>B30</f>
        <v>200</v>
      </c>
      <c r="C35" s="1761" t="s">
        <v>2039</v>
      </c>
      <c r="D35" s="2317"/>
      <c r="E35" s="1426"/>
      <c r="F35" s="1426"/>
      <c r="G35" s="2271"/>
      <c r="H35" s="2271"/>
      <c r="I35" s="2271"/>
      <c r="J35" s="2271"/>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1">
        <v>1.4999999999999999E-2</v>
      </c>
      <c r="C36" s="1761" t="s">
        <v>2041</v>
      </c>
      <c r="D36" s="2272"/>
      <c r="E36" s="2271"/>
      <c r="F36" s="2271"/>
      <c r="G36" s="2271"/>
      <c r="H36" s="2271"/>
      <c r="I36" s="2271"/>
      <c r="J36" s="2271"/>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2">
        <v>0.02</v>
      </c>
      <c r="C37" s="1761" t="s">
        <v>2043</v>
      </c>
      <c r="D37" s="2272"/>
      <c r="E37" s="2271"/>
      <c r="F37" s="2271"/>
      <c r="G37" s="2271"/>
      <c r="H37" s="2271"/>
      <c r="I37" s="2271"/>
      <c r="J37" s="2271"/>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0">
        <v>0.02</v>
      </c>
      <c r="C38" s="1761" t="s">
        <v>2043</v>
      </c>
      <c r="D38" s="2272"/>
      <c r="E38" s="2271"/>
      <c r="F38" s="2271"/>
      <c r="G38" s="2271"/>
      <c r="H38" s="2271"/>
      <c r="I38" s="2271"/>
      <c r="J38" s="2271"/>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0">
        <f ca="1">存贷款利率!I1</f>
        <v>1.4999999999999999E-2</v>
      </c>
      <c r="C39" s="1761"/>
      <c r="D39" s="2272"/>
      <c r="E39" s="2271"/>
      <c r="F39" s="2271"/>
      <c r="G39" s="2271"/>
      <c r="H39" s="2271"/>
      <c r="I39" s="2271"/>
      <c r="J39" s="2271"/>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3">
        <f>B42+B43</f>
        <v>5.5000000000000007E-2</v>
      </c>
      <c r="C41" s="1762"/>
      <c r="D41" s="1579"/>
      <c r="E41" s="2272"/>
      <c r="F41" s="2271"/>
      <c r="G41" s="2271"/>
      <c r="H41" s="2271"/>
      <c r="I41" s="2271"/>
      <c r="J41" s="2271"/>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4">
        <v>0.05</v>
      </c>
      <c r="C42" s="2325">
        <f>IF(B2&lt;DATE(2016,5,1),0,B42)</f>
        <v>0.05</v>
      </c>
      <c r="D42" s="2272"/>
      <c r="E42" s="2271"/>
      <c r="F42" s="2271"/>
      <c r="G42" s="2271"/>
      <c r="H42" s="2271"/>
      <c r="I42" s="2271"/>
      <c r="J42" s="2271"/>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5">
        <f>B42*(B44+B45+B46)+B47</f>
        <v>5.000000000000001E-3</v>
      </c>
      <c r="C43" s="1762"/>
      <c r="D43" s="2272"/>
      <c r="E43" s="2271"/>
      <c r="F43" s="2271"/>
      <c r="G43" s="2271"/>
      <c r="H43" s="2271"/>
      <c r="I43" s="2271"/>
      <c r="J43" s="2271"/>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6">
        <v>0.05</v>
      </c>
      <c r="C44" s="1761" t="s">
        <v>2052</v>
      </c>
      <c r="D44" s="2272"/>
      <c r="E44" s="2271"/>
      <c r="F44" s="2271"/>
      <c r="G44" s="2271"/>
      <c r="H44" s="2271"/>
      <c r="I44" s="2271"/>
      <c r="J44" s="2271"/>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4">
        <v>0.03</v>
      </c>
      <c r="C45" s="1762" t="s">
        <v>2054</v>
      </c>
      <c r="D45" s="2272"/>
      <c r="E45" s="2271"/>
      <c r="F45" s="2271"/>
      <c r="G45" s="2271"/>
      <c r="H45" s="2271"/>
      <c r="I45" s="2271"/>
      <c r="J45" s="2271"/>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4">
        <v>0.02</v>
      </c>
      <c r="C46" s="1762" t="s">
        <v>2056</v>
      </c>
      <c r="D46" s="2272"/>
      <c r="E46" s="2271"/>
      <c r="F46" s="2271"/>
      <c r="G46" s="2271"/>
      <c r="H46" s="2271"/>
      <c r="I46" s="2271"/>
      <c r="J46" s="2271"/>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7"/>
      <c r="C47" s="1762" t="s">
        <v>2058</v>
      </c>
      <c r="D47" s="2272"/>
      <c r="E47" s="2271"/>
      <c r="F47" s="2271"/>
      <c r="G47" s="2271"/>
      <c r="H47" s="2271"/>
      <c r="I47" s="2271"/>
      <c r="J47" s="2271"/>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8">
        <v>0.03</v>
      </c>
      <c r="C48" s="1769" t="s">
        <v>2060</v>
      </c>
      <c r="D48" s="2272"/>
      <c r="E48" s="2271"/>
      <c r="F48" s="2271"/>
      <c r="G48" s="2271"/>
      <c r="H48" s="2271"/>
      <c r="I48" s="2271"/>
      <c r="J48" s="2271"/>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4">
        <v>5.0000000000000001E-4</v>
      </c>
      <c r="C49" s="1769" t="s">
        <v>2062</v>
      </c>
      <c r="D49" s="2272"/>
      <c r="E49" s="2271"/>
      <c r="F49" s="2271"/>
      <c r="G49" s="2271"/>
      <c r="H49" s="2271"/>
      <c r="I49" s="2271"/>
      <c r="J49" s="2271"/>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29">
        <v>1.2E-2</v>
      </c>
      <c r="C50" s="1426"/>
      <c r="D50" s="2272"/>
      <c r="E50" s="2271"/>
      <c r="F50" s="2271"/>
      <c r="G50" s="2271"/>
      <c r="H50" s="2271"/>
      <c r="I50" s="2271"/>
      <c r="J50" s="2271"/>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0">
        <v>0.12</v>
      </c>
      <c r="C51" s="1426"/>
      <c r="D51" s="2272"/>
      <c r="E51" s="2271"/>
      <c r="F51" s="2271"/>
      <c r="G51" s="2271"/>
      <c r="H51" s="2271"/>
      <c r="I51" s="2271"/>
      <c r="J51" s="2271"/>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1">
        <f>SUMIF(A54:A63,B53,B54:B63)</f>
        <v>5</v>
      </c>
      <c r="C52" s="1426"/>
      <c r="D52" s="2272"/>
      <c r="E52" s="2271"/>
      <c r="F52" s="2271"/>
      <c r="G52" s="2271"/>
      <c r="H52" s="2271"/>
      <c r="I52" s="2271"/>
      <c r="J52" s="2271"/>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442</v>
      </c>
      <c r="C53" s="1426" t="s">
        <v>2067</v>
      </c>
      <c r="D53" s="2331" t="s">
        <v>2068</v>
      </c>
      <c r="E53" s="2271"/>
      <c r="F53" s="2271"/>
      <c r="G53" s="2271"/>
      <c r="H53" s="2271"/>
      <c r="I53" s="2271"/>
      <c r="J53" s="2271"/>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2978"/>
      <c r="C54" s="1426">
        <v>30</v>
      </c>
      <c r="D54" s="2272"/>
      <c r="E54" s="2271"/>
      <c r="F54" s="2271"/>
      <c r="G54" s="2271"/>
      <c r="H54" s="2271"/>
      <c r="I54" s="2271"/>
      <c r="J54" s="2271"/>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2978"/>
      <c r="C55" s="1426">
        <v>24</v>
      </c>
      <c r="D55" s="2272"/>
      <c r="E55" s="2271"/>
      <c r="F55" s="2271"/>
      <c r="G55" s="2271"/>
      <c r="H55" s="2271"/>
      <c r="I55" s="2333"/>
      <c r="J55" s="2271"/>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2978">
        <v>5</v>
      </c>
      <c r="C56" s="1426">
        <v>18</v>
      </c>
      <c r="D56" s="2272"/>
      <c r="E56" s="2271"/>
      <c r="F56" s="2271"/>
      <c r="G56" s="2271"/>
      <c r="H56" s="2271"/>
      <c r="I56" s="2271"/>
      <c r="J56" s="2271"/>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2978"/>
      <c r="C57" s="1426">
        <v>12</v>
      </c>
      <c r="D57" s="2272"/>
      <c r="E57" s="2271"/>
      <c r="F57" s="2271"/>
      <c r="G57" s="2271"/>
      <c r="H57" s="2271"/>
      <c r="I57" s="2271"/>
      <c r="J57" s="2271"/>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2978"/>
      <c r="C58" s="1426">
        <v>3</v>
      </c>
      <c r="D58" s="2272"/>
      <c r="E58" s="2271"/>
      <c r="F58" s="2271"/>
      <c r="G58" s="2271"/>
      <c r="H58" s="2271"/>
      <c r="I58" s="2271"/>
      <c r="J58" s="2271"/>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2978"/>
      <c r="C59" s="1426">
        <v>1.5</v>
      </c>
      <c r="D59" s="2272"/>
      <c r="E59" s="2271"/>
      <c r="F59" s="2271"/>
      <c r="G59" s="2271"/>
      <c r="H59" s="2271"/>
      <c r="I59" s="2271"/>
      <c r="J59" s="2271"/>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4"/>
      <c r="C60" s="2271"/>
      <c r="D60" s="2272"/>
      <c r="E60" s="2271"/>
      <c r="F60" s="2271"/>
      <c r="G60" s="2271"/>
      <c r="H60" s="2271"/>
      <c r="I60" s="2271"/>
      <c r="J60" s="2271"/>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4"/>
      <c r="C61" s="2271"/>
      <c r="D61" s="2272"/>
      <c r="E61" s="2271"/>
      <c r="F61" s="2271"/>
      <c r="G61" s="2271"/>
      <c r="H61" s="2271"/>
      <c r="I61" s="2271"/>
      <c r="J61" s="2271"/>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4"/>
      <c r="C62" s="2271"/>
      <c r="D62" s="2272"/>
      <c r="E62" s="2271"/>
      <c r="F62" s="2271"/>
      <c r="G62" s="2271"/>
      <c r="H62" s="2271"/>
      <c r="I62" s="2271"/>
      <c r="J62" s="2271"/>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2"/>
      <c r="C63" s="2271"/>
      <c r="D63" s="2272"/>
      <c r="E63" s="2271"/>
      <c r="F63" s="2271"/>
      <c r="G63" s="2271"/>
      <c r="H63" s="2271"/>
      <c r="I63" s="2271"/>
      <c r="J63" s="2271"/>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6"/>
      <c r="L64" s="796"/>
    </row>
    <row r="65" spans="1:12" s="963" customFormat="1">
      <c r="A65" s="2335"/>
      <c r="D65" s="2336"/>
      <c r="K65" s="796"/>
      <c r="L65" s="796"/>
    </row>
    <row r="66" spans="1:12" s="963" customFormat="1">
      <c r="A66" s="2335"/>
      <c r="D66" s="2336"/>
      <c r="K66" s="796"/>
      <c r="L66" s="796"/>
    </row>
    <row r="67" spans="1:12" s="963" customFormat="1">
      <c r="A67" s="2335"/>
      <c r="D67" s="2336"/>
      <c r="K67" s="796"/>
      <c r="L67" s="796"/>
    </row>
    <row r="68" spans="1:12" s="963" customFormat="1">
      <c r="A68" s="2335"/>
      <c r="D68" s="2336"/>
      <c r="K68" s="796"/>
      <c r="L68" s="796"/>
    </row>
    <row r="69" spans="1:12" s="963" customFormat="1">
      <c r="A69" s="2335"/>
      <c r="D69" s="2336"/>
      <c r="K69" s="796"/>
      <c r="L69" s="796"/>
    </row>
    <row r="70" spans="1:12" s="963" customFormat="1">
      <c r="A70" s="2335"/>
      <c r="D70" s="2336"/>
      <c r="K70" s="796"/>
      <c r="L70" s="796"/>
    </row>
    <row r="71" spans="1:12" s="963" customFormat="1">
      <c r="A71" s="2335"/>
      <c r="D71" s="2336"/>
      <c r="K71" s="796"/>
      <c r="L71" s="796"/>
    </row>
    <row r="72" spans="1:12" s="963" customFormat="1">
      <c r="A72" s="2335"/>
      <c r="D72" s="2336"/>
      <c r="K72" s="796"/>
      <c r="L72" s="796"/>
    </row>
    <row r="73" spans="1:12" s="963" customFormat="1">
      <c r="A73" s="2335"/>
      <c r="D73" s="2336"/>
      <c r="K73" s="796"/>
      <c r="L73" s="796"/>
    </row>
    <row r="74" spans="1:12" s="963" customFormat="1">
      <c r="A74" s="2335"/>
      <c r="D74" s="2336"/>
      <c r="K74" s="796"/>
      <c r="L74" s="796"/>
    </row>
    <row r="75" spans="1:12" s="963" customFormat="1">
      <c r="A75" s="2335"/>
      <c r="D75" s="2336"/>
      <c r="K75" s="796"/>
      <c r="L75" s="796"/>
    </row>
    <row r="76" spans="1:12" s="963" customFormat="1">
      <c r="A76" s="2335"/>
      <c r="D76" s="2336"/>
      <c r="K76" s="796"/>
      <c r="L76" s="796"/>
    </row>
    <row r="77" spans="1:12" s="963" customFormat="1">
      <c r="A77" s="2335"/>
      <c r="D77" s="2336"/>
      <c r="K77" s="796"/>
      <c r="L77" s="796"/>
    </row>
    <row r="78" spans="1:12" s="963" customFormat="1">
      <c r="A78" s="2335"/>
      <c r="D78" s="2336"/>
      <c r="K78" s="796"/>
      <c r="L78" s="796"/>
    </row>
    <row r="79" spans="1:12" s="963" customFormat="1">
      <c r="A79" s="2335"/>
      <c r="D79" s="2336"/>
      <c r="K79" s="796"/>
      <c r="L79" s="796"/>
    </row>
    <row r="80" spans="1:12" s="963" customFormat="1">
      <c r="A80" s="2335"/>
      <c r="D80" s="2336"/>
      <c r="K80" s="796"/>
      <c r="L80" s="796"/>
    </row>
    <row r="81" spans="1:12" s="963" customFormat="1">
      <c r="A81" s="2335"/>
      <c r="D81" s="2336"/>
      <c r="K81" s="796"/>
      <c r="L81" s="796"/>
    </row>
    <row r="82" spans="1:12" s="963" customFormat="1">
      <c r="A82" s="2335"/>
      <c r="D82" s="2336"/>
      <c r="K82" s="796"/>
      <c r="L82" s="796"/>
    </row>
    <row r="83" spans="1:12" s="963" customFormat="1">
      <c r="A83" s="2335"/>
      <c r="D83" s="2336"/>
      <c r="K83" s="796"/>
      <c r="L83" s="796"/>
    </row>
    <row r="84" spans="1:12" s="963" customFormat="1">
      <c r="A84" s="2335"/>
      <c r="D84" s="2336"/>
      <c r="K84" s="796"/>
      <c r="L84" s="796"/>
    </row>
    <row r="85" spans="1:12" s="963" customFormat="1">
      <c r="A85" s="2335"/>
      <c r="D85" s="2336"/>
      <c r="K85" s="796"/>
      <c r="L85" s="796"/>
    </row>
    <row r="86" spans="1:12" s="963" customFormat="1">
      <c r="A86" s="2335"/>
      <c r="D86" s="2336"/>
      <c r="K86" s="796"/>
      <c r="L86" s="796"/>
    </row>
    <row r="87" spans="1:12" s="963" customFormat="1">
      <c r="A87" s="2335"/>
      <c r="D87" s="2336"/>
      <c r="K87" s="796"/>
      <c r="L87" s="796"/>
    </row>
    <row r="88" spans="1:12" s="963" customFormat="1">
      <c r="A88" s="2335"/>
      <c r="D88" s="2336"/>
      <c r="K88" s="796"/>
      <c r="L88" s="796"/>
    </row>
    <row r="89" spans="1:12" s="963" customFormat="1">
      <c r="A89" s="2335"/>
      <c r="D89" s="2336"/>
      <c r="K89" s="796"/>
      <c r="L89" s="796"/>
    </row>
    <row r="90" spans="1:12" s="963" customFormat="1">
      <c r="A90" s="2335"/>
      <c r="D90" s="2336"/>
      <c r="K90" s="796"/>
      <c r="L90" s="796"/>
    </row>
    <row r="91" spans="1:12" s="963" customFormat="1">
      <c r="A91" s="2335"/>
      <c r="D91" s="2336"/>
      <c r="K91" s="796"/>
      <c r="L91" s="796"/>
    </row>
    <row r="92" spans="1:12" s="963" customFormat="1">
      <c r="A92" s="2335"/>
      <c r="D92" s="2336"/>
      <c r="K92" s="796"/>
      <c r="L92" s="796"/>
    </row>
    <row r="93" spans="1:12" s="963" customFormat="1">
      <c r="A93" s="2335"/>
      <c r="D93" s="2336"/>
      <c r="K93" s="796"/>
      <c r="L93" s="796"/>
    </row>
    <row r="94" spans="1:12" s="963" customFormat="1">
      <c r="A94" s="2335"/>
      <c r="D94" s="2336"/>
      <c r="K94" s="796"/>
      <c r="L94" s="796"/>
    </row>
    <row r="95" spans="1:12" s="963" customFormat="1">
      <c r="A95" s="2335"/>
      <c r="D95" s="2336"/>
      <c r="K95" s="796"/>
      <c r="L95" s="796"/>
    </row>
    <row r="96" spans="1:12" s="963" customFormat="1">
      <c r="A96" s="2335"/>
      <c r="D96" s="2336"/>
      <c r="K96" s="796"/>
      <c r="L96" s="796"/>
    </row>
    <row r="97" spans="1:12" s="963" customFormat="1">
      <c r="A97" s="2335"/>
      <c r="D97" s="2336"/>
      <c r="K97" s="796"/>
      <c r="L97" s="796"/>
    </row>
    <row r="98" spans="1:12" s="963" customFormat="1">
      <c r="A98" s="2335"/>
      <c r="D98" s="2336"/>
      <c r="K98" s="796"/>
      <c r="L98" s="796"/>
    </row>
    <row r="99" spans="1:12" s="963" customFormat="1">
      <c r="A99" s="2335"/>
      <c r="D99" s="2336"/>
      <c r="K99" s="796"/>
      <c r="L99" s="796"/>
    </row>
    <row r="100" spans="1:12" s="963" customFormat="1">
      <c r="A100" s="2335"/>
      <c r="D100" s="2336"/>
      <c r="K100" s="796"/>
      <c r="L100" s="796"/>
    </row>
    <row r="101" spans="1:12" s="963" customFormat="1">
      <c r="A101" s="2335"/>
      <c r="D101" s="2336"/>
      <c r="K101" s="796"/>
      <c r="L101" s="796"/>
    </row>
    <row r="102" spans="1:12" s="963" customFormat="1">
      <c r="A102" s="2335"/>
      <c r="D102" s="2336"/>
      <c r="K102" s="796"/>
      <c r="L102" s="796"/>
    </row>
    <row r="103" spans="1:12" s="963" customFormat="1">
      <c r="A103" s="2335"/>
      <c r="D103" s="2336"/>
      <c r="K103" s="796"/>
      <c r="L103" s="796"/>
    </row>
    <row r="104" spans="1:12" s="963" customFormat="1">
      <c r="A104" s="2335"/>
      <c r="D104" s="2336"/>
      <c r="K104" s="796"/>
      <c r="L104" s="796"/>
    </row>
    <row r="105" spans="1:12" s="963" customFormat="1">
      <c r="A105" s="2335"/>
      <c r="D105" s="2336"/>
      <c r="K105" s="796"/>
      <c r="L105" s="796"/>
    </row>
    <row r="106" spans="1:12" s="963" customFormat="1">
      <c r="A106" s="2335"/>
      <c r="D106" s="2336"/>
      <c r="K106" s="796"/>
      <c r="L106" s="796"/>
    </row>
    <row r="107" spans="1:12" s="963" customFormat="1">
      <c r="A107" s="2335"/>
      <c r="D107" s="2336"/>
      <c r="K107" s="796"/>
      <c r="L107" s="796"/>
    </row>
    <row r="108" spans="1:12" s="963" customFormat="1">
      <c r="A108" s="2335"/>
      <c r="D108" s="2336"/>
      <c r="K108" s="796"/>
      <c r="L108" s="796"/>
    </row>
    <row r="109" spans="1:12" s="963" customFormat="1">
      <c r="A109" s="2335"/>
      <c r="D109" s="2336"/>
      <c r="K109" s="796"/>
      <c r="L109" s="796"/>
    </row>
    <row r="110" spans="1:12" s="963" customFormat="1">
      <c r="A110" s="2335"/>
      <c r="D110" s="2336"/>
      <c r="K110" s="796"/>
      <c r="L110" s="796"/>
    </row>
    <row r="111" spans="1:12" s="963" customFormat="1">
      <c r="A111" s="2335"/>
      <c r="D111" s="2336"/>
      <c r="K111" s="796"/>
      <c r="L111" s="796"/>
    </row>
    <row r="112" spans="1:12" s="963" customFormat="1">
      <c r="A112" s="2335"/>
      <c r="D112" s="2336"/>
      <c r="K112" s="796"/>
      <c r="L112" s="796"/>
    </row>
    <row r="113" spans="1:12" s="963" customFormat="1">
      <c r="A113" s="2335"/>
      <c r="D113" s="2336"/>
      <c r="K113" s="796"/>
      <c r="L113" s="796"/>
    </row>
    <row r="114" spans="1:12" s="963" customFormat="1">
      <c r="A114" s="2335"/>
      <c r="D114" s="2336"/>
      <c r="K114" s="796"/>
      <c r="L114" s="796"/>
    </row>
    <row r="115" spans="1:12" s="963" customFormat="1">
      <c r="A115" s="2335"/>
      <c r="D115" s="2336"/>
      <c r="K115" s="796"/>
      <c r="L115" s="796"/>
    </row>
    <row r="116" spans="1:12" s="963" customFormat="1">
      <c r="A116" s="2335"/>
      <c r="D116" s="2336"/>
      <c r="K116" s="796"/>
      <c r="L116" s="796"/>
    </row>
    <row r="117" spans="1:12" s="963" customFormat="1">
      <c r="A117" s="2335"/>
      <c r="D117" s="2336"/>
      <c r="K117" s="796"/>
      <c r="L117" s="796"/>
    </row>
    <row r="118" spans="1:12" s="963" customFormat="1">
      <c r="A118" s="2335"/>
      <c r="D118" s="2336"/>
      <c r="K118" s="796"/>
      <c r="L118" s="796"/>
    </row>
    <row r="119" spans="1:12" s="963" customFormat="1">
      <c r="A119" s="2335"/>
      <c r="D119" s="2336"/>
      <c r="K119" s="796"/>
      <c r="L119" s="796"/>
    </row>
    <row r="120" spans="1:12" s="963" customFormat="1">
      <c r="A120" s="2335"/>
      <c r="D120" s="2336"/>
      <c r="K120" s="796"/>
      <c r="L120" s="796"/>
    </row>
    <row r="121" spans="1:12" s="963" customFormat="1">
      <c r="A121" s="2335"/>
      <c r="D121" s="2336"/>
      <c r="K121" s="796"/>
      <c r="L121" s="796"/>
    </row>
    <row r="122" spans="1:12" s="963" customFormat="1">
      <c r="A122" s="2335"/>
      <c r="D122" s="2336"/>
      <c r="K122" s="796"/>
      <c r="L122" s="796"/>
    </row>
    <row r="123" spans="1:12" s="963" customFormat="1">
      <c r="A123" s="2335"/>
      <c r="D123" s="2336"/>
      <c r="K123" s="796"/>
      <c r="L123" s="796"/>
    </row>
    <row r="124" spans="1:12" s="963" customFormat="1">
      <c r="A124" s="2335"/>
      <c r="D124" s="2336"/>
      <c r="K124" s="796"/>
      <c r="L124" s="796"/>
    </row>
    <row r="125" spans="1:12" s="963" customFormat="1">
      <c r="A125" s="2335"/>
      <c r="D125" s="2336"/>
      <c r="K125" s="796"/>
      <c r="L125" s="796"/>
    </row>
    <row r="126" spans="1:12" s="963" customFormat="1">
      <c r="A126" s="2335"/>
      <c r="D126" s="2336"/>
      <c r="K126" s="796"/>
      <c r="L126" s="796"/>
    </row>
    <row r="127" spans="1:12" s="963" customFormat="1">
      <c r="A127" s="2335"/>
      <c r="D127" s="2336"/>
      <c r="K127" s="796"/>
      <c r="L127" s="796"/>
    </row>
    <row r="128" spans="1:12" s="963" customFormat="1">
      <c r="A128" s="2335"/>
      <c r="D128" s="2336"/>
      <c r="K128" s="796"/>
      <c r="L128" s="796"/>
    </row>
    <row r="129" spans="1:12" s="963" customFormat="1">
      <c r="A129" s="2335"/>
      <c r="D129" s="2336"/>
      <c r="K129" s="796"/>
      <c r="L129" s="796"/>
    </row>
    <row r="130" spans="1:12" s="963" customFormat="1">
      <c r="A130" s="2335"/>
      <c r="D130" s="2336"/>
      <c r="K130" s="796"/>
      <c r="L130" s="796"/>
    </row>
    <row r="131" spans="1:12" s="963" customFormat="1">
      <c r="A131" s="2335"/>
      <c r="D131" s="2336"/>
      <c r="K131" s="796"/>
      <c r="L131" s="796"/>
    </row>
    <row r="132" spans="1:12" s="963" customFormat="1">
      <c r="A132" s="2335"/>
      <c r="D132" s="2336"/>
      <c r="K132" s="796"/>
      <c r="L132" s="796"/>
    </row>
    <row r="133" spans="1:12" s="963"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3"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2"/>
    <col min="30" max="16384" width="9" style="2363"/>
  </cols>
  <sheetData>
    <row r="1" spans="1:29" s="2356" customFormat="1" ht="19.5" thickBot="1">
      <c r="A1" s="3115" t="s">
        <v>2079</v>
      </c>
      <c r="B1" s="3116"/>
      <c r="C1" s="3116"/>
      <c r="D1" s="3116"/>
      <c r="E1" s="3116"/>
      <c r="F1" s="3116"/>
      <c r="G1" s="311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0"/>
      <c r="G2" s="2359" t="s">
        <v>2081</v>
      </c>
      <c r="H2" s="2362"/>
      <c r="I2" s="2362"/>
      <c r="J2" s="2362"/>
      <c r="K2" s="2362"/>
      <c r="L2" s="2362"/>
      <c r="M2" s="2362"/>
      <c r="N2" s="2362"/>
      <c r="O2" s="2362"/>
      <c r="P2" s="2362"/>
      <c r="Q2" s="2362"/>
      <c r="R2" s="2362"/>
    </row>
    <row r="3" spans="1:29" ht="94.5">
      <c r="A3" s="413" t="s">
        <v>2082</v>
      </c>
      <c r="B3" s="1267" t="s">
        <v>2083</v>
      </c>
      <c r="C3" s="2979" t="s">
        <v>3259</v>
      </c>
      <c r="D3" s="2364"/>
      <c r="E3" s="429" t="s">
        <v>2082</v>
      </c>
      <c r="F3" s="2365" t="s">
        <v>2084</v>
      </c>
      <c r="G3" s="2366" t="s">
        <v>2085</v>
      </c>
      <c r="H3" s="2362"/>
      <c r="I3" s="2362"/>
      <c r="J3" s="2362"/>
      <c r="K3" s="2362"/>
      <c r="L3" s="2362"/>
      <c r="M3" s="2362"/>
      <c r="N3" s="2362"/>
      <c r="O3" s="2362"/>
      <c r="P3" s="2362"/>
      <c r="Q3" s="2362"/>
      <c r="R3" s="2362"/>
    </row>
    <row r="4" spans="1:29" ht="40.5">
      <c r="A4" s="429"/>
      <c r="B4" s="1793" t="s">
        <v>2086</v>
      </c>
      <c r="C4" s="2983" t="s">
        <v>3260</v>
      </c>
      <c r="D4" s="2364"/>
      <c r="E4" s="2367"/>
      <c r="F4" s="42" t="s">
        <v>2087</v>
      </c>
      <c r="G4" s="2368" t="s">
        <v>2088</v>
      </c>
      <c r="H4" s="2362"/>
      <c r="I4" s="2362"/>
      <c r="J4" s="2362"/>
      <c r="K4" s="2362"/>
      <c r="L4" s="2362"/>
      <c r="M4" s="2362"/>
      <c r="N4" s="2362"/>
      <c r="O4" s="2362"/>
      <c r="P4" s="2362"/>
      <c r="Q4" s="2362"/>
      <c r="R4" s="2362"/>
    </row>
    <row r="5" spans="1:29" ht="27">
      <c r="A5" s="429"/>
      <c r="B5" s="1793" t="s">
        <v>2089</v>
      </c>
      <c r="C5" s="2979"/>
      <c r="D5" s="2364"/>
      <c r="E5" s="2367"/>
      <c r="F5" s="1793" t="s">
        <v>2090</v>
      </c>
      <c r="G5" s="2368" t="s">
        <v>2091</v>
      </c>
      <c r="H5" s="2362"/>
      <c r="I5" s="2362"/>
      <c r="J5" s="2362"/>
      <c r="K5" s="2362"/>
      <c r="L5" s="2362"/>
      <c r="M5" s="2362"/>
      <c r="N5" s="2362"/>
      <c r="O5" s="2362"/>
      <c r="P5" s="2362"/>
      <c r="Q5" s="2362"/>
      <c r="R5" s="2362"/>
    </row>
    <row r="6" spans="1:29" ht="40.5">
      <c r="A6" s="429"/>
      <c r="B6" s="1793" t="s">
        <v>2092</v>
      </c>
      <c r="C6" s="2980" t="s">
        <v>3261</v>
      </c>
      <c r="D6" s="2364"/>
      <c r="E6" s="2367"/>
      <c r="F6" s="1793" t="s">
        <v>2093</v>
      </c>
      <c r="G6" s="2368" t="s">
        <v>2094</v>
      </c>
      <c r="H6" s="2362"/>
      <c r="I6" s="2362"/>
      <c r="J6" s="2362"/>
      <c r="K6" s="2362"/>
      <c r="L6" s="2362"/>
      <c r="M6" s="2362"/>
      <c r="N6" s="2362"/>
      <c r="O6" s="2362"/>
      <c r="P6" s="2362"/>
      <c r="Q6" s="2362"/>
      <c r="R6" s="2362"/>
    </row>
    <row r="7" spans="1:29" ht="41.25" thickBot="1">
      <c r="A7" s="429"/>
      <c r="B7" s="1793" t="s">
        <v>2090</v>
      </c>
      <c r="C7" s="2981" t="s">
        <v>3262</v>
      </c>
      <c r="D7" s="2369"/>
      <c r="E7" s="2370"/>
      <c r="F7" s="2371" t="s">
        <v>2095</v>
      </c>
      <c r="G7" s="2372" t="s">
        <v>2096</v>
      </c>
      <c r="H7" s="2362"/>
      <c r="I7" s="2362"/>
      <c r="J7" s="2362"/>
      <c r="K7" s="2362"/>
      <c r="L7" s="2362"/>
      <c r="M7" s="2362"/>
      <c r="N7" s="2362"/>
      <c r="O7" s="2362"/>
      <c r="P7" s="2362"/>
      <c r="Q7" s="2362"/>
      <c r="R7" s="2362"/>
    </row>
    <row r="8" spans="1:29" ht="27">
      <c r="A8" s="429"/>
      <c r="B8" s="1793" t="s">
        <v>2093</v>
      </c>
      <c r="C8" s="2981" t="s">
        <v>3268</v>
      </c>
      <c r="D8" s="2369"/>
      <c r="E8" s="2369"/>
      <c r="F8" s="1132"/>
      <c r="G8" s="1132"/>
      <c r="H8" s="2362"/>
      <c r="I8" s="2362"/>
      <c r="J8" s="2362"/>
      <c r="K8" s="2362"/>
      <c r="L8" s="2362"/>
      <c r="M8" s="2362"/>
      <c r="N8" s="2362"/>
      <c r="O8" s="2362"/>
      <c r="P8" s="2362"/>
      <c r="Q8" s="2362"/>
      <c r="R8" s="2362"/>
    </row>
    <row r="9" spans="1:29" ht="27">
      <c r="A9" s="429"/>
      <c r="B9" s="1793" t="s">
        <v>2097</v>
      </c>
      <c r="C9" s="2979" t="s">
        <v>3263</v>
      </c>
      <c r="D9" s="2364"/>
      <c r="E9" s="2369"/>
      <c r="F9" s="1132"/>
      <c r="G9" s="1132"/>
      <c r="H9" s="2362"/>
      <c r="I9" s="2362"/>
      <c r="J9" s="2362"/>
      <c r="K9" s="2362"/>
      <c r="L9" s="2362"/>
      <c r="M9" s="2362"/>
      <c r="N9" s="2362"/>
      <c r="O9" s="2362"/>
      <c r="P9" s="2362"/>
      <c r="Q9" s="2362"/>
      <c r="R9" s="2362"/>
    </row>
    <row r="10" spans="1:29" s="116" customFormat="1" ht="15.75" thickBot="1">
      <c r="A10" s="2373"/>
      <c r="B10" s="2374" t="s">
        <v>2098</v>
      </c>
      <c r="C10" s="2982" t="s">
        <v>3264</v>
      </c>
      <c r="D10" s="2364"/>
      <c r="E10" s="2364"/>
      <c r="F10" s="1132"/>
      <c r="G10" s="1132"/>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6" customFormat="1" ht="15">
      <c r="A11" s="2378"/>
      <c r="B11" s="2369"/>
      <c r="C11" s="2364"/>
      <c r="D11" s="2364"/>
      <c r="E11" s="2364"/>
      <c r="F11" s="2369"/>
      <c r="G11" s="1150"/>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50"/>
      <c r="H12" s="2380"/>
      <c r="I12" s="2381"/>
      <c r="J12" s="2380"/>
      <c r="K12" s="2380"/>
      <c r="L12" s="2382"/>
      <c r="M12" s="2380"/>
      <c r="N12" s="2383"/>
      <c r="O12" s="2384"/>
      <c r="P12" s="2383"/>
      <c r="Q12" s="2383"/>
      <c r="R12" s="2354"/>
      <c r="S12" s="2355"/>
      <c r="T12" s="2355"/>
      <c r="U12" s="2355"/>
      <c r="V12" s="2355"/>
      <c r="W12" s="2355"/>
      <c r="X12" s="2355"/>
      <c r="Y12" s="2355"/>
      <c r="Z12" s="2355"/>
      <c r="AA12" s="2355"/>
      <c r="AB12" s="2355"/>
      <c r="AC12" s="2355"/>
    </row>
    <row r="13" spans="1:29" ht="19.5" thickBot="1">
      <c r="A13" s="2385" t="s">
        <v>2099</v>
      </c>
      <c r="B13" s="2379"/>
      <c r="C13" s="2379"/>
      <c r="D13" s="2386"/>
      <c r="E13" s="2379"/>
      <c r="F13" s="2379"/>
      <c r="G13" s="2379"/>
    </row>
    <row r="14" spans="1:29" ht="15.75" thickBot="1">
      <c r="A14" s="2390"/>
      <c r="B14" s="2391"/>
      <c r="C14" s="2392" t="s">
        <v>2100</v>
      </c>
      <c r="D14" s="2364"/>
      <c r="E14" s="2393"/>
      <c r="F14" s="2393"/>
      <c r="G14" s="2359" t="s">
        <v>2101</v>
      </c>
    </row>
    <row r="15" spans="1:29" ht="85.5">
      <c r="A15" s="68" t="s">
        <v>2102</v>
      </c>
      <c r="B15" s="1266" t="s">
        <v>2083</v>
      </c>
      <c r="C15" s="2394" t="str">
        <f>C3</f>
        <v>估价对象周边居住用地比例较低、居住小区规模和社区发展完善程度较差，2公里内有隆基泰和万和郡、滨江翡翠城小区等项目，综合评价居住社区成熟度一般</v>
      </c>
      <c r="D15" s="2364"/>
      <c r="E15" s="2395" t="s">
        <v>2103</v>
      </c>
      <c r="F15" s="1266" t="s">
        <v>2104</v>
      </c>
      <c r="G15" s="133" t="str">
        <f>G3</f>
        <v>估价对象位于XX开发区，园区建设成熟度XX，产业集聚程度XX</v>
      </c>
    </row>
    <row r="16" spans="1:29" ht="42.75">
      <c r="A16" s="643"/>
      <c r="B16" s="2396" t="s">
        <v>2086</v>
      </c>
      <c r="C16" s="2397" t="str">
        <f>C4</f>
        <v>估价对象周边商业氛围较差，正在开发建设中，商业繁华度较差</v>
      </c>
      <c r="D16" s="2364"/>
      <c r="E16" s="2398"/>
      <c r="F16" s="2399" t="s">
        <v>2087</v>
      </c>
      <c r="G16" s="134" t="str">
        <f>G4</f>
        <v>估价对象周边道路状况、公共交通通达情况、停车便捷程度，综合评价交通便捷度较好</v>
      </c>
    </row>
    <row r="17" spans="1:18" ht="15">
      <c r="A17" s="643"/>
      <c r="B17" s="2396" t="s">
        <v>2089</v>
      </c>
      <c r="C17" s="2397">
        <f>C5</f>
        <v>0</v>
      </c>
      <c r="D17" s="2369"/>
      <c r="E17" s="2398"/>
      <c r="F17" s="2399" t="s">
        <v>2105</v>
      </c>
      <c r="G17" s="1567"/>
    </row>
    <row r="18" spans="1:18" ht="42.75">
      <c r="A18" s="643"/>
      <c r="B18" s="2399" t="s">
        <v>2092</v>
      </c>
      <c r="C18" s="134" t="str">
        <f>C6</f>
        <v>估价对象周边有326、泾阳9、泾阳16等公交线路，综合评价交通便捷度较差</v>
      </c>
      <c r="D18" s="2369"/>
      <c r="E18" s="2398"/>
      <c r="F18" s="2399" t="s">
        <v>2095</v>
      </c>
      <c r="G18" s="134" t="str">
        <f>G7</f>
        <v>该园区内是否有污染型企业，绿化情况，卫生条件，整体环境状况判断</v>
      </c>
    </row>
    <row r="19" spans="1:18" ht="28.5">
      <c r="A19" s="643"/>
      <c r="B19" s="2399" t="s">
        <v>2106</v>
      </c>
      <c r="C19" s="1567"/>
      <c r="D19" s="2364"/>
      <c r="E19" s="2398"/>
      <c r="F19" s="1793" t="s">
        <v>2090</v>
      </c>
      <c r="G19" s="134" t="str">
        <f>G5</f>
        <v>估价对象所在区域公共配套设施齐备情况</v>
      </c>
    </row>
    <row r="20" spans="1:18" ht="28.5">
      <c r="A20" s="643"/>
      <c r="B20" s="2399" t="s">
        <v>2107</v>
      </c>
      <c r="C20" s="2397" t="str">
        <f>C9</f>
        <v>周边1公里有泾河，综合评价环境状况一般</v>
      </c>
      <c r="D20" s="2369"/>
      <c r="E20" s="2398"/>
      <c r="F20" s="1793" t="s">
        <v>2108</v>
      </c>
      <c r="G20" s="134" t="str">
        <f>G6</f>
        <v>估价对象所在区域基础设施水平</v>
      </c>
    </row>
    <row r="21" spans="1:18" ht="28.5">
      <c r="A21" s="643"/>
      <c r="B21" s="1793" t="s">
        <v>2090</v>
      </c>
      <c r="C21" s="134" t="str">
        <f>C7</f>
        <v>估价对象所在区域公共配套设施齐备度较差</v>
      </c>
      <c r="D21" s="2364"/>
      <c r="E21" s="2398"/>
      <c r="F21" s="2399" t="s">
        <v>2109</v>
      </c>
      <c r="G21" s="2400"/>
    </row>
    <row r="22" spans="1:18" ht="13.5" customHeight="1">
      <c r="A22" s="643"/>
      <c r="B22" s="1793" t="s">
        <v>2093</v>
      </c>
      <c r="C22" s="134" t="str">
        <f>C8</f>
        <v>估价对象所在区域基础设施水平达七通</v>
      </c>
      <c r="D22" s="2364"/>
      <c r="E22" s="2398"/>
      <c r="F22" s="2399" t="s">
        <v>2098</v>
      </c>
      <c r="G22" s="1567"/>
    </row>
    <row r="23" spans="1:18" s="2362" customFormat="1" ht="15.75" thickBot="1">
      <c r="A23" s="643"/>
      <c r="B23" s="2399" t="s">
        <v>2109</v>
      </c>
      <c r="C23" s="2400"/>
      <c r="D23" s="2387"/>
      <c r="E23" s="2401"/>
      <c r="F23" s="2402" t="s">
        <v>2110</v>
      </c>
      <c r="G23" s="2403"/>
      <c r="H23" s="2387"/>
      <c r="I23" s="2388"/>
      <c r="J23" s="2387"/>
      <c r="K23" s="2387"/>
      <c r="L23" s="2388"/>
      <c r="M23" s="2387"/>
      <c r="N23" s="2387"/>
      <c r="O23" s="2388"/>
      <c r="P23" s="2387"/>
      <c r="Q23" s="2387"/>
      <c r="R23" s="2389"/>
    </row>
    <row r="24" spans="1:18" s="2362" customFormat="1" ht="15.75" thickBot="1">
      <c r="A24" s="2404"/>
      <c r="B24" s="2402" t="s">
        <v>2111</v>
      </c>
      <c r="C24" s="135" t="str">
        <f>C10</f>
        <v>城市支路</v>
      </c>
      <c r="D24" s="2387"/>
      <c r="E24" s="2405"/>
      <c r="F24" s="2405"/>
      <c r="G24" s="2406"/>
      <c r="H24" s="2387"/>
      <c r="I24" s="2388"/>
      <c r="J24" s="2387"/>
      <c r="K24" s="2387"/>
      <c r="L24" s="2388"/>
      <c r="M24" s="2387"/>
      <c r="N24" s="2387"/>
      <c r="O24" s="2388"/>
      <c r="P24" s="2387"/>
      <c r="Q24" s="2387"/>
      <c r="R24" s="2389"/>
    </row>
    <row r="25" spans="1:18" s="2362" customFormat="1">
      <c r="B25" s="2387"/>
      <c r="C25" s="2387"/>
      <c r="D25" s="2387"/>
      <c r="H25" s="2387"/>
      <c r="I25" s="2388"/>
      <c r="J25" s="2387"/>
      <c r="K25" s="2387"/>
      <c r="L25" s="2388"/>
      <c r="M25" s="2387"/>
      <c r="N25" s="2387"/>
      <c r="O25" s="2388"/>
      <c r="P25" s="2387"/>
      <c r="Q25" s="2387"/>
      <c r="R25" s="2389"/>
    </row>
    <row r="26" spans="1:18" s="2362" customFormat="1">
      <c r="B26" s="2387"/>
      <c r="C26" s="2387"/>
      <c r="D26" s="2387"/>
      <c r="H26" s="2387"/>
      <c r="I26" s="2388"/>
      <c r="J26" s="2387"/>
      <c r="K26" s="2387"/>
      <c r="L26" s="2388"/>
      <c r="M26" s="2387"/>
      <c r="N26" s="2387"/>
      <c r="O26" s="2388"/>
      <c r="P26" s="2387"/>
      <c r="Q26" s="2387"/>
      <c r="R26" s="2389"/>
    </row>
    <row r="27" spans="1:18" s="2362" customFormat="1">
      <c r="B27" s="2387"/>
      <c r="C27" s="2387"/>
      <c r="D27" s="2387"/>
      <c r="H27" s="2387"/>
      <c r="I27" s="2388"/>
      <c r="J27" s="2387"/>
      <c r="K27" s="2387"/>
      <c r="L27" s="2388"/>
      <c r="M27" s="2387"/>
      <c r="N27" s="2387"/>
      <c r="O27" s="2388"/>
      <c r="P27" s="2387"/>
      <c r="Q27" s="2387"/>
      <c r="R27" s="2389"/>
    </row>
    <row r="28" spans="1:18" s="2362" customFormat="1">
      <c r="B28" s="2387"/>
      <c r="C28" s="2387"/>
      <c r="D28" s="2387"/>
      <c r="H28" s="2387"/>
      <c r="I28" s="2388"/>
      <c r="J28" s="2387"/>
      <c r="K28" s="2387"/>
      <c r="L28" s="2388"/>
      <c r="M28" s="2387"/>
      <c r="N28" s="2387"/>
      <c r="O28" s="2388"/>
      <c r="P28" s="2387"/>
      <c r="Q28" s="2387"/>
      <c r="R28" s="2389"/>
    </row>
    <row r="29" spans="1:18" s="2362" customFormat="1">
      <c r="B29" s="2387"/>
      <c r="C29" s="2387"/>
      <c r="D29" s="2387"/>
      <c r="H29" s="2387"/>
      <c r="I29" s="2388"/>
      <c r="J29" s="2387"/>
      <c r="K29" s="2387"/>
      <c r="L29" s="2388"/>
      <c r="M29" s="2387"/>
      <c r="N29" s="2387"/>
      <c r="O29" s="2388"/>
      <c r="P29" s="2387"/>
      <c r="Q29" s="2387"/>
      <c r="R29" s="2389"/>
    </row>
    <row r="30" spans="1:18" s="2362" customFormat="1">
      <c r="B30" s="2387"/>
      <c r="C30" s="2387"/>
      <c r="D30" s="2387"/>
      <c r="H30" s="2387"/>
      <c r="I30" s="2388"/>
      <c r="J30" s="2387"/>
      <c r="K30" s="2387"/>
      <c r="L30" s="2388"/>
      <c r="M30" s="2387"/>
      <c r="N30" s="2387"/>
      <c r="O30" s="2388"/>
      <c r="P30" s="2387"/>
      <c r="Q30" s="2387"/>
      <c r="R30" s="2389"/>
    </row>
    <row r="31" spans="1:18" s="2362" customFormat="1">
      <c r="B31" s="2387"/>
      <c r="C31" s="2387"/>
      <c r="D31" s="2387"/>
      <c r="H31" s="2387"/>
      <c r="I31" s="2388"/>
      <c r="J31" s="2387"/>
      <c r="K31" s="2387"/>
      <c r="L31" s="2388"/>
      <c r="M31" s="2387"/>
      <c r="N31" s="2387"/>
      <c r="O31" s="2388"/>
      <c r="P31" s="2387"/>
      <c r="Q31" s="2387"/>
      <c r="R31" s="2389"/>
    </row>
    <row r="32" spans="1:18" s="2362" customFormat="1">
      <c r="B32" s="2387"/>
      <c r="C32" s="2387"/>
      <c r="D32" s="2387"/>
      <c r="H32" s="2387"/>
      <c r="I32" s="2388"/>
      <c r="J32" s="2387"/>
      <c r="K32" s="2387"/>
      <c r="L32" s="2388"/>
      <c r="M32" s="2387"/>
      <c r="N32" s="2387"/>
      <c r="O32" s="2388"/>
      <c r="P32" s="2387"/>
      <c r="Q32" s="2387"/>
      <c r="R32" s="2389"/>
    </row>
    <row r="33" spans="2:18" s="2362" customFormat="1">
      <c r="B33" s="2387"/>
      <c r="C33" s="2387"/>
      <c r="D33" s="2387"/>
      <c r="H33" s="2387"/>
      <c r="I33" s="2388"/>
      <c r="J33" s="2387"/>
      <c r="K33" s="2387"/>
      <c r="L33" s="2388"/>
      <c r="M33" s="2387"/>
      <c r="N33" s="2387"/>
      <c r="O33" s="2388"/>
      <c r="P33" s="2387"/>
      <c r="Q33" s="2387"/>
      <c r="R33" s="2389"/>
    </row>
    <row r="34" spans="2:18" s="2362" customFormat="1">
      <c r="B34" s="2387"/>
      <c r="C34" s="2387"/>
      <c r="D34" s="2387"/>
      <c r="H34" s="2387"/>
      <c r="I34" s="2388"/>
      <c r="J34" s="2387"/>
      <c r="K34" s="2387"/>
      <c r="L34" s="2388"/>
      <c r="M34" s="2387"/>
      <c r="N34" s="2387"/>
      <c r="O34" s="2388"/>
      <c r="P34" s="2387"/>
      <c r="Q34" s="2387"/>
      <c r="R34" s="2389"/>
    </row>
    <row r="35" spans="2:18" s="2362" customFormat="1">
      <c r="B35" s="2387"/>
      <c r="C35" s="2387"/>
      <c r="D35" s="2387"/>
      <c r="H35" s="2387"/>
      <c r="I35" s="2388"/>
      <c r="J35" s="2387"/>
      <c r="K35" s="2387"/>
      <c r="L35" s="2388"/>
      <c r="M35" s="2387"/>
      <c r="N35" s="2387"/>
      <c r="O35" s="2388"/>
      <c r="P35" s="2387"/>
      <c r="Q35" s="2387"/>
      <c r="R35" s="2389"/>
    </row>
    <row r="36" spans="2:18" s="2362" customFormat="1">
      <c r="B36" s="2387"/>
      <c r="C36" s="2387"/>
      <c r="D36" s="2387"/>
      <c r="H36" s="2387"/>
      <c r="I36" s="2388"/>
      <c r="J36" s="2387"/>
      <c r="K36" s="2387"/>
      <c r="L36" s="2388"/>
      <c r="M36" s="2387"/>
      <c r="N36" s="2387"/>
      <c r="O36" s="2388"/>
      <c r="P36" s="2387"/>
      <c r="Q36" s="2387"/>
      <c r="R36" s="2389"/>
    </row>
    <row r="37" spans="2:18" s="2362" customFormat="1">
      <c r="B37" s="2387"/>
      <c r="C37" s="2387"/>
      <c r="D37" s="2387"/>
      <c r="H37" s="2387"/>
      <c r="I37" s="2388"/>
      <c r="J37" s="2387"/>
      <c r="K37" s="2387"/>
      <c r="L37" s="2388"/>
      <c r="M37" s="2387"/>
      <c r="N37" s="2387"/>
      <c r="O37" s="2388"/>
      <c r="P37" s="2387"/>
      <c r="Q37" s="2387"/>
      <c r="R37" s="2389"/>
    </row>
    <row r="38" spans="2:18" s="2362" customFormat="1">
      <c r="B38" s="2387"/>
      <c r="C38" s="2387"/>
      <c r="D38" s="2387"/>
      <c r="E38" s="2387"/>
      <c r="F38" s="2387"/>
      <c r="G38" s="2388"/>
      <c r="H38" s="2387"/>
      <c r="I38" s="2388"/>
      <c r="J38" s="2387"/>
      <c r="K38" s="2387"/>
      <c r="L38" s="2388"/>
      <c r="M38" s="2387"/>
      <c r="N38" s="2387"/>
      <c r="O38" s="2388"/>
      <c r="P38" s="2387"/>
      <c r="Q38" s="2387"/>
      <c r="R38" s="2389"/>
    </row>
    <row r="39" spans="2:18" s="2362" customFormat="1">
      <c r="B39" s="2387"/>
      <c r="C39" s="2387"/>
      <c r="D39" s="2387"/>
      <c r="E39" s="2387"/>
      <c r="F39" s="2387"/>
      <c r="G39" s="2388"/>
      <c r="H39" s="2387"/>
      <c r="I39" s="2388"/>
      <c r="J39" s="2387"/>
      <c r="K39" s="2387"/>
      <c r="L39" s="2388"/>
      <c r="M39" s="2387"/>
      <c r="N39" s="2387"/>
      <c r="O39" s="2388"/>
      <c r="P39" s="2387"/>
      <c r="Q39" s="2387"/>
      <c r="R39" s="2389"/>
    </row>
    <row r="40" spans="2:18" s="2362" customFormat="1">
      <c r="B40" s="2387"/>
      <c r="C40" s="2387"/>
      <c r="D40" s="2387"/>
      <c r="E40" s="2387"/>
      <c r="F40" s="2387"/>
      <c r="G40" s="2388"/>
      <c r="H40" s="2387"/>
      <c r="I40" s="2388"/>
      <c r="J40" s="2387"/>
      <c r="K40" s="2387"/>
      <c r="L40" s="2388"/>
      <c r="M40" s="2387"/>
      <c r="N40" s="2387"/>
      <c r="O40" s="2388"/>
      <c r="P40" s="2387"/>
      <c r="Q40" s="2387"/>
      <c r="R40" s="2389"/>
    </row>
    <row r="41" spans="2:18" s="2362" customFormat="1">
      <c r="B41" s="2387"/>
      <c r="C41" s="2387"/>
      <c r="D41" s="2387"/>
      <c r="E41" s="2387"/>
      <c r="F41" s="2387"/>
      <c r="G41" s="2388"/>
      <c r="H41" s="2387"/>
      <c r="I41" s="2388"/>
      <c r="J41" s="2387"/>
      <c r="K41" s="2387"/>
      <c r="L41" s="2388"/>
      <c r="M41" s="2387"/>
      <c r="N41" s="2387"/>
      <c r="O41" s="2388"/>
      <c r="P41" s="2387"/>
      <c r="Q41" s="2387"/>
      <c r="R41" s="2389"/>
    </row>
    <row r="42" spans="2:18" s="2362" customFormat="1">
      <c r="B42" s="2387"/>
      <c r="C42" s="2387"/>
      <c r="D42" s="2387"/>
      <c r="E42" s="2387"/>
      <c r="F42" s="2387"/>
      <c r="G42" s="2388"/>
      <c r="H42" s="2387"/>
      <c r="I42" s="2388"/>
      <c r="J42" s="2387"/>
      <c r="K42" s="2387"/>
      <c r="L42" s="2388"/>
      <c r="M42" s="2387"/>
      <c r="N42" s="2387"/>
      <c r="O42" s="2388"/>
      <c r="P42" s="2387"/>
      <c r="Q42" s="2387"/>
      <c r="R42" s="2389"/>
    </row>
    <row r="43" spans="2:18" s="2362" customFormat="1">
      <c r="B43" s="2387"/>
      <c r="C43" s="2387"/>
      <c r="D43" s="2387"/>
      <c r="E43" s="2387"/>
      <c r="F43" s="2387"/>
      <c r="G43" s="2388"/>
      <c r="H43" s="2387"/>
      <c r="I43" s="2388"/>
      <c r="J43" s="2387"/>
      <c r="K43" s="2387"/>
      <c r="L43" s="2388"/>
      <c r="M43" s="2387"/>
      <c r="N43" s="2387"/>
      <c r="O43" s="2388"/>
      <c r="P43" s="2387"/>
      <c r="Q43" s="2387"/>
      <c r="R43" s="2389"/>
    </row>
    <row r="44" spans="2:18" s="2362" customFormat="1">
      <c r="B44" s="2387"/>
      <c r="C44" s="2387"/>
      <c r="D44" s="2387"/>
      <c r="E44" s="2387"/>
      <c r="F44" s="2387"/>
      <c r="G44" s="2388"/>
      <c r="H44" s="2387"/>
      <c r="I44" s="2388"/>
      <c r="J44" s="2387"/>
      <c r="K44" s="2387"/>
      <c r="L44" s="2388"/>
      <c r="M44" s="2387"/>
      <c r="N44" s="2387"/>
      <c r="O44" s="2388"/>
      <c r="P44" s="2387"/>
      <c r="Q44" s="2387"/>
      <c r="R44" s="2389"/>
    </row>
    <row r="45" spans="2:18" s="2362" customFormat="1">
      <c r="B45" s="2387"/>
      <c r="C45" s="2387"/>
      <c r="D45" s="2387"/>
      <c r="E45" s="2387"/>
      <c r="F45" s="2387"/>
      <c r="G45" s="2388"/>
      <c r="H45" s="2387"/>
      <c r="I45" s="2388"/>
      <c r="J45" s="2387"/>
      <c r="K45" s="2387"/>
      <c r="L45" s="2388"/>
      <c r="M45" s="2387"/>
      <c r="N45" s="2387"/>
      <c r="O45" s="2388"/>
      <c r="P45" s="2387"/>
      <c r="Q45" s="2387"/>
      <c r="R45" s="2389"/>
    </row>
    <row r="46" spans="2:18" s="2362" customFormat="1">
      <c r="B46" s="2387"/>
      <c r="C46" s="2387"/>
      <c r="D46" s="2387"/>
      <c r="E46" s="2387"/>
      <c r="F46" s="2387"/>
      <c r="G46" s="2388"/>
      <c r="H46" s="2387"/>
      <c r="I46" s="2388"/>
      <c r="J46" s="2387"/>
      <c r="K46" s="2387"/>
      <c r="L46" s="2388"/>
      <c r="M46" s="2387"/>
      <c r="N46" s="2387"/>
      <c r="O46" s="2388"/>
      <c r="P46" s="2387"/>
      <c r="Q46" s="2387"/>
      <c r="R46" s="2389"/>
    </row>
    <row r="47" spans="2:18" s="2362" customFormat="1">
      <c r="B47" s="2387"/>
      <c r="C47" s="2387"/>
      <c r="D47" s="2387"/>
      <c r="E47" s="2387"/>
      <c r="F47" s="2387"/>
      <c r="G47" s="2388"/>
      <c r="H47" s="2387"/>
      <c r="I47" s="2388"/>
      <c r="J47" s="2387"/>
      <c r="K47" s="2387"/>
      <c r="L47" s="2388"/>
      <c r="M47" s="2387"/>
      <c r="N47" s="2387"/>
      <c r="O47" s="2388"/>
      <c r="P47" s="2387"/>
      <c r="Q47" s="2387"/>
      <c r="R47" s="2389"/>
    </row>
    <row r="48" spans="2:18" s="2362" customFormat="1">
      <c r="B48" s="2387"/>
      <c r="C48" s="2387"/>
      <c r="D48" s="2387"/>
      <c r="E48" s="2387"/>
      <c r="F48" s="2387"/>
      <c r="G48" s="2388"/>
      <c r="H48" s="2387"/>
      <c r="I48" s="2388"/>
      <c r="J48" s="2387"/>
      <c r="K48" s="2387"/>
      <c r="L48" s="2388"/>
      <c r="M48" s="2387"/>
      <c r="N48" s="2387"/>
      <c r="O48" s="2388"/>
      <c r="P48" s="2387"/>
      <c r="Q48" s="2387"/>
      <c r="R48" s="2389"/>
    </row>
    <row r="49" spans="2:18" s="2362" customFormat="1">
      <c r="B49" s="2387"/>
      <c r="C49" s="2387"/>
      <c r="D49" s="2387"/>
      <c r="E49" s="2387"/>
      <c r="F49" s="2387"/>
      <c r="G49" s="2388"/>
      <c r="H49" s="2387"/>
      <c r="I49" s="2388"/>
      <c r="J49" s="2387"/>
      <c r="K49" s="2387"/>
      <c r="L49" s="2388"/>
      <c r="M49" s="2387"/>
      <c r="N49" s="2387"/>
      <c r="O49" s="2388"/>
      <c r="P49" s="2387"/>
      <c r="Q49" s="2387"/>
      <c r="R49" s="2389"/>
    </row>
    <row r="50" spans="2:18" s="2362" customFormat="1">
      <c r="B50" s="2387"/>
      <c r="C50" s="2387"/>
      <c r="D50" s="2387"/>
      <c r="E50" s="2387"/>
      <c r="F50" s="2387"/>
      <c r="G50" s="2388"/>
      <c r="H50" s="2387"/>
      <c r="I50" s="2388"/>
      <c r="J50" s="2387"/>
      <c r="K50" s="2387"/>
      <c r="L50" s="2388"/>
      <c r="M50" s="2387"/>
      <c r="N50" s="2387"/>
      <c r="O50" s="2388"/>
      <c r="P50" s="2387"/>
      <c r="Q50" s="2387"/>
      <c r="R50" s="2389"/>
    </row>
    <row r="51" spans="2:18" s="2362" customFormat="1">
      <c r="B51" s="2387"/>
      <c r="C51" s="2387"/>
      <c r="D51" s="2387"/>
      <c r="E51" s="2387"/>
      <c r="F51" s="2387"/>
      <c r="G51" s="2388"/>
      <c r="H51" s="2387"/>
      <c r="I51" s="2388"/>
      <c r="J51" s="2387"/>
      <c r="K51" s="2387"/>
      <c r="L51" s="2388"/>
      <c r="M51" s="2387"/>
      <c r="N51" s="2387"/>
      <c r="O51" s="2388"/>
      <c r="P51" s="2387"/>
      <c r="Q51" s="2387"/>
      <c r="R51" s="2389"/>
    </row>
    <row r="52" spans="2:18" s="2362" customFormat="1">
      <c r="B52" s="2387"/>
      <c r="C52" s="2387"/>
      <c r="D52" s="2387"/>
      <c r="E52" s="2387"/>
      <c r="F52" s="2387"/>
      <c r="G52" s="2388"/>
      <c r="H52" s="2387"/>
      <c r="I52" s="2388"/>
      <c r="J52" s="2387"/>
      <c r="K52" s="2387"/>
      <c r="L52" s="2388"/>
      <c r="M52" s="2387"/>
      <c r="N52" s="2387"/>
      <c r="O52" s="2388"/>
      <c r="P52" s="2387"/>
      <c r="Q52" s="2387"/>
      <c r="R52" s="2389"/>
    </row>
    <row r="53" spans="2:18" s="2362" customFormat="1">
      <c r="B53" s="2387"/>
      <c r="C53" s="2387"/>
      <c r="D53" s="2387"/>
      <c r="E53" s="2387"/>
      <c r="F53" s="2387"/>
      <c r="G53" s="2388"/>
      <c r="H53" s="2387"/>
      <c r="I53" s="2388"/>
      <c r="J53" s="2387"/>
      <c r="K53" s="2387"/>
      <c r="L53" s="2388"/>
      <c r="M53" s="2387"/>
      <c r="N53" s="2387"/>
      <c r="O53" s="2388"/>
      <c r="P53" s="2387"/>
      <c r="Q53" s="2387"/>
      <c r="R53" s="2389"/>
    </row>
    <row r="54" spans="2:18" s="2362" customFormat="1">
      <c r="B54" s="2387"/>
      <c r="C54" s="2387"/>
      <c r="D54" s="2387"/>
      <c r="E54" s="2387"/>
      <c r="F54" s="2387"/>
      <c r="G54" s="2388"/>
      <c r="H54" s="2387"/>
      <c r="I54" s="2388"/>
      <c r="J54" s="2387"/>
      <c r="K54" s="2387"/>
      <c r="L54" s="2388"/>
      <c r="M54" s="2387"/>
      <c r="N54" s="2387"/>
      <c r="O54" s="2388"/>
      <c r="P54" s="2387"/>
      <c r="Q54" s="2387"/>
      <c r="R54" s="2389"/>
    </row>
    <row r="55" spans="2:18" s="2362" customFormat="1">
      <c r="B55" s="2387"/>
      <c r="C55" s="2387"/>
      <c r="D55" s="2387"/>
      <c r="E55" s="2387"/>
      <c r="F55" s="2387"/>
      <c r="G55" s="2388"/>
      <c r="H55" s="2387"/>
      <c r="I55" s="2388"/>
      <c r="J55" s="2387"/>
      <c r="K55" s="2387"/>
      <c r="L55" s="2388"/>
      <c r="M55" s="2387"/>
      <c r="N55" s="2387"/>
      <c r="O55" s="2388"/>
      <c r="P55" s="2387"/>
      <c r="Q55" s="2387"/>
      <c r="R55" s="2389"/>
    </row>
    <row r="56" spans="2:18" s="2362" customFormat="1">
      <c r="B56" s="2387"/>
      <c r="C56" s="2387"/>
      <c r="D56" s="2387"/>
      <c r="E56" s="2387"/>
      <c r="F56" s="2387"/>
      <c r="G56" s="2388"/>
      <c r="H56" s="2387"/>
      <c r="I56" s="2388"/>
      <c r="J56" s="2387"/>
      <c r="K56" s="2387"/>
      <c r="L56" s="2388"/>
      <c r="M56" s="2387"/>
      <c r="N56" s="2387"/>
      <c r="O56" s="2388"/>
      <c r="P56" s="2387"/>
      <c r="Q56" s="2387"/>
      <c r="R56" s="2389"/>
    </row>
    <row r="57" spans="2:18" s="2362" customFormat="1">
      <c r="B57" s="2387"/>
      <c r="C57" s="2387"/>
      <c r="D57" s="2387"/>
      <c r="E57" s="2387"/>
      <c r="F57" s="2387"/>
      <c r="G57" s="2388"/>
      <c r="H57" s="2387"/>
      <c r="I57" s="2388"/>
      <c r="J57" s="2387"/>
      <c r="K57" s="2387"/>
      <c r="L57" s="2388"/>
      <c r="M57" s="2387"/>
      <c r="N57" s="2387"/>
      <c r="O57" s="2388"/>
      <c r="P57" s="2387"/>
      <c r="Q57" s="2387"/>
      <c r="R57" s="2389"/>
    </row>
    <row r="58" spans="2:18" s="2362" customFormat="1">
      <c r="B58" s="2387"/>
      <c r="C58" s="2387"/>
      <c r="D58" s="2387"/>
      <c r="E58" s="2387"/>
      <c r="F58" s="2387"/>
      <c r="G58" s="2388"/>
      <c r="H58" s="2387"/>
      <c r="I58" s="2388"/>
      <c r="J58" s="2387"/>
      <c r="K58" s="2387"/>
      <c r="L58" s="2388"/>
      <c r="M58" s="2387"/>
      <c r="N58" s="2387"/>
      <c r="O58" s="2388"/>
      <c r="P58" s="2387"/>
      <c r="Q58" s="2387"/>
      <c r="R58" s="2389"/>
    </row>
    <row r="59" spans="2:18" s="2362" customFormat="1">
      <c r="B59" s="2387"/>
      <c r="C59" s="2387"/>
      <c r="D59" s="2387"/>
      <c r="E59" s="2387"/>
      <c r="F59" s="2387"/>
      <c r="G59" s="2388"/>
      <c r="H59" s="2387"/>
      <c r="I59" s="2388"/>
      <c r="J59" s="2387"/>
      <c r="K59" s="2387"/>
      <c r="L59" s="2388"/>
      <c r="M59" s="2387"/>
      <c r="N59" s="2387"/>
      <c r="O59" s="2388"/>
      <c r="P59" s="2387"/>
      <c r="Q59" s="2387"/>
      <c r="R59" s="2389"/>
    </row>
    <row r="60" spans="2:18" s="2362" customFormat="1">
      <c r="B60" s="2387"/>
      <c r="C60" s="2387"/>
      <c r="D60" s="2387"/>
      <c r="E60" s="2387"/>
      <c r="F60" s="2387"/>
      <c r="G60" s="2388"/>
      <c r="H60" s="2387"/>
      <c r="I60" s="2388"/>
      <c r="J60" s="2387"/>
      <c r="K60" s="2387"/>
      <c r="L60" s="2388"/>
      <c r="M60" s="2387"/>
      <c r="N60" s="2387"/>
      <c r="O60" s="2388"/>
      <c r="P60" s="2387"/>
      <c r="Q60" s="2387"/>
      <c r="R60" s="2389"/>
    </row>
    <row r="61" spans="2:18" s="2362" customFormat="1">
      <c r="B61" s="2387"/>
      <c r="C61" s="2387"/>
      <c r="D61" s="2387"/>
      <c r="E61" s="2387"/>
      <c r="F61" s="2387"/>
      <c r="G61" s="2388"/>
      <c r="H61" s="2387"/>
      <c r="I61" s="2388"/>
      <c r="J61" s="2387"/>
      <c r="K61" s="2387"/>
      <c r="L61" s="2388"/>
      <c r="M61" s="2387"/>
      <c r="N61" s="2387"/>
      <c r="O61" s="2388"/>
      <c r="P61" s="2387"/>
      <c r="Q61" s="2387"/>
      <c r="R61" s="2389"/>
    </row>
    <row r="62" spans="2:18" s="2362" customFormat="1">
      <c r="B62" s="2387"/>
      <c r="C62" s="2387"/>
      <c r="D62" s="2387"/>
      <c r="E62" s="2387"/>
      <c r="F62" s="2387"/>
      <c r="G62" s="2388"/>
      <c r="H62" s="2387"/>
      <c r="I62" s="2388"/>
      <c r="J62" s="2387"/>
      <c r="K62" s="2387"/>
      <c r="L62" s="2388"/>
      <c r="M62" s="2387"/>
      <c r="N62" s="2387"/>
      <c r="O62" s="2388"/>
      <c r="P62" s="2387"/>
      <c r="Q62" s="2387"/>
      <c r="R62" s="2389"/>
    </row>
    <row r="63" spans="2:18" s="2362" customFormat="1">
      <c r="B63" s="2387"/>
      <c r="C63" s="2387"/>
      <c r="D63" s="2387"/>
      <c r="E63" s="2387"/>
      <c r="F63" s="2387"/>
      <c r="G63" s="2388"/>
      <c r="H63" s="2387"/>
      <c r="I63" s="2388"/>
      <c r="J63" s="2387"/>
      <c r="K63" s="2387"/>
      <c r="L63" s="2388"/>
      <c r="M63" s="2387"/>
      <c r="N63" s="2387"/>
      <c r="O63" s="2388"/>
      <c r="P63" s="2387"/>
      <c r="Q63" s="2387"/>
      <c r="R63" s="2389"/>
    </row>
    <row r="64" spans="2:18" s="2362" customFormat="1">
      <c r="B64" s="2387"/>
      <c r="C64" s="2387"/>
      <c r="D64" s="2387"/>
      <c r="E64" s="2387"/>
      <c r="F64" s="2387"/>
      <c r="G64" s="2388"/>
      <c r="H64" s="2387"/>
      <c r="I64" s="2388"/>
      <c r="J64" s="2387"/>
      <c r="K64" s="2387"/>
      <c r="L64" s="2388"/>
      <c r="M64" s="2387"/>
      <c r="N64" s="2387"/>
      <c r="O64" s="2388"/>
      <c r="P64" s="2387"/>
      <c r="Q64" s="2387"/>
      <c r="R64" s="2389"/>
    </row>
    <row r="65" spans="2:18" s="2362" customFormat="1">
      <c r="B65" s="2387"/>
      <c r="C65" s="2387"/>
      <c r="D65" s="2387"/>
      <c r="E65" s="2387"/>
      <c r="F65" s="2387"/>
      <c r="G65" s="2388"/>
      <c r="H65" s="2387"/>
      <c r="I65" s="2388"/>
      <c r="J65" s="2387"/>
      <c r="K65" s="2387"/>
      <c r="L65" s="2388"/>
      <c r="M65" s="2387"/>
      <c r="N65" s="2387"/>
      <c r="O65" s="2388"/>
      <c r="P65" s="2387"/>
      <c r="Q65" s="2387"/>
      <c r="R65" s="2389"/>
    </row>
    <row r="66" spans="2:18" s="2362" customFormat="1">
      <c r="B66" s="2387"/>
      <c r="C66" s="2387"/>
      <c r="D66" s="2387"/>
      <c r="E66" s="2387"/>
      <c r="F66" s="2387"/>
      <c r="G66" s="2388"/>
      <c r="H66" s="2387"/>
      <c r="I66" s="2388"/>
      <c r="J66" s="2387"/>
      <c r="K66" s="2387"/>
      <c r="L66" s="2388"/>
      <c r="M66" s="2387"/>
      <c r="N66" s="2387"/>
      <c r="O66" s="2388"/>
      <c r="P66" s="2387"/>
      <c r="Q66" s="2387"/>
      <c r="R66" s="2389"/>
    </row>
    <row r="67" spans="2:18" s="2362" customFormat="1">
      <c r="B67" s="2387"/>
      <c r="C67" s="2387"/>
      <c r="D67" s="2387"/>
      <c r="E67" s="2387"/>
      <c r="F67" s="2387"/>
      <c r="G67" s="2388"/>
      <c r="H67" s="2387"/>
      <c r="I67" s="2388"/>
      <c r="J67" s="2387"/>
      <c r="K67" s="2387"/>
      <c r="L67" s="2388"/>
      <c r="M67" s="2387"/>
      <c r="N67" s="2387"/>
      <c r="O67" s="2388"/>
      <c r="P67" s="2387"/>
      <c r="Q67" s="2387"/>
      <c r="R67" s="2389"/>
    </row>
    <row r="68" spans="2:18" s="2362" customFormat="1">
      <c r="B68" s="2387"/>
      <c r="C68" s="2387"/>
      <c r="D68" s="2387"/>
      <c r="E68" s="2387"/>
      <c r="F68" s="2387"/>
      <c r="G68" s="2388"/>
      <c r="H68" s="2387"/>
      <c r="I68" s="2388"/>
      <c r="J68" s="2387"/>
      <c r="K68" s="2387"/>
      <c r="L68" s="2388"/>
      <c r="M68" s="2387"/>
      <c r="N68" s="2387"/>
      <c r="O68" s="2388"/>
      <c r="P68" s="2387"/>
      <c r="Q68" s="2387"/>
      <c r="R68" s="2389"/>
    </row>
    <row r="69" spans="2:18" s="2362" customFormat="1">
      <c r="B69" s="2387"/>
      <c r="C69" s="2387"/>
      <c r="D69" s="2387"/>
      <c r="E69" s="2387"/>
      <c r="F69" s="2387"/>
      <c r="G69" s="2388"/>
      <c r="H69" s="2387"/>
      <c r="I69" s="2388"/>
      <c r="J69" s="2387"/>
      <c r="K69" s="2387"/>
      <c r="L69" s="2388"/>
      <c r="M69" s="2387"/>
      <c r="N69" s="2387"/>
      <c r="O69" s="2388"/>
      <c r="P69" s="2387"/>
      <c r="Q69" s="2387"/>
      <c r="R69" s="2389"/>
    </row>
    <row r="70" spans="2:18" s="2362" customFormat="1">
      <c r="B70" s="2387"/>
      <c r="C70" s="2387"/>
      <c r="D70" s="2387"/>
      <c r="E70" s="2387"/>
      <c r="F70" s="2387"/>
      <c r="G70" s="2388"/>
      <c r="H70" s="2387"/>
      <c r="I70" s="2388"/>
      <c r="J70" s="2387"/>
      <c r="K70" s="2387"/>
      <c r="L70" s="2388"/>
      <c r="M70" s="2387"/>
      <c r="N70" s="2387"/>
      <c r="O70" s="2388"/>
      <c r="P70" s="2387"/>
      <c r="Q70" s="2387"/>
      <c r="R70" s="2389"/>
    </row>
    <row r="71" spans="2:18" s="2362" customFormat="1">
      <c r="B71" s="2387"/>
      <c r="C71" s="2387"/>
      <c r="D71" s="2387"/>
      <c r="E71" s="2387"/>
      <c r="F71" s="2387"/>
      <c r="G71" s="2388"/>
      <c r="H71" s="2387"/>
      <c r="I71" s="2388"/>
      <c r="J71" s="2387"/>
      <c r="K71" s="2387"/>
      <c r="L71" s="2388"/>
      <c r="M71" s="2387"/>
      <c r="N71" s="2387"/>
      <c r="O71" s="2388"/>
      <c r="P71" s="2387"/>
      <c r="Q71" s="2387"/>
      <c r="R71" s="2389"/>
    </row>
    <row r="72" spans="2:18" s="2362" customFormat="1">
      <c r="B72" s="2387"/>
      <c r="C72" s="2387"/>
      <c r="D72" s="2387"/>
      <c r="E72" s="2387"/>
      <c r="F72" s="2387"/>
      <c r="G72" s="2388"/>
      <c r="H72" s="2387"/>
      <c r="I72" s="2388"/>
      <c r="J72" s="2387"/>
      <c r="K72" s="2387"/>
      <c r="L72" s="2388"/>
      <c r="M72" s="2387"/>
      <c r="N72" s="2387"/>
      <c r="O72" s="2388"/>
      <c r="P72" s="2387"/>
      <c r="Q72" s="2387"/>
      <c r="R72" s="2389"/>
    </row>
    <row r="73" spans="2:18" s="2362" customFormat="1">
      <c r="B73" s="2387"/>
      <c r="C73" s="2387"/>
      <c r="D73" s="2387"/>
      <c r="E73" s="2387"/>
      <c r="F73" s="2387"/>
      <c r="G73" s="2388"/>
      <c r="H73" s="2387"/>
      <c r="I73" s="2388"/>
      <c r="J73" s="2387"/>
      <c r="K73" s="2387"/>
      <c r="L73" s="2388"/>
      <c r="M73" s="2387"/>
      <c r="N73" s="2387"/>
      <c r="O73" s="2388"/>
      <c r="P73" s="2387"/>
      <c r="Q73" s="2387"/>
      <c r="R73" s="2389"/>
    </row>
    <row r="74" spans="2:18" s="2362" customFormat="1">
      <c r="B74" s="2387"/>
      <c r="C74" s="2387"/>
      <c r="D74" s="2387"/>
      <c r="E74" s="2387"/>
      <c r="F74" s="2387"/>
      <c r="G74" s="2388"/>
      <c r="H74" s="2387"/>
      <c r="I74" s="2388"/>
      <c r="J74" s="2387"/>
      <c r="K74" s="2387"/>
      <c r="L74" s="2388"/>
      <c r="M74" s="2387"/>
      <c r="N74" s="2387"/>
      <c r="O74" s="2388"/>
      <c r="P74" s="2387"/>
      <c r="Q74" s="2387"/>
      <c r="R74" s="2389"/>
    </row>
    <row r="75" spans="2:18" s="2362" customFormat="1">
      <c r="B75" s="2387"/>
      <c r="C75" s="2387"/>
      <c r="D75" s="2387"/>
      <c r="E75" s="2387"/>
      <c r="F75" s="2387"/>
      <c r="G75" s="2388"/>
      <c r="H75" s="2387"/>
      <c r="I75" s="2388"/>
      <c r="J75" s="2387"/>
      <c r="K75" s="2387"/>
      <c r="L75" s="2388"/>
      <c r="M75" s="2387"/>
      <c r="N75" s="2387"/>
      <c r="O75" s="2388"/>
      <c r="P75" s="2387"/>
      <c r="Q75" s="2387"/>
      <c r="R75" s="2389"/>
    </row>
    <row r="76" spans="2:18" s="2362" customFormat="1">
      <c r="B76" s="2387"/>
      <c r="C76" s="2387"/>
      <c r="D76" s="2387"/>
      <c r="E76" s="2387"/>
      <c r="F76" s="2387"/>
      <c r="G76" s="2388"/>
      <c r="H76" s="2387"/>
      <c r="I76" s="2388"/>
      <c r="J76" s="2387"/>
      <c r="K76" s="2387"/>
      <c r="L76" s="2388"/>
      <c r="M76" s="2387"/>
      <c r="N76" s="2387"/>
      <c r="O76" s="2388"/>
      <c r="P76" s="2387"/>
      <c r="Q76" s="2387"/>
      <c r="R76" s="2389"/>
    </row>
    <row r="77" spans="2:18" s="2362" customFormat="1">
      <c r="B77" s="2387"/>
      <c r="C77" s="2387"/>
      <c r="D77" s="2387"/>
      <c r="E77" s="2387"/>
      <c r="F77" s="2387"/>
      <c r="G77" s="2388"/>
      <c r="H77" s="2387"/>
      <c r="I77" s="2388"/>
      <c r="J77" s="2387"/>
      <c r="K77" s="2387"/>
      <c r="L77" s="2388"/>
      <c r="M77" s="2387"/>
      <c r="N77" s="2387"/>
      <c r="O77" s="2388"/>
      <c r="P77" s="2387"/>
      <c r="Q77" s="2387"/>
      <c r="R77" s="2389"/>
    </row>
    <row r="78" spans="2:18" s="2362" customFormat="1">
      <c r="B78" s="2387"/>
      <c r="C78" s="2387"/>
      <c r="D78" s="2387"/>
      <c r="E78" s="2387"/>
      <c r="F78" s="2387"/>
      <c r="G78" s="2388"/>
      <c r="H78" s="2387"/>
      <c r="I78" s="2388"/>
      <c r="J78" s="2387"/>
      <c r="K78" s="2387"/>
      <c r="L78" s="2388"/>
      <c r="M78" s="2387"/>
      <c r="N78" s="2387"/>
      <c r="O78" s="2388"/>
      <c r="P78" s="2387"/>
      <c r="Q78" s="2387"/>
      <c r="R78" s="2389"/>
    </row>
    <row r="79" spans="2:18" s="2362" customFormat="1">
      <c r="B79" s="2387"/>
      <c r="C79" s="2387"/>
      <c r="D79" s="2387"/>
      <c r="E79" s="2387"/>
      <c r="F79" s="2387"/>
      <c r="G79" s="2388"/>
      <c r="H79" s="2387"/>
      <c r="I79" s="2388"/>
      <c r="J79" s="2387"/>
      <c r="K79" s="2387"/>
      <c r="L79" s="2388"/>
      <c r="M79" s="2387"/>
      <c r="N79" s="2387"/>
      <c r="O79" s="2388"/>
      <c r="P79" s="2387"/>
      <c r="Q79" s="2387"/>
      <c r="R79" s="2389"/>
    </row>
    <row r="80" spans="2:18" s="2362" customFormat="1">
      <c r="B80" s="2387"/>
      <c r="C80" s="2387"/>
      <c r="D80" s="2387"/>
      <c r="E80" s="2387"/>
      <c r="F80" s="2387"/>
      <c r="G80" s="2388"/>
      <c r="H80" s="2387"/>
      <c r="I80" s="2388"/>
      <c r="J80" s="2387"/>
      <c r="K80" s="2387"/>
      <c r="L80" s="2388"/>
      <c r="M80" s="2387"/>
      <c r="N80" s="2387"/>
      <c r="O80" s="2388"/>
      <c r="P80" s="2387"/>
      <c r="Q80" s="2387"/>
      <c r="R80" s="2389"/>
    </row>
    <row r="81" spans="2:18" s="2362" customFormat="1">
      <c r="B81" s="2387"/>
      <c r="C81" s="2387"/>
      <c r="D81" s="2387"/>
      <c r="E81" s="2387"/>
      <c r="F81" s="2387"/>
      <c r="G81" s="2388"/>
      <c r="H81" s="2387"/>
      <c r="I81" s="2388"/>
      <c r="J81" s="2387"/>
      <c r="K81" s="2387"/>
      <c r="L81" s="2388"/>
      <c r="M81" s="2387"/>
      <c r="N81" s="2387"/>
      <c r="O81" s="2388"/>
      <c r="P81" s="2387"/>
      <c r="Q81" s="2387"/>
      <c r="R81" s="2389"/>
    </row>
    <row r="82" spans="2:18" s="2362" customFormat="1">
      <c r="B82" s="2387"/>
      <c r="C82" s="2387"/>
      <c r="D82" s="2387"/>
      <c r="E82" s="2387"/>
      <c r="F82" s="2387"/>
      <c r="G82" s="2388"/>
      <c r="H82" s="2387"/>
      <c r="I82" s="2388"/>
      <c r="J82" s="2387"/>
      <c r="K82" s="2387"/>
      <c r="L82" s="2388"/>
      <c r="M82" s="2387"/>
      <c r="N82" s="2387"/>
      <c r="O82" s="2388"/>
      <c r="P82" s="2387"/>
      <c r="Q82" s="2387"/>
      <c r="R82" s="2389"/>
    </row>
    <row r="83" spans="2:18" s="2362" customFormat="1">
      <c r="B83" s="2387"/>
      <c r="C83" s="2387"/>
      <c r="D83" s="2387"/>
      <c r="E83" s="2387"/>
      <c r="F83" s="2387"/>
      <c r="G83" s="2388"/>
      <c r="H83" s="2387"/>
      <c r="I83" s="2388"/>
      <c r="J83" s="2387"/>
      <c r="K83" s="2387"/>
      <c r="L83" s="2388"/>
      <c r="M83" s="2387"/>
      <c r="N83" s="2387"/>
      <c r="O83" s="2388"/>
      <c r="P83" s="2387"/>
      <c r="Q83" s="2387"/>
      <c r="R83" s="2389"/>
    </row>
    <row r="84" spans="2:18" s="2362" customFormat="1">
      <c r="B84" s="2387"/>
      <c r="C84" s="2387"/>
      <c r="D84" s="2387"/>
      <c r="E84" s="2387"/>
      <c r="F84" s="2387"/>
      <c r="G84" s="2388"/>
      <c r="H84" s="2387"/>
      <c r="I84" s="2388"/>
      <c r="J84" s="2387"/>
      <c r="K84" s="2387"/>
      <c r="L84" s="2388"/>
      <c r="M84" s="2387"/>
      <c r="N84" s="2387"/>
      <c r="O84" s="2388"/>
      <c r="P84" s="2387"/>
      <c r="Q84" s="2387"/>
      <c r="R84" s="2389"/>
    </row>
    <row r="85" spans="2:18" s="2362" customFormat="1">
      <c r="B85" s="2387"/>
      <c r="C85" s="2387"/>
      <c r="D85" s="2387"/>
      <c r="E85" s="2387"/>
      <c r="F85" s="2387"/>
      <c r="G85" s="2388"/>
      <c r="H85" s="2387"/>
      <c r="I85" s="2388"/>
      <c r="J85" s="2387"/>
      <c r="K85" s="2387"/>
      <c r="L85" s="2388"/>
      <c r="M85" s="2387"/>
      <c r="N85" s="2387"/>
      <c r="O85" s="2388"/>
      <c r="P85" s="2387"/>
      <c r="Q85" s="2387"/>
      <c r="R85" s="2389"/>
    </row>
    <row r="86" spans="2:18" s="2362" customFormat="1">
      <c r="B86" s="2387"/>
      <c r="C86" s="2387"/>
      <c r="D86" s="2387"/>
      <c r="E86" s="2387"/>
      <c r="F86" s="2387"/>
      <c r="G86" s="2388"/>
      <c r="H86" s="2387"/>
      <c r="I86" s="2388"/>
      <c r="J86" s="2387"/>
      <c r="K86" s="2387"/>
      <c r="L86" s="2388"/>
      <c r="M86" s="2387"/>
      <c r="N86" s="2387"/>
      <c r="O86" s="2388"/>
      <c r="P86" s="2387"/>
      <c r="Q86" s="2387"/>
      <c r="R86" s="2389"/>
    </row>
    <row r="87" spans="2:18" s="2362" customFormat="1">
      <c r="B87" s="2387"/>
      <c r="C87" s="2387"/>
      <c r="D87" s="2387"/>
      <c r="E87" s="2387"/>
      <c r="F87" s="2387"/>
      <c r="G87" s="2388"/>
      <c r="H87" s="2387"/>
      <c r="I87" s="2388"/>
      <c r="J87" s="2387"/>
      <c r="K87" s="2387"/>
      <c r="L87" s="2388"/>
      <c r="M87" s="2387"/>
      <c r="N87" s="2387"/>
      <c r="O87" s="2388"/>
      <c r="P87" s="2387"/>
      <c r="Q87" s="2387"/>
      <c r="R87" s="2389"/>
    </row>
    <row r="88" spans="2:18" s="2362" customFormat="1">
      <c r="B88" s="2387"/>
      <c r="C88" s="2387"/>
      <c r="D88" s="2387"/>
      <c r="E88" s="2387"/>
      <c r="F88" s="2387"/>
      <c r="G88" s="2388"/>
      <c r="H88" s="2387"/>
      <c r="I88" s="2388"/>
      <c r="J88" s="2387"/>
      <c r="K88" s="2387"/>
      <c r="L88" s="2388"/>
      <c r="M88" s="2387"/>
      <c r="N88" s="2387"/>
      <c r="O88" s="2388"/>
      <c r="P88" s="2387"/>
      <c r="Q88" s="2387"/>
      <c r="R88" s="2389"/>
    </row>
    <row r="89" spans="2:18" s="2362" customFormat="1">
      <c r="B89" s="2387"/>
      <c r="C89" s="2387"/>
      <c r="D89" s="2387"/>
      <c r="E89" s="2387"/>
      <c r="F89" s="2387"/>
      <c r="G89" s="2388"/>
      <c r="H89" s="2387"/>
      <c r="I89" s="2388"/>
      <c r="J89" s="2387"/>
      <c r="K89" s="2387"/>
      <c r="L89" s="2388"/>
      <c r="M89" s="2387"/>
      <c r="N89" s="2387"/>
      <c r="O89" s="2388"/>
      <c r="P89" s="2387"/>
      <c r="Q89" s="2387"/>
      <c r="R89" s="2389"/>
    </row>
    <row r="90" spans="2:18" s="2362" customFormat="1">
      <c r="B90" s="2387"/>
      <c r="C90" s="2387"/>
      <c r="D90" s="2387"/>
      <c r="E90" s="2387"/>
      <c r="F90" s="2387"/>
      <c r="G90" s="2388"/>
      <c r="H90" s="2387"/>
      <c r="I90" s="2388"/>
      <c r="J90" s="2387"/>
      <c r="K90" s="2387"/>
      <c r="L90" s="2388"/>
      <c r="M90" s="2387"/>
      <c r="N90" s="2387"/>
      <c r="O90" s="2388"/>
      <c r="P90" s="2387"/>
      <c r="Q90" s="2387"/>
      <c r="R90" s="2389"/>
    </row>
    <row r="91" spans="2:18" s="2362" customFormat="1">
      <c r="B91" s="2387"/>
      <c r="C91" s="2387"/>
      <c r="D91" s="2387"/>
      <c r="E91" s="2387"/>
      <c r="F91" s="2387"/>
      <c r="G91" s="2388"/>
      <c r="H91" s="2387"/>
      <c r="I91" s="2388"/>
      <c r="J91" s="2387"/>
      <c r="K91" s="2387"/>
      <c r="L91" s="2388"/>
      <c r="M91" s="2387"/>
      <c r="N91" s="2387"/>
      <c r="O91" s="2388"/>
      <c r="P91" s="2387"/>
      <c r="Q91" s="2387"/>
      <c r="R91" s="2389"/>
    </row>
    <row r="92" spans="2:18" s="2362" customFormat="1">
      <c r="B92" s="2387"/>
      <c r="C92" s="2387"/>
      <c r="D92" s="2387"/>
      <c r="E92" s="2387"/>
      <c r="F92" s="2387"/>
      <c r="G92" s="2388"/>
      <c r="H92" s="2387"/>
      <c r="I92" s="2388"/>
      <c r="J92" s="2387"/>
      <c r="K92" s="2387"/>
      <c r="L92" s="2388"/>
      <c r="M92" s="2387"/>
      <c r="N92" s="2387"/>
      <c r="O92" s="2388"/>
      <c r="P92" s="2387"/>
      <c r="Q92" s="2387"/>
      <c r="R92" s="2389"/>
    </row>
    <row r="93" spans="2:18" s="2362" customFormat="1">
      <c r="B93" s="2387"/>
      <c r="C93" s="2387"/>
      <c r="D93" s="2387"/>
      <c r="E93" s="2387"/>
      <c r="F93" s="2387"/>
      <c r="G93" s="2388"/>
      <c r="H93" s="2387"/>
      <c r="I93" s="2388"/>
      <c r="J93" s="2387"/>
      <c r="K93" s="2387"/>
      <c r="L93" s="2388"/>
      <c r="M93" s="2387"/>
      <c r="N93" s="2387"/>
      <c r="O93" s="2388"/>
      <c r="P93" s="2387"/>
      <c r="Q93" s="2387"/>
      <c r="R93" s="2389"/>
    </row>
    <row r="94" spans="2:18" s="2362" customFormat="1">
      <c r="B94" s="2387"/>
      <c r="C94" s="2387"/>
      <c r="D94" s="2387"/>
      <c r="E94" s="2387"/>
      <c r="F94" s="2387"/>
      <c r="G94" s="2388"/>
      <c r="H94" s="2387"/>
      <c r="I94" s="2388"/>
      <c r="J94" s="2387"/>
      <c r="K94" s="2387"/>
      <c r="L94" s="2388"/>
      <c r="M94" s="2387"/>
      <c r="N94" s="2387"/>
      <c r="O94" s="2388"/>
      <c r="P94" s="2387"/>
      <c r="Q94" s="2387"/>
      <c r="R94" s="2389"/>
    </row>
    <row r="95" spans="2:18" s="2362" customFormat="1">
      <c r="B95" s="2387"/>
      <c r="C95" s="2387"/>
      <c r="D95" s="2387"/>
      <c r="E95" s="2387"/>
      <c r="F95" s="2387"/>
      <c r="G95" s="2388"/>
      <c r="H95" s="2387"/>
      <c r="I95" s="2388"/>
      <c r="J95" s="2387"/>
      <c r="K95" s="2387"/>
      <c r="L95" s="2388"/>
      <c r="M95" s="2387"/>
      <c r="N95" s="2387"/>
      <c r="O95" s="2388"/>
      <c r="P95" s="2387"/>
      <c r="Q95" s="2387"/>
      <c r="R95" s="2389"/>
    </row>
    <row r="96" spans="2:18" s="2362" customFormat="1">
      <c r="B96" s="2387"/>
      <c r="C96" s="2387"/>
      <c r="D96" s="2387"/>
      <c r="E96" s="2387"/>
      <c r="F96" s="2387"/>
      <c r="G96" s="2388"/>
      <c r="H96" s="2387"/>
      <c r="I96" s="2388"/>
      <c r="J96" s="2387"/>
      <c r="K96" s="2387"/>
      <c r="L96" s="2388"/>
      <c r="M96" s="2387"/>
      <c r="N96" s="2387"/>
      <c r="O96" s="2388"/>
      <c r="P96" s="2387"/>
      <c r="Q96" s="2387"/>
      <c r="R96" s="2389"/>
    </row>
    <row r="97" spans="2:18" s="2362" customFormat="1">
      <c r="B97" s="2387"/>
      <c r="C97" s="2387"/>
      <c r="D97" s="2387"/>
      <c r="E97" s="2387"/>
      <c r="F97" s="2387"/>
      <c r="G97" s="2388"/>
      <c r="H97" s="2387"/>
      <c r="I97" s="2388"/>
      <c r="J97" s="2387"/>
      <c r="K97" s="2387"/>
      <c r="L97" s="2388"/>
      <c r="M97" s="2387"/>
      <c r="N97" s="2387"/>
      <c r="O97" s="2388"/>
      <c r="P97" s="2387"/>
      <c r="Q97" s="2387"/>
      <c r="R97" s="2389"/>
    </row>
    <row r="98" spans="2:18" s="2362" customFormat="1">
      <c r="B98" s="2387"/>
      <c r="C98" s="2387"/>
      <c r="D98" s="2387"/>
      <c r="E98" s="2387"/>
      <c r="F98" s="2387"/>
      <c r="G98" s="2388"/>
      <c r="H98" s="2387"/>
      <c r="I98" s="2388"/>
      <c r="J98" s="2387"/>
      <c r="K98" s="2387"/>
      <c r="L98" s="2388"/>
      <c r="M98" s="2387"/>
      <c r="N98" s="2387"/>
      <c r="O98" s="2388"/>
      <c r="P98" s="2387"/>
      <c r="Q98" s="2387"/>
      <c r="R98" s="2389"/>
    </row>
    <row r="99" spans="2:18" s="2362" customFormat="1">
      <c r="B99" s="2387"/>
      <c r="C99" s="2387"/>
      <c r="D99" s="2387"/>
      <c r="E99" s="2387"/>
      <c r="F99" s="2387"/>
      <c r="G99" s="2388"/>
      <c r="H99" s="2387"/>
      <c r="I99" s="2388"/>
      <c r="J99" s="2387"/>
      <c r="K99" s="2387"/>
      <c r="L99" s="2388"/>
      <c r="M99" s="2387"/>
      <c r="N99" s="2387"/>
      <c r="O99" s="2388"/>
      <c r="P99" s="2387"/>
      <c r="Q99" s="2387"/>
      <c r="R99" s="2389"/>
    </row>
    <row r="100" spans="2:18" s="2362" customFormat="1">
      <c r="B100" s="2387"/>
      <c r="C100" s="2387"/>
      <c r="D100" s="2387"/>
      <c r="E100" s="2387"/>
      <c r="F100" s="2387"/>
      <c r="G100" s="2388"/>
      <c r="H100" s="2387"/>
      <c r="I100" s="2388"/>
      <c r="J100" s="2387"/>
      <c r="K100" s="2387"/>
      <c r="L100" s="2388"/>
      <c r="M100" s="2387"/>
      <c r="N100" s="2387"/>
      <c r="O100" s="2388"/>
      <c r="P100" s="2387"/>
      <c r="Q100" s="2387"/>
      <c r="R100" s="2389"/>
    </row>
    <row r="101" spans="2:18" s="2362" customFormat="1">
      <c r="B101" s="2387"/>
      <c r="C101" s="2387"/>
      <c r="D101" s="2387"/>
      <c r="E101" s="2387"/>
      <c r="F101" s="2387"/>
      <c r="G101" s="2388"/>
      <c r="H101" s="2387"/>
      <c r="I101" s="2388"/>
      <c r="J101" s="2387"/>
      <c r="K101" s="2387"/>
      <c r="L101" s="2388"/>
      <c r="M101" s="2387"/>
      <c r="N101" s="2387"/>
      <c r="O101" s="2388"/>
      <c r="P101" s="2387"/>
      <c r="Q101" s="2387"/>
      <c r="R101" s="2389"/>
    </row>
    <row r="102" spans="2:18" s="2362" customFormat="1">
      <c r="B102" s="2387"/>
      <c r="C102" s="2387"/>
      <c r="D102" s="2387"/>
      <c r="E102" s="2387"/>
      <c r="F102" s="2387"/>
      <c r="G102" s="2388"/>
      <c r="H102" s="2387"/>
      <c r="I102" s="2388"/>
      <c r="J102" s="2387"/>
      <c r="K102" s="2387"/>
      <c r="L102" s="2388"/>
      <c r="M102" s="2387"/>
      <c r="N102" s="2387"/>
      <c r="O102" s="2388"/>
      <c r="P102" s="2387"/>
      <c r="Q102" s="2387"/>
      <c r="R102" s="2389"/>
    </row>
    <row r="103" spans="2:18" s="2362" customFormat="1">
      <c r="B103" s="2387"/>
      <c r="C103" s="2387"/>
      <c r="D103" s="2387"/>
      <c r="E103" s="2387"/>
      <c r="F103" s="2387"/>
      <c r="G103" s="2388"/>
      <c r="H103" s="2387"/>
      <c r="I103" s="2388"/>
      <c r="J103" s="2387"/>
      <c r="K103" s="2387"/>
      <c r="L103" s="2388"/>
      <c r="M103" s="2387"/>
      <c r="N103" s="2387"/>
      <c r="O103" s="2388"/>
      <c r="P103" s="2387"/>
      <c r="Q103" s="2387"/>
      <c r="R103" s="2389"/>
    </row>
    <row r="104" spans="2:18" s="2362" customFormat="1">
      <c r="B104" s="2387"/>
      <c r="C104" s="2387"/>
      <c r="D104" s="2387"/>
      <c r="E104" s="2387"/>
      <c r="F104" s="2387"/>
      <c r="G104" s="2388"/>
      <c r="H104" s="2387"/>
      <c r="I104" s="2388"/>
      <c r="J104" s="2387"/>
      <c r="K104" s="2387"/>
      <c r="L104" s="2388"/>
      <c r="M104" s="2387"/>
      <c r="N104" s="2387"/>
      <c r="O104" s="2388"/>
      <c r="P104" s="2387"/>
      <c r="Q104" s="2387"/>
      <c r="R104" s="2389"/>
    </row>
    <row r="105" spans="2:18" s="2362" customFormat="1">
      <c r="B105" s="2387"/>
      <c r="C105" s="2387"/>
      <c r="D105" s="2387"/>
      <c r="E105" s="2387"/>
      <c r="F105" s="2387"/>
      <c r="G105" s="2388"/>
      <c r="H105" s="2387"/>
      <c r="I105" s="2388"/>
      <c r="J105" s="2387"/>
      <c r="K105" s="2387"/>
      <c r="L105" s="2388"/>
      <c r="M105" s="2387"/>
      <c r="N105" s="2387"/>
      <c r="O105" s="2388"/>
      <c r="P105" s="2387"/>
      <c r="Q105" s="2387"/>
      <c r="R105" s="2389"/>
    </row>
    <row r="106" spans="2:18" s="2362" customFormat="1">
      <c r="B106" s="2387"/>
      <c r="C106" s="2387"/>
      <c r="D106" s="2387"/>
      <c r="E106" s="2387"/>
      <c r="F106" s="2387"/>
      <c r="G106" s="2388"/>
      <c r="H106" s="2387"/>
      <c r="I106" s="2388"/>
      <c r="J106" s="2387"/>
      <c r="K106" s="2387"/>
      <c r="L106" s="2388"/>
      <c r="M106" s="2387"/>
      <c r="N106" s="2387"/>
      <c r="O106" s="2388"/>
      <c r="P106" s="2387"/>
      <c r="Q106" s="2387"/>
      <c r="R106" s="2389"/>
    </row>
    <row r="107" spans="2:18" s="2362" customFormat="1">
      <c r="B107" s="2387"/>
      <c r="C107" s="2387"/>
      <c r="D107" s="2387"/>
      <c r="E107" s="2387"/>
      <c r="F107" s="2387"/>
      <c r="G107" s="2388"/>
      <c r="H107" s="2387"/>
      <c r="I107" s="2388"/>
      <c r="J107" s="2387"/>
      <c r="K107" s="2387"/>
      <c r="L107" s="2388"/>
      <c r="M107" s="2387"/>
      <c r="N107" s="2387"/>
      <c r="O107" s="2388"/>
      <c r="P107" s="2387"/>
      <c r="Q107" s="2387"/>
      <c r="R107" s="2389"/>
    </row>
    <row r="108" spans="2:18" s="2362" customFormat="1">
      <c r="B108" s="2387"/>
      <c r="C108" s="2387"/>
      <c r="D108" s="2387"/>
      <c r="E108" s="2387"/>
      <c r="F108" s="2387"/>
      <c r="G108" s="2388"/>
      <c r="H108" s="2387"/>
      <c r="I108" s="2388"/>
      <c r="J108" s="2387"/>
      <c r="K108" s="2387"/>
      <c r="L108" s="2388"/>
      <c r="M108" s="2387"/>
      <c r="N108" s="2387"/>
      <c r="O108" s="2388"/>
      <c r="P108" s="2387"/>
      <c r="Q108" s="2387"/>
      <c r="R108" s="2389"/>
    </row>
    <row r="109" spans="2:18" s="2362" customFormat="1">
      <c r="B109" s="2387"/>
      <c r="C109" s="2387"/>
      <c r="D109" s="2387"/>
      <c r="E109" s="2387"/>
      <c r="F109" s="2387"/>
      <c r="G109" s="2388"/>
      <c r="H109" s="2387"/>
      <c r="I109" s="2388"/>
      <c r="J109" s="2387"/>
      <c r="K109" s="2387"/>
      <c r="L109" s="2388"/>
      <c r="M109" s="2387"/>
      <c r="N109" s="2387"/>
      <c r="O109" s="2388"/>
      <c r="P109" s="2387"/>
      <c r="Q109" s="2387"/>
      <c r="R109" s="2389"/>
    </row>
    <row r="110" spans="2:18" s="2362" customFormat="1">
      <c r="B110" s="2387"/>
      <c r="C110" s="2387"/>
      <c r="D110" s="2387"/>
      <c r="E110" s="2387"/>
      <c r="F110" s="2387"/>
      <c r="G110" s="2388"/>
      <c r="H110" s="2387"/>
      <c r="I110" s="2388"/>
      <c r="J110" s="2387"/>
      <c r="K110" s="2387"/>
      <c r="L110" s="2388"/>
      <c r="M110" s="2387"/>
      <c r="N110" s="2387"/>
      <c r="O110" s="2388"/>
      <c r="P110" s="2387"/>
      <c r="Q110" s="2387"/>
      <c r="R110" s="2389"/>
    </row>
    <row r="111" spans="2:18" s="2362" customFormat="1">
      <c r="B111" s="2387"/>
      <c r="C111" s="2387"/>
      <c r="D111" s="2387"/>
      <c r="E111" s="2387"/>
      <c r="F111" s="2387"/>
      <c r="G111" s="2388"/>
      <c r="H111" s="2387"/>
      <c r="I111" s="2388"/>
      <c r="J111" s="2387"/>
      <c r="K111" s="2387"/>
      <c r="L111" s="2388"/>
      <c r="M111" s="2387"/>
      <c r="N111" s="2387"/>
      <c r="O111" s="2388"/>
      <c r="P111" s="2387"/>
      <c r="Q111" s="2387"/>
      <c r="R111" s="2389"/>
    </row>
    <row r="112" spans="2:18" s="2362" customFormat="1">
      <c r="B112" s="2387"/>
      <c r="C112" s="2387"/>
      <c r="D112" s="2387"/>
      <c r="E112" s="2387"/>
      <c r="F112" s="2387"/>
      <c r="G112" s="2388"/>
      <c r="H112" s="2387"/>
      <c r="I112" s="2388"/>
      <c r="J112" s="2387"/>
      <c r="K112" s="2387"/>
      <c r="L112" s="2388"/>
      <c r="M112" s="2387"/>
      <c r="N112" s="2387"/>
      <c r="O112" s="2388"/>
      <c r="P112" s="2387"/>
      <c r="Q112" s="2387"/>
      <c r="R112" s="2389"/>
    </row>
    <row r="113" spans="2:18" s="2362" customFormat="1">
      <c r="B113" s="2387"/>
      <c r="C113" s="2387"/>
      <c r="D113" s="2387"/>
      <c r="E113" s="2387"/>
      <c r="F113" s="2387"/>
      <c r="G113" s="2388"/>
      <c r="H113" s="2387"/>
      <c r="I113" s="2388"/>
      <c r="J113" s="2387"/>
      <c r="K113" s="2387"/>
      <c r="L113" s="2388"/>
      <c r="M113" s="2387"/>
      <c r="N113" s="2387"/>
      <c r="O113" s="2388"/>
      <c r="P113" s="2387"/>
      <c r="Q113" s="2387"/>
      <c r="R113" s="2389"/>
    </row>
    <row r="114" spans="2:18" s="2362" customFormat="1">
      <c r="B114" s="2387"/>
      <c r="C114" s="2387"/>
      <c r="D114" s="2387"/>
      <c r="E114" s="2387"/>
      <c r="F114" s="2387"/>
      <c r="G114" s="2388"/>
      <c r="H114" s="2387"/>
      <c r="I114" s="2388"/>
      <c r="J114" s="2387"/>
      <c r="K114" s="2387"/>
      <c r="L114" s="2388"/>
      <c r="M114" s="2387"/>
      <c r="N114" s="2387"/>
      <c r="O114" s="2388"/>
      <c r="P114" s="2387"/>
      <c r="Q114" s="2387"/>
      <c r="R114" s="2389"/>
    </row>
    <row r="115" spans="2:18" s="2362" customFormat="1">
      <c r="B115" s="2387"/>
      <c r="C115" s="2387"/>
      <c r="D115" s="2387"/>
      <c r="E115" s="2387"/>
      <c r="F115" s="2387"/>
      <c r="G115" s="2388"/>
      <c r="H115" s="2387"/>
      <c r="I115" s="2388"/>
      <c r="J115" s="2387"/>
      <c r="K115" s="2387"/>
      <c r="L115" s="2388"/>
      <c r="M115" s="2387"/>
      <c r="N115" s="2387"/>
      <c r="O115" s="2388"/>
      <c r="P115" s="2387"/>
      <c r="Q115" s="2387"/>
      <c r="R115" s="2389"/>
    </row>
    <row r="116" spans="2:18" s="2362" customFormat="1">
      <c r="B116" s="2387"/>
      <c r="C116" s="2387"/>
      <c r="D116" s="2387"/>
      <c r="E116" s="2387"/>
      <c r="F116" s="2387"/>
      <c r="G116" s="2388"/>
      <c r="H116" s="2387"/>
      <c r="I116" s="2388"/>
      <c r="J116" s="2387"/>
      <c r="K116" s="2387"/>
      <c r="L116" s="2388"/>
      <c r="M116" s="2387"/>
      <c r="N116" s="2387"/>
      <c r="O116" s="2388"/>
      <c r="P116" s="2387"/>
      <c r="Q116" s="2387"/>
      <c r="R116" s="2389"/>
    </row>
    <row r="117" spans="2:18" s="2362" customFormat="1">
      <c r="B117" s="2387"/>
      <c r="C117" s="2387"/>
      <c r="D117" s="2387"/>
      <c r="E117" s="2387"/>
      <c r="F117" s="2387"/>
      <c r="G117" s="2388"/>
      <c r="H117" s="2387"/>
      <c r="I117" s="2388"/>
      <c r="J117" s="2387"/>
      <c r="K117" s="2387"/>
      <c r="L117" s="2388"/>
      <c r="M117" s="2387"/>
      <c r="N117" s="2387"/>
      <c r="O117" s="2388"/>
      <c r="P117" s="2387"/>
      <c r="Q117" s="2387"/>
      <c r="R117" s="2389"/>
    </row>
    <row r="118" spans="2:18" s="2362" customFormat="1">
      <c r="B118" s="2387"/>
      <c r="C118" s="2387"/>
      <c r="D118" s="2387"/>
      <c r="E118" s="2387"/>
      <c r="F118" s="2387"/>
      <c r="G118" s="2388"/>
      <c r="H118" s="2387"/>
      <c r="I118" s="2388"/>
      <c r="J118" s="2387"/>
      <c r="K118" s="2387"/>
      <c r="L118" s="2388"/>
      <c r="M118" s="2387"/>
      <c r="N118" s="2387"/>
      <c r="O118" s="2388"/>
      <c r="P118" s="2387"/>
      <c r="Q118" s="2387"/>
      <c r="R118" s="2389"/>
    </row>
    <row r="119" spans="2:18" s="2362" customFormat="1">
      <c r="B119" s="2387"/>
      <c r="C119" s="2387"/>
      <c r="D119" s="2387"/>
      <c r="E119" s="2387"/>
      <c r="F119" s="2387"/>
      <c r="G119" s="2388"/>
      <c r="H119" s="2387"/>
      <c r="I119" s="2388"/>
      <c r="J119" s="2387"/>
      <c r="K119" s="2387"/>
      <c r="L119" s="2388"/>
      <c r="M119" s="2387"/>
      <c r="N119" s="2387"/>
      <c r="O119" s="2388"/>
      <c r="P119" s="2387"/>
      <c r="Q119" s="2387"/>
      <c r="R119" s="2389"/>
    </row>
    <row r="120" spans="2:18" s="2362" customFormat="1">
      <c r="B120" s="2387"/>
      <c r="C120" s="2387"/>
      <c r="D120" s="2387"/>
      <c r="E120" s="2387"/>
      <c r="F120" s="2387"/>
      <c r="G120" s="2388"/>
      <c r="H120" s="2387"/>
      <c r="I120" s="2388"/>
      <c r="J120" s="2387"/>
      <c r="K120" s="2387"/>
      <c r="L120" s="2388"/>
      <c r="M120" s="2387"/>
      <c r="N120" s="2387"/>
      <c r="O120" s="2388"/>
      <c r="P120" s="2387"/>
      <c r="Q120" s="2387"/>
      <c r="R120" s="2389"/>
    </row>
    <row r="121" spans="2:18" s="2362" customFormat="1">
      <c r="B121" s="2387"/>
      <c r="C121" s="2387"/>
      <c r="D121" s="2387"/>
      <c r="E121" s="2387"/>
      <c r="F121" s="2387"/>
      <c r="G121" s="2388"/>
      <c r="H121" s="2387"/>
      <c r="I121" s="2388"/>
      <c r="J121" s="2387"/>
      <c r="K121" s="2387"/>
      <c r="L121" s="2388"/>
      <c r="M121" s="2387"/>
      <c r="N121" s="2387"/>
      <c r="O121" s="2388"/>
      <c r="P121" s="2387"/>
      <c r="Q121" s="2387"/>
      <c r="R121" s="2389"/>
    </row>
    <row r="122" spans="2:18" s="2362" customFormat="1">
      <c r="B122" s="2387"/>
      <c r="C122" s="2387"/>
      <c r="D122" s="2387"/>
      <c r="E122" s="2387"/>
      <c r="F122" s="2387"/>
      <c r="G122" s="2388"/>
      <c r="H122" s="2387"/>
      <c r="I122" s="2388"/>
      <c r="J122" s="2387"/>
      <c r="K122" s="2387"/>
      <c r="L122" s="2388"/>
      <c r="M122" s="2387"/>
      <c r="N122" s="2387"/>
      <c r="O122" s="2388"/>
      <c r="P122" s="2387"/>
      <c r="Q122" s="2387"/>
      <c r="R122" s="2389"/>
    </row>
    <row r="123" spans="2:18" s="2362" customFormat="1">
      <c r="B123" s="2387"/>
      <c r="C123" s="2387"/>
      <c r="D123" s="2387"/>
      <c r="E123" s="2387"/>
      <c r="F123" s="2387"/>
      <c r="G123" s="2388"/>
      <c r="H123" s="2387"/>
      <c r="I123" s="2388"/>
      <c r="J123" s="2387"/>
      <c r="K123" s="2387"/>
      <c r="L123" s="2388"/>
      <c r="M123" s="2387"/>
      <c r="N123" s="2387"/>
      <c r="O123" s="2388"/>
      <c r="P123" s="2387"/>
      <c r="Q123" s="2387"/>
      <c r="R123" s="2389"/>
    </row>
    <row r="124" spans="2:18" s="2362" customFormat="1">
      <c r="B124" s="2387"/>
      <c r="C124" s="2387"/>
      <c r="D124" s="2387"/>
      <c r="E124" s="2387"/>
      <c r="F124" s="2387"/>
      <c r="G124" s="2388"/>
      <c r="H124" s="2387"/>
      <c r="I124" s="2388"/>
      <c r="J124" s="2387"/>
      <c r="K124" s="2387"/>
      <c r="L124" s="2388"/>
      <c r="M124" s="2387"/>
      <c r="N124" s="2387"/>
      <c r="O124" s="2388"/>
      <c r="P124" s="2387"/>
      <c r="Q124" s="2387"/>
      <c r="R124" s="2389"/>
    </row>
    <row r="125" spans="2:18" s="2362" customFormat="1">
      <c r="B125" s="2387"/>
      <c r="C125" s="2387"/>
      <c r="D125" s="2387"/>
      <c r="E125" s="2387"/>
      <c r="F125" s="2387"/>
      <c r="G125" s="2388"/>
      <c r="H125" s="2387"/>
      <c r="I125" s="2388"/>
      <c r="J125" s="2387"/>
      <c r="K125" s="2387"/>
      <c r="L125" s="2388"/>
      <c r="M125" s="2387"/>
      <c r="N125" s="2387"/>
      <c r="O125" s="2388"/>
      <c r="P125" s="2387"/>
      <c r="Q125" s="2387"/>
      <c r="R125" s="2389"/>
    </row>
    <row r="126" spans="2:18" s="2362" customFormat="1">
      <c r="B126" s="2387"/>
      <c r="C126" s="2387"/>
      <c r="D126" s="2387"/>
      <c r="E126" s="2387"/>
      <c r="F126" s="2387"/>
      <c r="G126" s="2388"/>
      <c r="H126" s="2387"/>
      <c r="I126" s="2388"/>
      <c r="J126" s="2387"/>
      <c r="K126" s="2387"/>
      <c r="L126" s="2388"/>
      <c r="M126" s="2387"/>
      <c r="N126" s="2387"/>
      <c r="O126" s="2388"/>
      <c r="P126" s="2387"/>
      <c r="Q126" s="2387"/>
      <c r="R126" s="2389"/>
    </row>
    <row r="127" spans="2:18" s="2362" customFormat="1">
      <c r="B127" s="2387"/>
      <c r="C127" s="2387"/>
      <c r="D127" s="2387"/>
      <c r="E127" s="2387"/>
      <c r="F127" s="2387"/>
      <c r="G127" s="2388"/>
      <c r="H127" s="2387"/>
      <c r="I127" s="2388"/>
      <c r="J127" s="2387"/>
      <c r="K127" s="2387"/>
      <c r="L127" s="2388"/>
      <c r="M127" s="2387"/>
      <c r="N127" s="2387"/>
      <c r="O127" s="2388"/>
      <c r="P127" s="2387"/>
      <c r="Q127" s="2387"/>
      <c r="R127" s="2389"/>
    </row>
    <row r="128" spans="2:18" s="2362" customFormat="1">
      <c r="B128" s="2387"/>
      <c r="C128" s="2387"/>
      <c r="D128" s="2387"/>
      <c r="E128" s="2387"/>
      <c r="F128" s="2387"/>
      <c r="G128" s="2388"/>
      <c r="H128" s="2387"/>
      <c r="I128" s="2388"/>
      <c r="J128" s="2387"/>
      <c r="K128" s="2387"/>
      <c r="L128" s="2388"/>
      <c r="M128" s="2387"/>
      <c r="N128" s="2387"/>
      <c r="O128" s="2388"/>
      <c r="P128" s="2387"/>
      <c r="Q128" s="2387"/>
      <c r="R128" s="2389"/>
    </row>
    <row r="129" spans="2:18" s="2362" customFormat="1">
      <c r="B129" s="2387"/>
      <c r="C129" s="2387"/>
      <c r="D129" s="2387"/>
      <c r="E129" s="2387"/>
      <c r="F129" s="2387"/>
      <c r="G129" s="2388"/>
      <c r="H129" s="2387"/>
      <c r="I129" s="2388"/>
      <c r="J129" s="2387"/>
      <c r="K129" s="2387"/>
      <c r="L129" s="2388"/>
      <c r="M129" s="2387"/>
      <c r="N129" s="2387"/>
      <c r="O129" s="2388"/>
      <c r="P129" s="2387"/>
      <c r="Q129" s="2387"/>
      <c r="R129" s="2389"/>
    </row>
    <row r="130" spans="2:18" s="2362" customFormat="1">
      <c r="B130" s="2387"/>
      <c r="C130" s="2387"/>
      <c r="D130" s="2387"/>
      <c r="E130" s="2387"/>
      <c r="F130" s="2387"/>
      <c r="G130" s="2388"/>
      <c r="H130" s="2387"/>
      <c r="I130" s="2388"/>
      <c r="J130" s="2387"/>
      <c r="K130" s="2387"/>
      <c r="L130" s="2388"/>
      <c r="M130" s="2387"/>
      <c r="N130" s="2387"/>
      <c r="O130" s="2388"/>
      <c r="P130" s="2387"/>
      <c r="Q130" s="2387"/>
      <c r="R130" s="2389"/>
    </row>
    <row r="131" spans="2:18" s="2362" customFormat="1">
      <c r="B131" s="2387"/>
      <c r="C131" s="2387"/>
      <c r="D131" s="2387"/>
      <c r="E131" s="2387"/>
      <c r="F131" s="2387"/>
      <c r="G131" s="2388"/>
      <c r="H131" s="2387"/>
      <c r="I131" s="2388"/>
      <c r="J131" s="2387"/>
      <c r="K131" s="2387"/>
      <c r="L131" s="2388"/>
      <c r="M131" s="2387"/>
      <c r="N131" s="2387"/>
      <c r="O131" s="2388"/>
      <c r="P131" s="2387"/>
      <c r="Q131" s="2387"/>
      <c r="R131" s="2389"/>
    </row>
    <row r="132" spans="2:18" s="2362" customFormat="1">
      <c r="B132" s="2387"/>
      <c r="C132" s="2387"/>
      <c r="D132" s="2387"/>
      <c r="E132" s="2387"/>
      <c r="F132" s="2387"/>
      <c r="G132" s="2388"/>
      <c r="H132" s="2387"/>
      <c r="I132" s="2388"/>
      <c r="J132" s="2387"/>
      <c r="K132" s="2387"/>
      <c r="L132" s="2388"/>
      <c r="M132" s="2387"/>
      <c r="N132" s="2387"/>
      <c r="O132" s="2388"/>
      <c r="P132" s="2387"/>
      <c r="Q132" s="2387"/>
      <c r="R132" s="2389"/>
    </row>
    <row r="133" spans="2:18" s="2362" customFormat="1">
      <c r="B133" s="2387"/>
      <c r="C133" s="2387"/>
      <c r="D133" s="2387"/>
      <c r="E133" s="2387"/>
      <c r="F133" s="2387"/>
      <c r="G133" s="2388"/>
      <c r="H133" s="2387"/>
      <c r="I133" s="2388"/>
      <c r="J133" s="2387"/>
      <c r="K133" s="2387"/>
      <c r="L133" s="2388"/>
      <c r="M133" s="2387"/>
      <c r="N133" s="2387"/>
      <c r="O133" s="2388"/>
      <c r="P133" s="2387"/>
      <c r="Q133" s="2387"/>
      <c r="R133" s="2389"/>
    </row>
    <row r="134" spans="2:18" s="2362" customFormat="1">
      <c r="B134" s="2387"/>
      <c r="C134" s="2387"/>
      <c r="D134" s="2387"/>
      <c r="E134" s="2387"/>
      <c r="F134" s="2387"/>
      <c r="G134" s="2388"/>
      <c r="H134" s="2387"/>
      <c r="I134" s="2388"/>
      <c r="J134" s="2387"/>
      <c r="K134" s="2387"/>
      <c r="L134" s="2388"/>
      <c r="M134" s="2387"/>
      <c r="N134" s="2387"/>
      <c r="O134" s="2388"/>
      <c r="P134" s="2387"/>
      <c r="Q134" s="2387"/>
      <c r="R134" s="2389"/>
    </row>
    <row r="135" spans="2:18" s="2362" customFormat="1">
      <c r="B135" s="2387"/>
      <c r="C135" s="2387"/>
      <c r="D135" s="2387"/>
      <c r="E135" s="2387"/>
      <c r="F135" s="2387"/>
      <c r="G135" s="2388"/>
      <c r="H135" s="2387"/>
      <c r="I135" s="2388"/>
      <c r="J135" s="2387"/>
      <c r="K135" s="2387"/>
      <c r="L135" s="2388"/>
      <c r="M135" s="2387"/>
      <c r="N135" s="2387"/>
      <c r="O135" s="2388"/>
      <c r="P135" s="2387"/>
      <c r="Q135" s="2387"/>
      <c r="R135" s="2389"/>
    </row>
    <row r="136" spans="2:18" s="2362" customFormat="1">
      <c r="B136" s="2387"/>
      <c r="C136" s="2387"/>
      <c r="D136" s="2387"/>
      <c r="E136" s="2387"/>
      <c r="F136" s="2387"/>
      <c r="G136" s="2388"/>
      <c r="H136" s="2387"/>
      <c r="I136" s="2388"/>
      <c r="J136" s="2387"/>
      <c r="K136" s="2387"/>
      <c r="L136" s="2388"/>
      <c r="M136" s="2387"/>
      <c r="N136" s="2387"/>
      <c r="O136" s="2388"/>
      <c r="P136" s="2387"/>
      <c r="Q136" s="2387"/>
      <c r="R136" s="2389"/>
    </row>
    <row r="137" spans="2:18" s="2362" customFormat="1">
      <c r="B137" s="2387"/>
      <c r="C137" s="2387"/>
      <c r="D137" s="2387"/>
      <c r="E137" s="2387"/>
      <c r="F137" s="2387"/>
      <c r="G137" s="2388"/>
      <c r="H137" s="2387"/>
      <c r="I137" s="2388"/>
      <c r="J137" s="2387"/>
      <c r="K137" s="2387"/>
      <c r="L137" s="2388"/>
      <c r="M137" s="2387"/>
      <c r="N137" s="2387"/>
      <c r="O137" s="2388"/>
      <c r="P137" s="2387"/>
      <c r="Q137" s="2387"/>
      <c r="R137" s="2389"/>
    </row>
    <row r="138" spans="2:18" s="2362" customFormat="1">
      <c r="B138" s="2387"/>
      <c r="C138" s="2387"/>
      <c r="D138" s="2387"/>
      <c r="E138" s="2387"/>
      <c r="F138" s="2387"/>
      <c r="G138" s="2388"/>
      <c r="H138" s="2387"/>
      <c r="I138" s="2388"/>
      <c r="J138" s="2387"/>
      <c r="K138" s="2387"/>
      <c r="L138" s="2388"/>
      <c r="M138" s="2387"/>
      <c r="N138" s="2387"/>
      <c r="O138" s="2388"/>
      <c r="P138" s="2387"/>
      <c r="Q138" s="2387"/>
      <c r="R138" s="2389"/>
    </row>
    <row r="139" spans="2:18" s="2362" customFormat="1">
      <c r="B139" s="2387"/>
      <c r="C139" s="2387"/>
      <c r="D139" s="2387"/>
      <c r="E139" s="2387"/>
      <c r="F139" s="2387"/>
      <c r="G139" s="2388"/>
      <c r="H139" s="2387"/>
      <c r="I139" s="2388"/>
      <c r="J139" s="2387"/>
      <c r="K139" s="2387"/>
      <c r="L139" s="2388"/>
      <c r="M139" s="2387"/>
      <c r="N139" s="2387"/>
      <c r="O139" s="2388"/>
      <c r="P139" s="2387"/>
      <c r="Q139" s="2387"/>
      <c r="R139" s="2389"/>
    </row>
    <row r="140" spans="2:18" s="2362" customFormat="1">
      <c r="B140" s="2387"/>
      <c r="C140" s="2387"/>
      <c r="D140" s="2387"/>
      <c r="E140" s="2387"/>
      <c r="F140" s="2387"/>
      <c r="G140" s="2388"/>
      <c r="H140" s="2387"/>
      <c r="I140" s="2388"/>
      <c r="J140" s="2387"/>
      <c r="K140" s="2387"/>
      <c r="L140" s="2388"/>
      <c r="M140" s="2387"/>
      <c r="N140" s="2387"/>
      <c r="O140" s="2388"/>
      <c r="P140" s="2387"/>
      <c r="Q140" s="2387"/>
      <c r="R140" s="2389"/>
    </row>
    <row r="141" spans="2:18" s="2362" customFormat="1">
      <c r="B141" s="2387"/>
      <c r="C141" s="2387"/>
      <c r="D141" s="2387"/>
      <c r="E141" s="2387"/>
      <c r="F141" s="2387"/>
      <c r="G141" s="2388"/>
      <c r="H141" s="2387"/>
      <c r="I141" s="2388"/>
      <c r="J141" s="2387"/>
      <c r="K141" s="2387"/>
      <c r="L141" s="2388"/>
      <c r="M141" s="2387"/>
      <c r="N141" s="2387"/>
      <c r="O141" s="2388"/>
      <c r="P141" s="2387"/>
      <c r="Q141" s="2387"/>
      <c r="R141" s="2389"/>
    </row>
    <row r="142" spans="2:18" s="2362" customFormat="1">
      <c r="B142" s="2387"/>
      <c r="C142" s="2387"/>
      <c r="D142" s="2387"/>
      <c r="E142" s="2387"/>
      <c r="F142" s="2387"/>
      <c r="G142" s="2388"/>
      <c r="H142" s="2387"/>
      <c r="I142" s="2388"/>
      <c r="J142" s="2387"/>
      <c r="K142" s="2387"/>
      <c r="L142" s="2388"/>
      <c r="M142" s="2387"/>
      <c r="N142" s="2387"/>
      <c r="O142" s="2388"/>
      <c r="P142" s="2387"/>
      <c r="Q142" s="2387"/>
      <c r="R142" s="2389"/>
    </row>
    <row r="143" spans="2:18" s="2362" customFormat="1">
      <c r="B143" s="2387"/>
      <c r="C143" s="2387"/>
      <c r="D143" s="2387"/>
      <c r="E143" s="2387"/>
      <c r="F143" s="2387"/>
      <c r="G143" s="2388"/>
      <c r="H143" s="2387"/>
      <c r="I143" s="2388"/>
      <c r="J143" s="2387"/>
      <c r="K143" s="2387"/>
      <c r="L143" s="2388"/>
      <c r="M143" s="2387"/>
      <c r="N143" s="2387"/>
      <c r="O143" s="2388"/>
      <c r="P143" s="2387"/>
      <c r="Q143" s="2387"/>
      <c r="R143" s="2389"/>
    </row>
    <row r="144" spans="2:18" s="2362" customFormat="1">
      <c r="B144" s="2387"/>
      <c r="C144" s="2387"/>
      <c r="D144" s="2387"/>
      <c r="E144" s="2387"/>
      <c r="F144" s="2387"/>
      <c r="G144" s="2388"/>
      <c r="H144" s="2387"/>
      <c r="I144" s="2388"/>
      <c r="J144" s="2387"/>
      <c r="K144" s="2387"/>
      <c r="L144" s="2388"/>
      <c r="M144" s="2387"/>
      <c r="N144" s="2387"/>
      <c r="O144" s="2388"/>
      <c r="P144" s="2387"/>
      <c r="Q144" s="2387"/>
      <c r="R144" s="2389"/>
    </row>
    <row r="145" spans="2:18" s="2362" customFormat="1">
      <c r="B145" s="2387"/>
      <c r="C145" s="2387"/>
      <c r="D145" s="2387"/>
      <c r="E145" s="2387"/>
      <c r="F145" s="2387"/>
      <c r="G145" s="2388"/>
      <c r="H145" s="2387"/>
      <c r="I145" s="2388"/>
      <c r="J145" s="2387"/>
      <c r="K145" s="2387"/>
      <c r="L145" s="2388"/>
      <c r="M145" s="2387"/>
      <c r="N145" s="2387"/>
      <c r="O145" s="2388"/>
      <c r="P145" s="2387"/>
      <c r="Q145" s="2387"/>
      <c r="R145" s="2389"/>
    </row>
    <row r="146" spans="2:18" s="2362" customFormat="1">
      <c r="B146" s="2387"/>
      <c r="C146" s="2387"/>
      <c r="D146" s="2387"/>
      <c r="E146" s="2387"/>
      <c r="F146" s="2387"/>
      <c r="G146" s="2388"/>
      <c r="H146" s="2387"/>
      <c r="I146" s="2388"/>
      <c r="J146" s="2387"/>
      <c r="K146" s="2387"/>
      <c r="L146" s="2388"/>
      <c r="M146" s="2387"/>
      <c r="N146" s="2387"/>
      <c r="O146" s="2388"/>
      <c r="P146" s="2387"/>
      <c r="Q146" s="2387"/>
      <c r="R146" s="2389"/>
    </row>
    <row r="147" spans="2:18" s="2362" customFormat="1">
      <c r="B147" s="2387"/>
      <c r="C147" s="2387"/>
      <c r="D147" s="2387"/>
      <c r="E147" s="2387"/>
      <c r="F147" s="2387"/>
      <c r="G147" s="2388"/>
      <c r="H147" s="2387"/>
      <c r="I147" s="2388"/>
      <c r="J147" s="2387"/>
      <c r="K147" s="2387"/>
      <c r="L147" s="2388"/>
      <c r="M147" s="2387"/>
      <c r="N147" s="2387"/>
      <c r="O147" s="2388"/>
      <c r="P147" s="2387"/>
      <c r="Q147" s="2387"/>
      <c r="R147" s="2389"/>
    </row>
    <row r="148" spans="2:18" s="2362" customFormat="1">
      <c r="B148" s="2387"/>
      <c r="C148" s="2387"/>
      <c r="D148" s="2387"/>
      <c r="E148" s="2387"/>
      <c r="F148" s="2387"/>
      <c r="G148" s="2388"/>
      <c r="H148" s="2387"/>
      <c r="I148" s="2388"/>
      <c r="J148" s="2387"/>
      <c r="K148" s="2387"/>
      <c r="L148" s="2388"/>
      <c r="M148" s="2387"/>
      <c r="N148" s="2387"/>
      <c r="O148" s="2388"/>
      <c r="P148" s="2387"/>
      <c r="Q148" s="2387"/>
      <c r="R148" s="2389"/>
    </row>
    <row r="149" spans="2:18" s="2362" customFormat="1">
      <c r="B149" s="2387"/>
      <c r="C149" s="2387"/>
      <c r="D149" s="2387"/>
      <c r="E149" s="2387"/>
      <c r="F149" s="2387"/>
      <c r="G149" s="2388"/>
      <c r="H149" s="2387"/>
      <c r="I149" s="2388"/>
      <c r="J149" s="2387"/>
      <c r="K149" s="2387"/>
      <c r="L149" s="2388"/>
      <c r="M149" s="2387"/>
      <c r="N149" s="2387"/>
      <c r="O149" s="2388"/>
      <c r="P149" s="2387"/>
      <c r="Q149" s="2387"/>
      <c r="R149" s="2389"/>
    </row>
    <row r="150" spans="2:18" s="2362" customFormat="1">
      <c r="B150" s="2387"/>
      <c r="C150" s="2387"/>
      <c r="D150" s="2387"/>
      <c r="E150" s="2387"/>
      <c r="F150" s="2387"/>
      <c r="G150" s="2388"/>
      <c r="H150" s="2387"/>
      <c r="I150" s="2388"/>
      <c r="J150" s="2387"/>
      <c r="K150" s="2387"/>
      <c r="L150" s="2388"/>
      <c r="M150" s="2387"/>
      <c r="N150" s="2387"/>
      <c r="O150" s="2388"/>
      <c r="P150" s="2387"/>
      <c r="Q150" s="2387"/>
      <c r="R150" s="2389"/>
    </row>
    <row r="151" spans="2:18" s="2362" customFormat="1">
      <c r="B151" s="2387"/>
      <c r="C151" s="2387"/>
      <c r="D151" s="2387"/>
      <c r="E151" s="2387"/>
      <c r="F151" s="2387"/>
      <c r="G151" s="2388"/>
      <c r="H151" s="2387"/>
      <c r="I151" s="2388"/>
      <c r="J151" s="2387"/>
      <c r="K151" s="2387"/>
      <c r="L151" s="2388"/>
      <c r="M151" s="2387"/>
      <c r="N151" s="2387"/>
      <c r="O151" s="2388"/>
      <c r="P151" s="2387"/>
      <c r="Q151" s="2387"/>
      <c r="R151" s="2389"/>
    </row>
    <row r="152" spans="2:18" s="2362" customFormat="1">
      <c r="B152" s="2387"/>
      <c r="C152" s="2387"/>
      <c r="D152" s="2387"/>
      <c r="E152" s="2387"/>
      <c r="F152" s="2387"/>
      <c r="G152" s="2388"/>
      <c r="H152" s="2387"/>
      <c r="I152" s="2388"/>
      <c r="J152" s="2387"/>
      <c r="K152" s="2387"/>
      <c r="L152" s="2388"/>
      <c r="M152" s="2387"/>
      <c r="N152" s="2387"/>
      <c r="O152" s="2388"/>
      <c r="P152" s="2387"/>
      <c r="Q152" s="2387"/>
      <c r="R152" s="2389"/>
    </row>
    <row r="153" spans="2:18" s="2362" customFormat="1">
      <c r="B153" s="2387"/>
      <c r="C153" s="2387"/>
      <c r="D153" s="2387"/>
      <c r="E153" s="2387"/>
      <c r="F153" s="2387"/>
      <c r="G153" s="2388"/>
      <c r="H153" s="2387"/>
      <c r="I153" s="2388"/>
      <c r="J153" s="2387"/>
      <c r="K153" s="2387"/>
      <c r="L153" s="2388"/>
      <c r="M153" s="2387"/>
      <c r="N153" s="2387"/>
      <c r="O153" s="2388"/>
      <c r="P153" s="2387"/>
      <c r="Q153" s="2387"/>
      <c r="R153" s="2389"/>
    </row>
    <row r="154" spans="2:18" s="2362" customFormat="1">
      <c r="B154" s="2387"/>
      <c r="C154" s="2387"/>
      <c r="D154" s="2387"/>
      <c r="E154" s="2387"/>
      <c r="F154" s="2387"/>
      <c r="G154" s="2388"/>
      <c r="H154" s="2387"/>
      <c r="I154" s="2388"/>
      <c r="J154" s="2387"/>
      <c r="K154" s="2387"/>
      <c r="L154" s="2388"/>
      <c r="M154" s="2387"/>
      <c r="N154" s="2387"/>
      <c r="O154" s="2388"/>
      <c r="P154" s="2387"/>
      <c r="Q154" s="2387"/>
      <c r="R154" s="2389"/>
    </row>
    <row r="155" spans="2:18" s="2362" customFormat="1">
      <c r="B155" s="2387"/>
      <c r="C155" s="2387"/>
      <c r="D155" s="2387"/>
      <c r="E155" s="2387"/>
      <c r="F155" s="2387"/>
      <c r="G155" s="2388"/>
      <c r="H155" s="2387"/>
      <c r="I155" s="2388"/>
      <c r="J155" s="2387"/>
      <c r="K155" s="2387"/>
      <c r="L155" s="2388"/>
      <c r="M155" s="2387"/>
      <c r="N155" s="2387"/>
      <c r="O155" s="2388"/>
      <c r="P155" s="2387"/>
      <c r="Q155" s="2387"/>
      <c r="R155" s="2389"/>
    </row>
    <row r="156" spans="2:18" s="2362" customFormat="1">
      <c r="B156" s="2387"/>
      <c r="C156" s="2387"/>
      <c r="D156" s="2387"/>
      <c r="E156" s="2387"/>
      <c r="F156" s="2387"/>
      <c r="G156" s="2388"/>
      <c r="H156" s="2387"/>
      <c r="I156" s="2388"/>
      <c r="J156" s="2387"/>
      <c r="K156" s="2387"/>
      <c r="L156" s="2388"/>
      <c r="M156" s="2387"/>
      <c r="N156" s="2387"/>
      <c r="O156" s="2388"/>
      <c r="P156" s="2387"/>
      <c r="Q156" s="2387"/>
      <c r="R156" s="2389"/>
    </row>
    <row r="157" spans="2:18" s="2362" customFormat="1">
      <c r="B157" s="2387"/>
      <c r="C157" s="2387"/>
      <c r="D157" s="2387"/>
      <c r="E157" s="2387"/>
      <c r="F157" s="2387"/>
      <c r="G157" s="2388"/>
      <c r="H157" s="2387"/>
      <c r="I157" s="2388"/>
      <c r="J157" s="2387"/>
      <c r="K157" s="2387"/>
      <c r="L157" s="2388"/>
      <c r="M157" s="2387"/>
      <c r="N157" s="2387"/>
      <c r="O157" s="2388"/>
      <c r="P157" s="2387"/>
      <c r="Q157" s="2387"/>
      <c r="R157" s="2389"/>
    </row>
    <row r="158" spans="2:18" s="2362" customFormat="1">
      <c r="B158" s="2387"/>
      <c r="C158" s="2387"/>
      <c r="D158" s="2387"/>
      <c r="E158" s="2387"/>
      <c r="F158" s="2387"/>
      <c r="G158" s="2388"/>
      <c r="H158" s="2387"/>
      <c r="I158" s="2388"/>
      <c r="J158" s="2387"/>
      <c r="K158" s="2387"/>
      <c r="L158" s="2388"/>
      <c r="M158" s="2387"/>
      <c r="N158" s="2387"/>
      <c r="O158" s="2388"/>
      <c r="P158" s="2387"/>
      <c r="Q158" s="2387"/>
      <c r="R158" s="2389"/>
    </row>
    <row r="159" spans="2:18" s="2362" customFormat="1">
      <c r="B159" s="2387"/>
      <c r="C159" s="2387"/>
      <c r="D159" s="2387"/>
      <c r="E159" s="2387"/>
      <c r="F159" s="2387"/>
      <c r="G159" s="2388"/>
      <c r="H159" s="2387"/>
      <c r="I159" s="2388"/>
      <c r="J159" s="2387"/>
      <c r="K159" s="2387"/>
      <c r="L159" s="2388"/>
      <c r="M159" s="2387"/>
      <c r="N159" s="2387"/>
      <c r="O159" s="2388"/>
      <c r="P159" s="2387"/>
      <c r="Q159" s="2387"/>
      <c r="R159" s="2389"/>
    </row>
    <row r="160" spans="2:18" s="2362" customFormat="1">
      <c r="B160" s="2387"/>
      <c r="C160" s="2387"/>
      <c r="D160" s="2387"/>
      <c r="E160" s="2387"/>
      <c r="F160" s="2387"/>
      <c r="G160" s="2388"/>
      <c r="H160" s="2387"/>
      <c r="I160" s="2388"/>
      <c r="J160" s="2387"/>
      <c r="K160" s="2387"/>
      <c r="L160" s="2388"/>
      <c r="M160" s="2387"/>
      <c r="N160" s="2387"/>
      <c r="O160" s="2388"/>
      <c r="P160" s="2387"/>
      <c r="Q160" s="2387"/>
      <c r="R160" s="2389"/>
    </row>
    <row r="161" spans="2:18" s="2362" customFormat="1">
      <c r="B161" s="2387"/>
      <c r="C161" s="2387"/>
      <c r="D161" s="2387"/>
      <c r="E161" s="2387"/>
      <c r="F161" s="2387"/>
      <c r="G161" s="2388"/>
      <c r="H161" s="2387"/>
      <c r="I161" s="2388"/>
      <c r="J161" s="2387"/>
      <c r="K161" s="2387"/>
      <c r="L161" s="2388"/>
      <c r="M161" s="2387"/>
      <c r="N161" s="2387"/>
      <c r="O161" s="2388"/>
      <c r="P161" s="2387"/>
      <c r="Q161" s="2387"/>
      <c r="R161" s="2389"/>
    </row>
    <row r="162" spans="2:18" s="2362" customFormat="1">
      <c r="B162" s="2387"/>
      <c r="C162" s="2387"/>
      <c r="D162" s="2387"/>
      <c r="E162" s="2387"/>
      <c r="F162" s="2387"/>
      <c r="G162" s="2388"/>
      <c r="H162" s="2387"/>
      <c r="I162" s="2388"/>
      <c r="J162" s="2387"/>
      <c r="K162" s="2387"/>
      <c r="L162" s="2388"/>
      <c r="M162" s="2387"/>
      <c r="N162" s="2387"/>
      <c r="O162" s="2388"/>
      <c r="P162" s="2387"/>
      <c r="Q162" s="2387"/>
      <c r="R162" s="2389"/>
    </row>
    <row r="163" spans="2:18" s="2362" customFormat="1">
      <c r="B163" s="2387"/>
      <c r="C163" s="2387"/>
      <c r="D163" s="2387"/>
      <c r="E163" s="2387"/>
      <c r="F163" s="2387"/>
      <c r="G163" s="2388"/>
      <c r="H163" s="2387"/>
      <c r="I163" s="2388"/>
      <c r="J163" s="2387"/>
      <c r="K163" s="2387"/>
      <c r="L163" s="2388"/>
      <c r="M163" s="2387"/>
      <c r="N163" s="2387"/>
      <c r="O163" s="2388"/>
      <c r="P163" s="2387"/>
      <c r="Q163" s="2387"/>
      <c r="R163" s="2389"/>
    </row>
    <row r="164" spans="2:18" s="2362" customFormat="1">
      <c r="B164" s="2387"/>
      <c r="C164" s="2387"/>
      <c r="D164" s="2387"/>
      <c r="E164" s="2387"/>
      <c r="F164" s="2387"/>
      <c r="G164" s="2388"/>
      <c r="H164" s="2387"/>
      <c r="I164" s="2388"/>
      <c r="J164" s="2387"/>
      <c r="K164" s="2387"/>
      <c r="L164" s="2388"/>
      <c r="M164" s="2387"/>
      <c r="N164" s="2387"/>
      <c r="O164" s="2388"/>
      <c r="P164" s="2387"/>
      <c r="Q164" s="2387"/>
      <c r="R164" s="2389"/>
    </row>
    <row r="165" spans="2:18" s="2362" customFormat="1">
      <c r="B165" s="2387"/>
      <c r="C165" s="2387"/>
      <c r="D165" s="2387"/>
      <c r="E165" s="2387"/>
      <c r="F165" s="2387"/>
      <c r="G165" s="2388"/>
      <c r="H165" s="2387"/>
      <c r="I165" s="2388"/>
      <c r="J165" s="2387"/>
      <c r="K165" s="2387"/>
      <c r="L165" s="2388"/>
      <c r="M165" s="2387"/>
      <c r="N165" s="2387"/>
      <c r="O165" s="2388"/>
      <c r="P165" s="2387"/>
      <c r="Q165" s="2387"/>
      <c r="R165" s="2389"/>
    </row>
    <row r="166" spans="2:18" s="2362" customFormat="1">
      <c r="B166" s="2387"/>
      <c r="C166" s="2387"/>
      <c r="D166" s="2387"/>
      <c r="E166" s="2387"/>
      <c r="F166" s="2387"/>
      <c r="G166" s="2388"/>
      <c r="H166" s="2387"/>
      <c r="I166" s="2388"/>
      <c r="J166" s="2387"/>
      <c r="K166" s="2387"/>
      <c r="L166" s="2388"/>
      <c r="M166" s="2387"/>
      <c r="N166" s="2387"/>
      <c r="O166" s="2388"/>
      <c r="P166" s="2387"/>
      <c r="Q166" s="2387"/>
      <c r="R166" s="2389"/>
    </row>
    <row r="167" spans="2:18" s="2362" customFormat="1">
      <c r="B167" s="2387"/>
      <c r="C167" s="2387"/>
      <c r="D167" s="2387"/>
      <c r="E167" s="2387"/>
      <c r="F167" s="2387"/>
      <c r="G167" s="2388"/>
      <c r="H167" s="2387"/>
      <c r="I167" s="2388"/>
      <c r="J167" s="2387"/>
      <c r="K167" s="2387"/>
      <c r="L167" s="2388"/>
      <c r="M167" s="2387"/>
      <c r="N167" s="2387"/>
      <c r="O167" s="2388"/>
      <c r="P167" s="2387"/>
      <c r="Q167" s="2387"/>
      <c r="R167" s="2389"/>
    </row>
    <row r="168" spans="2:18" s="2362" customFormat="1">
      <c r="B168" s="2387"/>
      <c r="C168" s="2387"/>
      <c r="D168" s="2387"/>
      <c r="E168" s="2387"/>
      <c r="F168" s="2387"/>
      <c r="G168" s="2388"/>
      <c r="H168" s="2387"/>
      <c r="I168" s="2388"/>
      <c r="J168" s="2387"/>
      <c r="K168" s="2387"/>
      <c r="L168" s="2388"/>
      <c r="M168" s="2387"/>
      <c r="N168" s="2387"/>
      <c r="O168" s="2388"/>
      <c r="P168" s="2387"/>
      <c r="Q168" s="2387"/>
      <c r="R168" s="2389"/>
    </row>
    <row r="169" spans="2:18" s="2362" customFormat="1">
      <c r="B169" s="2387"/>
      <c r="C169" s="2387"/>
      <c r="D169" s="2387"/>
      <c r="E169" s="2387"/>
      <c r="F169" s="2387"/>
      <c r="G169" s="2388"/>
      <c r="H169" s="2387"/>
      <c r="I169" s="2388"/>
      <c r="J169" s="2387"/>
      <c r="K169" s="2387"/>
      <c r="L169" s="2388"/>
      <c r="M169" s="2387"/>
      <c r="N169" s="2387"/>
      <c r="O169" s="2388"/>
      <c r="P169" s="2387"/>
      <c r="Q169" s="2387"/>
      <c r="R169" s="2389"/>
    </row>
    <row r="170" spans="2:18" s="2362" customFormat="1">
      <c r="B170" s="2387"/>
      <c r="C170" s="2387"/>
      <c r="D170" s="2387"/>
      <c r="E170" s="2387"/>
      <c r="F170" s="2387"/>
      <c r="G170" s="2388"/>
      <c r="H170" s="2387"/>
      <c r="I170" s="2388"/>
      <c r="J170" s="2387"/>
      <c r="K170" s="2387"/>
      <c r="L170" s="2388"/>
      <c r="M170" s="2387"/>
      <c r="N170" s="2387"/>
      <c r="O170" s="2388"/>
      <c r="P170" s="2387"/>
      <c r="Q170" s="2387"/>
      <c r="R170" s="2389"/>
    </row>
    <row r="171" spans="2:18" s="2362" customFormat="1">
      <c r="B171" s="2387"/>
      <c r="C171" s="2387"/>
      <c r="D171" s="2387"/>
      <c r="E171" s="2387"/>
      <c r="F171" s="2387"/>
      <c r="G171" s="2388"/>
      <c r="H171" s="2387"/>
      <c r="I171" s="2388"/>
      <c r="J171" s="2387"/>
      <c r="K171" s="2387"/>
      <c r="L171" s="2388"/>
      <c r="M171" s="2387"/>
      <c r="N171" s="2387"/>
      <c r="O171" s="2388"/>
      <c r="P171" s="2387"/>
      <c r="Q171" s="2387"/>
      <c r="R171" s="2389"/>
    </row>
    <row r="172" spans="2:18" s="2362" customFormat="1">
      <c r="B172" s="2387"/>
      <c r="C172" s="2387"/>
      <c r="D172" s="2387"/>
      <c r="E172" s="2387"/>
      <c r="F172" s="2387"/>
      <c r="G172" s="2388"/>
      <c r="H172" s="2387"/>
      <c r="I172" s="2388"/>
      <c r="J172" s="2387"/>
      <c r="K172" s="2387"/>
      <c r="L172" s="2388"/>
      <c r="M172" s="2387"/>
      <c r="N172" s="2387"/>
      <c r="O172" s="2388"/>
      <c r="P172" s="2387"/>
      <c r="Q172" s="2387"/>
      <c r="R172" s="2389"/>
    </row>
    <row r="173" spans="2:18" s="2362" customFormat="1">
      <c r="B173" s="2387"/>
      <c r="C173" s="2387"/>
      <c r="D173" s="2387"/>
      <c r="E173" s="2387"/>
      <c r="F173" s="2387"/>
      <c r="G173" s="2388"/>
      <c r="H173" s="2387"/>
      <c r="I173" s="2388"/>
      <c r="J173" s="2387"/>
      <c r="K173" s="2387"/>
      <c r="L173" s="2388"/>
      <c r="M173" s="2387"/>
      <c r="N173" s="2387"/>
      <c r="O173" s="2388"/>
      <c r="P173" s="2387"/>
      <c r="Q173" s="2387"/>
      <c r="R173" s="2389"/>
    </row>
    <row r="174" spans="2:18" s="2362" customFormat="1">
      <c r="B174" s="2387"/>
      <c r="C174" s="2387"/>
      <c r="D174" s="2387"/>
      <c r="E174" s="2387"/>
      <c r="F174" s="2387"/>
      <c r="G174" s="2388"/>
      <c r="H174" s="2387"/>
      <c r="I174" s="2388"/>
      <c r="J174" s="2387"/>
      <c r="K174" s="2387"/>
      <c r="L174" s="2388"/>
      <c r="M174" s="2387"/>
      <c r="N174" s="2387"/>
      <c r="O174" s="2388"/>
      <c r="P174" s="2387"/>
      <c r="Q174" s="2387"/>
      <c r="R174" s="2389"/>
    </row>
    <row r="175" spans="2:18" s="2362" customFormat="1">
      <c r="B175" s="2387"/>
      <c r="C175" s="2387"/>
      <c r="D175" s="2387"/>
      <c r="E175" s="2387"/>
      <c r="F175" s="2387"/>
      <c r="G175" s="2388"/>
      <c r="H175" s="2387"/>
      <c r="I175" s="2388"/>
      <c r="J175" s="2387"/>
      <c r="K175" s="2387"/>
      <c r="L175" s="2388"/>
      <c r="M175" s="2387"/>
      <c r="N175" s="2387"/>
      <c r="O175" s="2388"/>
      <c r="P175" s="2387"/>
      <c r="Q175" s="2387"/>
      <c r="R175" s="2389"/>
    </row>
    <row r="176" spans="2:18" s="2362" customFormat="1">
      <c r="B176" s="2387"/>
      <c r="C176" s="2387"/>
      <c r="D176" s="2387"/>
      <c r="E176" s="2387"/>
      <c r="F176" s="2387"/>
      <c r="G176" s="2388"/>
      <c r="H176" s="2387"/>
      <c r="I176" s="2388"/>
      <c r="J176" s="2387"/>
      <c r="K176" s="2387"/>
      <c r="L176" s="2388"/>
      <c r="M176" s="2387"/>
      <c r="N176" s="2387"/>
      <c r="O176" s="2388"/>
      <c r="P176" s="2387"/>
      <c r="Q176" s="2387"/>
      <c r="R176" s="2389"/>
    </row>
    <row r="177" spans="1:18" s="2362" customFormat="1">
      <c r="B177" s="2387"/>
      <c r="C177" s="2387"/>
      <c r="D177" s="2387"/>
      <c r="E177" s="2387"/>
      <c r="F177" s="2387"/>
      <c r="G177" s="2388"/>
      <c r="H177" s="2387"/>
      <c r="I177" s="2388"/>
      <c r="J177" s="2387"/>
      <c r="K177" s="2387"/>
      <c r="L177" s="2388"/>
      <c r="M177" s="2387"/>
      <c r="N177" s="2387"/>
      <c r="O177" s="2388"/>
      <c r="P177" s="2387"/>
      <c r="Q177" s="2387"/>
      <c r="R177" s="2389"/>
    </row>
    <row r="178" spans="1:18" s="2362" customFormat="1">
      <c r="B178" s="2387"/>
      <c r="C178" s="2387"/>
      <c r="D178" s="2387"/>
      <c r="E178" s="2387"/>
      <c r="F178" s="2387"/>
      <c r="G178" s="2388"/>
      <c r="H178" s="2387"/>
      <c r="I178" s="2388"/>
      <c r="J178" s="2387"/>
      <c r="K178" s="2387"/>
      <c r="L178" s="2388"/>
      <c r="M178" s="2387"/>
      <c r="N178" s="2387"/>
      <c r="O178" s="2388"/>
      <c r="P178" s="2387"/>
      <c r="Q178" s="2387"/>
      <c r="R178" s="2389"/>
    </row>
    <row r="179" spans="1:18" s="2362" customFormat="1">
      <c r="B179" s="2387"/>
      <c r="C179" s="2387"/>
      <c r="D179" s="2387"/>
      <c r="E179" s="2387"/>
      <c r="F179" s="2387"/>
      <c r="G179" s="2388"/>
      <c r="H179" s="2387"/>
      <c r="I179" s="2388"/>
      <c r="J179" s="2387"/>
      <c r="K179" s="2387"/>
      <c r="L179" s="2388"/>
      <c r="M179" s="2387"/>
      <c r="N179" s="2387"/>
      <c r="O179" s="2388"/>
      <c r="P179" s="2387"/>
      <c r="Q179" s="2387"/>
      <c r="R179" s="2389"/>
    </row>
    <row r="180" spans="1:18" s="2362" customFormat="1">
      <c r="B180" s="2387"/>
      <c r="C180" s="2387"/>
      <c r="D180" s="2387"/>
      <c r="E180" s="2387"/>
      <c r="F180" s="2387"/>
      <c r="G180" s="2388"/>
      <c r="H180" s="2387"/>
      <c r="I180" s="2388"/>
      <c r="J180" s="2387"/>
      <c r="K180" s="2387"/>
      <c r="L180" s="2388"/>
      <c r="M180" s="2387"/>
      <c r="N180" s="2387"/>
      <c r="O180" s="2388"/>
      <c r="P180" s="2387"/>
      <c r="Q180" s="2387"/>
      <c r="R180" s="2389"/>
    </row>
    <row r="181" spans="1:18" s="2362" customFormat="1">
      <c r="B181" s="2387"/>
      <c r="C181" s="2387"/>
      <c r="D181" s="2387"/>
      <c r="E181" s="2387"/>
      <c r="F181" s="2387"/>
      <c r="G181" s="2388"/>
      <c r="H181" s="2387"/>
      <c r="I181" s="2388"/>
      <c r="J181" s="2387"/>
      <c r="K181" s="2387"/>
      <c r="L181" s="2388"/>
      <c r="M181" s="2387"/>
      <c r="N181" s="2387"/>
      <c r="O181" s="2388"/>
      <c r="P181" s="2387"/>
      <c r="Q181" s="2387"/>
      <c r="R181" s="2389"/>
    </row>
    <row r="182" spans="1:18" s="2362" customFormat="1">
      <c r="B182" s="2387"/>
      <c r="C182" s="2387"/>
      <c r="D182" s="2387"/>
      <c r="E182" s="2387"/>
      <c r="F182" s="2387"/>
      <c r="G182" s="2388"/>
      <c r="H182" s="2387"/>
      <c r="I182" s="2388"/>
      <c r="J182" s="2387"/>
      <c r="K182" s="2387"/>
      <c r="L182" s="2388"/>
      <c r="M182" s="2387"/>
      <c r="N182" s="2387"/>
      <c r="O182" s="2388"/>
      <c r="P182" s="2387"/>
      <c r="Q182" s="2387"/>
      <c r="R182" s="2389"/>
    </row>
    <row r="183" spans="1:18" s="2362" customFormat="1">
      <c r="B183" s="2387"/>
      <c r="C183" s="2387"/>
      <c r="D183" s="2387"/>
      <c r="E183" s="2387"/>
      <c r="F183" s="2387"/>
      <c r="G183" s="2388"/>
      <c r="H183" s="2387"/>
      <c r="I183" s="2388"/>
      <c r="J183" s="2387"/>
      <c r="K183" s="2387"/>
      <c r="L183" s="2388"/>
      <c r="M183" s="2387"/>
      <c r="N183" s="2387"/>
      <c r="O183" s="2388"/>
      <c r="P183" s="2387"/>
      <c r="Q183" s="2387"/>
      <c r="R183" s="2389"/>
    </row>
    <row r="184" spans="1:18" s="2362" customFormat="1">
      <c r="B184" s="2387"/>
      <c r="C184" s="2387"/>
      <c r="D184" s="2387"/>
      <c r="E184" s="2387"/>
      <c r="F184" s="2387"/>
      <c r="G184" s="2388"/>
      <c r="H184" s="2387"/>
      <c r="I184" s="2388"/>
      <c r="J184" s="2387"/>
      <c r="K184" s="2387"/>
      <c r="L184" s="2388"/>
      <c r="M184" s="2387"/>
      <c r="N184" s="2387"/>
      <c r="O184" s="2388"/>
      <c r="P184" s="2387"/>
      <c r="Q184" s="2387"/>
      <c r="R184" s="2389"/>
    </row>
    <row r="185" spans="1:18" s="2362"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2"/>
      <c r="B186" s="2387"/>
      <c r="C186" s="2387"/>
      <c r="E186" s="2387"/>
      <c r="F186" s="2387"/>
      <c r="G186" s="2388"/>
    </row>
    <row r="187" spans="1:18">
      <c r="A187" s="2362"/>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269955.14</v>
      </c>
      <c r="C1" s="1740"/>
      <c r="D1" s="1740"/>
      <c r="E1" s="1740"/>
      <c r="F1" s="1740"/>
      <c r="G1" s="1738"/>
    </row>
    <row r="2" spans="1:10" ht="16.5">
      <c r="A2" s="1741" t="s">
        <v>1348</v>
      </c>
      <c r="B2" s="1741">
        <f>SUM(C14:C23)</f>
        <v>102537.74</v>
      </c>
      <c r="C2" s="1740"/>
      <c r="D2" s="1740"/>
      <c r="E2" s="1740"/>
      <c r="F2" s="1740"/>
      <c r="G2" s="1738"/>
    </row>
    <row r="3" spans="1:10" ht="16.5">
      <c r="A3" s="1741" t="s">
        <v>1357</v>
      </c>
      <c r="B3" s="1742">
        <f>项目基本情况!D3</f>
        <v>43493</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77995</v>
      </c>
      <c r="C5" s="1741">
        <f ca="1">ROUND(B5*10000/$B$1,0)</f>
        <v>2889</v>
      </c>
      <c r="D5" s="1741">
        <f ca="1">ROUND(B5*10000/$B$2,0)</f>
        <v>7606</v>
      </c>
      <c r="E5" s="1740"/>
      <c r="F5" s="1738"/>
      <c r="G5" s="1738"/>
    </row>
    <row r="6" spans="1:10" ht="16.5">
      <c r="A6" s="1741" t="s">
        <v>1351</v>
      </c>
      <c r="B6" s="1741">
        <f ca="1">SUM(G14:G23)</f>
        <v>77995</v>
      </c>
      <c r="C6" s="1741">
        <f ca="1">ROUND(B6*10000/$B$1,0)</f>
        <v>2889</v>
      </c>
      <c r="D6" s="1741">
        <f ca="1">ROUND(B6*10000/$B$2,0)</f>
        <v>7606</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269955.14</v>
      </c>
      <c r="C14" s="1739">
        <f>结果表!C118</f>
        <v>102537.74</v>
      </c>
      <c r="D14" s="1739">
        <f ca="1">结果表!H118</f>
        <v>77995</v>
      </c>
      <c r="E14" s="1739">
        <f ca="1">ROUND(D14*10000/B14,0)</f>
        <v>2889</v>
      </c>
      <c r="F14" s="1739">
        <f ca="1">ROUND(D14*10000/C14,0)</f>
        <v>7606</v>
      </c>
      <c r="G14" s="1739">
        <f ca="1">结果表!D122</f>
        <v>77995</v>
      </c>
      <c r="H14" s="1739" t="str">
        <f>结果表!D124</f>
        <v>——</v>
      </c>
      <c r="I14" s="1739" t="str">
        <f>结果表!D126</f>
        <v>——</v>
      </c>
      <c r="J14" s="1738"/>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9" t="s">
        <v>2112</v>
      </c>
      <c r="B1" s="2410"/>
      <c r="C1" s="2411"/>
      <c r="D1" s="2410"/>
      <c r="E1" s="2410"/>
      <c r="F1" s="2412" t="s">
        <v>2113</v>
      </c>
      <c r="G1" s="2064" t="s">
        <v>2114</v>
      </c>
      <c r="H1" s="2413" t="str">
        <f>IF(G1="现房","——","估价对象范围")</f>
        <v>估价对象范围</v>
      </c>
      <c r="I1" s="2414"/>
    </row>
    <row r="2" spans="1:12" ht="21.75" customHeight="1" thickBot="1">
      <c r="A2" s="3189" t="str">
        <f>项目基本情况!S2</f>
        <v>陕西省陕西省西安市泾阳县高庄镇费家崖村香榭庄园项目部分住宅用房出让国有建设用地使用权及在建建筑物房地产</v>
      </c>
      <c r="B2" s="3190"/>
      <c r="C2" s="3190"/>
      <c r="D2" s="3190"/>
      <c r="E2" s="3190"/>
      <c r="F2" s="3190"/>
      <c r="G2" s="3190"/>
      <c r="H2" s="3190"/>
      <c r="I2" s="3191"/>
    </row>
    <row r="3" spans="1:12" ht="12.75">
      <c r="A3" s="3192" t="s">
        <v>2115</v>
      </c>
      <c r="B3" s="3193"/>
      <c r="C3" s="3193"/>
      <c r="D3" s="3193"/>
      <c r="E3" s="3193"/>
      <c r="F3" s="3193"/>
      <c r="G3" s="3193"/>
      <c r="H3" s="3193"/>
      <c r="I3" s="3193"/>
    </row>
    <row r="4" spans="1:12" ht="14.25">
      <c r="A4" s="2417" t="s">
        <v>2116</v>
      </c>
      <c r="B4" s="2418" t="s">
        <v>2117</v>
      </c>
      <c r="C4" s="2419" t="s">
        <v>3273</v>
      </c>
      <c r="D4" s="2419" t="s">
        <v>3274</v>
      </c>
      <c r="E4" s="3173" t="s">
        <v>2118</v>
      </c>
      <c r="F4" s="3186"/>
      <c r="G4" s="3186"/>
      <c r="H4" s="3186"/>
      <c r="I4" s="317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64" t="s">
        <v>2119</v>
      </c>
      <c r="B5" s="3071">
        <v>25</v>
      </c>
      <c r="C5" s="3194"/>
      <c r="D5" s="3182"/>
      <c r="E5" s="138" t="s">
        <v>2120</v>
      </c>
      <c r="F5" s="2421"/>
      <c r="G5" s="2421"/>
      <c r="H5" s="2421"/>
      <c r="I5" s="1829"/>
    </row>
    <row r="6" spans="1:12" ht="12.75">
      <c r="A6" s="3164"/>
      <c r="B6" s="3071"/>
      <c r="C6" s="3196"/>
      <c r="D6" s="3182"/>
      <c r="E6" s="138" t="s">
        <v>2121</v>
      </c>
      <c r="F6" s="2421"/>
      <c r="G6" s="2421"/>
      <c r="H6" s="2421"/>
      <c r="I6" s="1829"/>
    </row>
    <row r="7" spans="1:12" ht="12.75">
      <c r="A7" s="3164"/>
      <c r="B7" s="3071"/>
      <c r="C7" s="3195"/>
      <c r="D7" s="3182"/>
      <c r="E7" s="138" t="s">
        <v>2122</v>
      </c>
      <c r="F7" s="2421"/>
      <c r="G7" s="2421"/>
      <c r="H7" s="2421"/>
      <c r="I7" s="1829"/>
    </row>
    <row r="8" spans="1:12" ht="12.75">
      <c r="A8" s="3164" t="s">
        <v>2123</v>
      </c>
      <c r="B8" s="3071">
        <v>15</v>
      </c>
      <c r="C8" s="3194"/>
      <c r="D8" s="3182"/>
      <c r="E8" s="138" t="s">
        <v>2124</v>
      </c>
      <c r="F8" s="2421"/>
      <c r="G8" s="2421"/>
      <c r="H8" s="2421"/>
      <c r="I8" s="1829"/>
    </row>
    <row r="9" spans="1:12" ht="12.75">
      <c r="A9" s="3164"/>
      <c r="B9" s="3071"/>
      <c r="C9" s="3195"/>
      <c r="D9" s="3182"/>
      <c r="E9" s="138" t="s">
        <v>2125</v>
      </c>
      <c r="F9" s="2421"/>
      <c r="G9" s="2421"/>
      <c r="H9" s="2421"/>
      <c r="I9" s="1829"/>
    </row>
    <row r="10" spans="1:12" ht="12.75">
      <c r="A10" s="3164" t="s">
        <v>2126</v>
      </c>
      <c r="B10" s="3071">
        <v>15</v>
      </c>
      <c r="C10" s="3194"/>
      <c r="D10" s="3182"/>
      <c r="E10" s="138" t="s">
        <v>2127</v>
      </c>
      <c r="F10" s="2421"/>
      <c r="G10" s="2421"/>
      <c r="H10" s="2421"/>
      <c r="I10" s="1829"/>
    </row>
    <row r="11" spans="1:12" ht="12.75">
      <c r="A11" s="3164"/>
      <c r="B11" s="3071"/>
      <c r="C11" s="3195"/>
      <c r="D11" s="3182"/>
      <c r="E11" s="138" t="s">
        <v>2128</v>
      </c>
      <c r="F11" s="2421"/>
      <c r="G11" s="2421"/>
      <c r="H11" s="2421"/>
      <c r="I11" s="1829"/>
    </row>
    <row r="12" spans="1:12" ht="12.75">
      <c r="A12" s="3164" t="s">
        <v>2129</v>
      </c>
      <c r="B12" s="3071">
        <v>15</v>
      </c>
      <c r="C12" s="3194"/>
      <c r="D12" s="3182"/>
      <c r="E12" s="138" t="s">
        <v>2130</v>
      </c>
      <c r="F12" s="2421"/>
      <c r="G12" s="2421"/>
      <c r="H12" s="2421"/>
      <c r="I12" s="1829"/>
    </row>
    <row r="13" spans="1:12" ht="12.75">
      <c r="A13" s="3164"/>
      <c r="B13" s="3071"/>
      <c r="C13" s="3195"/>
      <c r="D13" s="3182"/>
      <c r="E13" s="138" t="s">
        <v>2131</v>
      </c>
      <c r="F13" s="2421"/>
      <c r="G13" s="2421"/>
      <c r="H13" s="2421"/>
      <c r="I13" s="1829"/>
    </row>
    <row r="14" spans="1:12" ht="12.75">
      <c r="A14" s="3164" t="s">
        <v>2132</v>
      </c>
      <c r="B14" s="3071">
        <v>30</v>
      </c>
      <c r="C14" s="3194">
        <v>5</v>
      </c>
      <c r="D14" s="3182">
        <v>5</v>
      </c>
      <c r="E14" s="138" t="s">
        <v>2133</v>
      </c>
      <c r="F14" s="2421"/>
      <c r="G14" s="2421"/>
      <c r="H14" s="2421"/>
      <c r="I14" s="1829"/>
    </row>
    <row r="15" spans="1:12" ht="12.75">
      <c r="A15" s="3164"/>
      <c r="B15" s="3071"/>
      <c r="C15" s="3196"/>
      <c r="D15" s="3182"/>
      <c r="E15" s="138" t="s">
        <v>2134</v>
      </c>
      <c r="F15" s="2421"/>
      <c r="G15" s="2421"/>
      <c r="H15" s="2421"/>
      <c r="I15" s="1829"/>
    </row>
    <row r="16" spans="1:12" ht="12.75">
      <c r="A16" s="3164"/>
      <c r="B16" s="3071"/>
      <c r="C16" s="3195"/>
      <c r="D16" s="3182"/>
      <c r="E16" s="138" t="s">
        <v>2135</v>
      </c>
      <c r="F16" s="2421"/>
      <c r="G16" s="2421"/>
      <c r="H16" s="2421"/>
      <c r="I16" s="1829"/>
    </row>
    <row r="17" spans="1:35" ht="15">
      <c r="A17" s="2422" t="s">
        <v>2136</v>
      </c>
      <c r="B17" s="64"/>
      <c r="C17" s="139">
        <f>SUM(C5:C16)</f>
        <v>5</v>
      </c>
      <c r="D17" s="139">
        <f>SUM(D5:D16)</f>
        <v>5</v>
      </c>
      <c r="E17" s="136"/>
      <c r="F17" s="136"/>
      <c r="G17" s="136"/>
      <c r="H17" s="136"/>
      <c r="I17" s="136"/>
      <c r="K17" s="2420"/>
      <c r="L17" s="2423" t="s">
        <v>2137</v>
      </c>
      <c r="M17" s="2423" t="s">
        <v>2138</v>
      </c>
    </row>
    <row r="18" spans="1:35" ht="15.75" thickBot="1">
      <c r="A18" s="2424" t="s">
        <v>2139</v>
      </c>
      <c r="B18" s="2425"/>
      <c r="C18" s="140">
        <f>ROUND(C17/SUM(C17:D17),2)</f>
        <v>0.5</v>
      </c>
      <c r="D18" s="140">
        <f>1-C18</f>
        <v>0.5</v>
      </c>
      <c r="E18" s="136"/>
      <c r="F18" s="136"/>
      <c r="G18" s="136"/>
      <c r="H18" s="136"/>
      <c r="I18" s="136"/>
      <c r="K18" s="2420" t="s">
        <v>2140</v>
      </c>
      <c r="L18" s="2420">
        <f>IF(C1="",'数据-汇总表'!E3,SUMIF(项目类型,C1,'数据-汇总表'!E17:E26)+SUMIF(项目类型,C1,'数据-汇总表'!I17:I26))</f>
        <v>269955.14</v>
      </c>
      <c r="M18" s="2420">
        <f>IF(C1="",'数据-汇总表'!E3,SUMIF(项目类型,C1,'数据-汇总表'!E17:E26))</f>
        <v>269955.14</v>
      </c>
    </row>
    <row r="19" spans="1:35" ht="15">
      <c r="A19" s="2426" t="s">
        <v>2141</v>
      </c>
      <c r="B19" s="2427" t="s">
        <v>2142</v>
      </c>
      <c r="C19" s="141">
        <f ca="1">SUMIF(INDIRECT("'"&amp;C4&amp;"'"&amp;"!A:A"),结果表!B19,INDIRECT("'"&amp;C4&amp;"'"&amp;"!B:B"))</f>
        <v>78903</v>
      </c>
      <c r="D19" s="142">
        <f ca="1">SUMIF(INDIRECT("'"&amp;D4&amp;"'"&amp;"!A:A"),结果表!B19,INDIRECT("'"&amp;D4&amp;"'"&amp;"!B:B"))</f>
        <v>77086</v>
      </c>
      <c r="E19" s="2426" t="s">
        <v>2143</v>
      </c>
      <c r="F19" s="2427" t="s">
        <v>2142</v>
      </c>
      <c r="G19" s="143">
        <f ca="1">ROUND(C19*$C$18+D19*$D$18,0)</f>
        <v>77995</v>
      </c>
      <c r="H19" s="2428" t="s">
        <v>2144</v>
      </c>
      <c r="I19" s="136"/>
      <c r="K19" s="2420" t="s">
        <v>2145</v>
      </c>
      <c r="L19" s="2420">
        <f>IF(C1="",'数据-汇总表'!D3,SUMIF(项目类型,C1,'数据-汇总表'!D17:D26)+SUMIF(项目类型,C1,'数据-汇总表'!H17:H27))</f>
        <v>102537.74</v>
      </c>
      <c r="M19" s="2420">
        <f>IF(C1="",'数据-汇总表'!D3,SUMIF(项目类型,C1,'数据-汇总表'!D17:D26))</f>
        <v>102537.74</v>
      </c>
    </row>
    <row r="20" spans="1:35" ht="15">
      <c r="A20" s="2429"/>
      <c r="B20" s="1246" t="s">
        <v>2146</v>
      </c>
      <c r="C20" s="144">
        <f ca="1">SUMIF(INDIRECT("'"&amp;C4&amp;"'"&amp;"!A:A"),结果表!B20,INDIRECT("'"&amp;C4&amp;"'"&amp;"!B:B"))</f>
        <v>2923</v>
      </c>
      <c r="D20" s="145">
        <f ca="1">SUMIF(INDIRECT("'"&amp;D4&amp;"'"&amp;"!A:A"),结果表!B20,INDIRECT("'"&amp;D4&amp;"'"&amp;"!B:B"))</f>
        <v>2856</v>
      </c>
      <c r="E20" s="2429"/>
      <c r="F20" s="1246" t="s">
        <v>2146</v>
      </c>
      <c r="G20" s="146">
        <f ca="1">ROUND(C20*$C$18+D20*$D$18,0)</f>
        <v>2890</v>
      </c>
      <c r="H20" s="979" t="s">
        <v>2147</v>
      </c>
      <c r="I20" s="136"/>
    </row>
    <row r="21" spans="1:35" ht="15" customHeight="1" thickBot="1">
      <c r="A21" s="999"/>
      <c r="B21" s="2430" t="s">
        <v>2148</v>
      </c>
      <c r="C21" s="787">
        <f ca="1">ROUND(C19*10000/L19,0)</f>
        <v>7695</v>
      </c>
      <c r="D21" s="788">
        <f ca="1">ROUND(D19*10000/L19,0)</f>
        <v>7518</v>
      </c>
      <c r="E21" s="999"/>
      <c r="F21" s="2430" t="s">
        <v>2148</v>
      </c>
      <c r="G21" s="147">
        <f ca="1">ROUND(G19*10000/L19,0)</f>
        <v>7606</v>
      </c>
      <c r="H21" s="2431" t="s">
        <v>2147</v>
      </c>
      <c r="I21" s="136"/>
    </row>
    <row r="22" spans="1:35" ht="15" thickBot="1">
      <c r="A22" s="2275" t="s">
        <v>2149</v>
      </c>
      <c r="B22" s="2432"/>
      <c r="C22" s="2433"/>
      <c r="D22" s="789">
        <f ca="1">IF(C19&lt;D19,D19/C19-1,C19/D19-1)</f>
        <v>2.3571076460057627E-2</v>
      </c>
      <c r="E22" s="136"/>
      <c r="F22" s="136"/>
      <c r="G22" s="136"/>
      <c r="H22" s="136"/>
      <c r="I22" s="136"/>
    </row>
    <row r="23" spans="1:35" ht="13.5" thickBot="1">
      <c r="A23" s="2410"/>
      <c r="B23" s="2410"/>
      <c r="C23" s="2410"/>
      <c r="D23" s="2410"/>
      <c r="E23" s="136"/>
      <c r="F23" s="136"/>
      <c r="G23" s="136"/>
      <c r="H23" s="136"/>
      <c r="I23" s="136"/>
    </row>
    <row r="24" spans="1:35" ht="14.25">
      <c r="A24" s="3203" t="s">
        <v>2150</v>
      </c>
      <c r="B24" s="2427" t="s">
        <v>2142</v>
      </c>
      <c r="C24" s="143">
        <f>IF(B30=0,0,D30)</f>
        <v>0</v>
      </c>
      <c r="D24" s="2434"/>
      <c r="E24" s="136"/>
      <c r="F24" s="136"/>
      <c r="G24" s="136"/>
      <c r="H24" s="136"/>
      <c r="I24" s="136"/>
    </row>
    <row r="25" spans="1:35" ht="14.25">
      <c r="A25" s="3204"/>
      <c r="B25" s="1246" t="s">
        <v>2146</v>
      </c>
      <c r="C25" s="148">
        <f>IF(B30=0,0,C30)</f>
        <v>0</v>
      </c>
      <c r="D25" s="2435"/>
      <c r="E25" s="136"/>
      <c r="F25" s="136"/>
      <c r="G25" s="136"/>
      <c r="H25" s="136"/>
      <c r="I25" s="136"/>
    </row>
    <row r="26" spans="1:35" ht="13.5" customHeight="1">
      <c r="A26" s="2436" t="s">
        <v>2151</v>
      </c>
      <c r="B26" s="149" t="s">
        <v>2152</v>
      </c>
      <c r="C26" s="149" t="s">
        <v>2153</v>
      </c>
      <c r="D26" s="150" t="s">
        <v>2154</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2155</v>
      </c>
      <c r="B30" s="149"/>
      <c r="C30" s="149"/>
      <c r="D30" s="149"/>
      <c r="E30" s="2914" t="s">
        <v>3031</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2156</v>
      </c>
      <c r="B32" s="2440"/>
      <c r="C32" s="151">
        <f ca="1">IF(D32="总价",G19-C24,G20-C25)</f>
        <v>77995</v>
      </c>
      <c r="D32" s="2441" t="s">
        <v>2157</v>
      </c>
      <c r="E32" s="136"/>
      <c r="F32" s="136"/>
      <c r="G32" s="136"/>
      <c r="H32" s="136"/>
      <c r="I32" s="136"/>
    </row>
    <row r="33" spans="1:15" ht="15">
      <c r="A33" s="956" t="s">
        <v>2158</v>
      </c>
      <c r="B33" s="2442"/>
      <c r="C33" s="2443" t="s">
        <v>3351</v>
      </c>
      <c r="D33" s="2444" t="s">
        <v>3273</v>
      </c>
      <c r="E33" s="2445" t="s">
        <v>2159</v>
      </c>
      <c r="F33" s="2446" t="str">
        <f>IF(D32="楼面单价","取值（单价）","取值（总价）")</f>
        <v>取值（总价）</v>
      </c>
      <c r="G33" s="136"/>
      <c r="H33" s="136"/>
      <c r="I33" s="136"/>
    </row>
    <row r="34" spans="1:15" ht="15">
      <c r="A34" s="2447"/>
      <c r="B34" s="2448" t="s">
        <v>2160</v>
      </c>
      <c r="C34" s="155">
        <f ca="1">IF(C33="自定义",F34,C32-C35)</f>
        <v>75655</v>
      </c>
      <c r="D34" s="1054">
        <f ca="1">IF(C33="自定义",ROUND(C34/C32,3),IF(C33="收益比率",SUMIF(INDIRECT("'"&amp;D33&amp;"'"&amp;"!b:b"),"土地收益比率",INDIRECT("'"&amp;D33&amp;"'"&amp;"!c:c")),SUMIF(INDIRECT("'"&amp;D33&amp;"'"&amp;"!b:b"),"土地成本比率",INDIRECT("'"&amp;D33&amp;"'"&amp;"!c:c"))))</f>
        <v>0.97</v>
      </c>
      <c r="E34" s="2449" t="s">
        <v>2161</v>
      </c>
      <c r="F34" s="1734"/>
      <c r="G34" s="136"/>
      <c r="H34" s="136"/>
      <c r="I34" s="136"/>
    </row>
    <row r="35" spans="1:15" ht="15.75" thickBot="1">
      <c r="A35" s="2450"/>
      <c r="B35" s="2451" t="s">
        <v>2162</v>
      </c>
      <c r="C35" s="1440">
        <f ca="1">IF(C33="自定义",F35,ROUND(C32*D35,0))</f>
        <v>2340</v>
      </c>
      <c r="D35" s="1441">
        <f ca="1">IF(C33="自定义",ROUND(C35/C32,3),IF(C33="收益比率",SUMIF(INDIRECT("'"&amp;D33&amp;"'"&amp;"!b:b"),"建筑物收益比率",INDIRECT("'"&amp;D33&amp;"'"&amp;"!c:c")),SUMIF(INDIRECT("'"&amp;D33&amp;"'"&amp;"!b:b"),"建筑物成本比率",INDIRECT("'"&amp;D33&amp;"'"&amp;"!c:c"))))</f>
        <v>0.03</v>
      </c>
      <c r="E35" s="2452" t="s">
        <v>2163</v>
      </c>
      <c r="F35" s="161"/>
      <c r="G35" s="136"/>
      <c r="H35" s="136"/>
      <c r="I35" s="136"/>
    </row>
    <row r="36" spans="1:15" ht="15.75" thickBot="1">
      <c r="A36" s="3183" t="s">
        <v>2164</v>
      </c>
      <c r="B36" s="2453" t="s">
        <v>2165</v>
      </c>
      <c r="C36" s="152"/>
      <c r="D36" s="2454"/>
      <c r="E36" s="2455"/>
      <c r="F36" s="2456"/>
      <c r="G36" s="136"/>
      <c r="H36" s="136"/>
      <c r="I36" s="136"/>
    </row>
    <row r="37" spans="1:15" ht="15.75" thickBot="1">
      <c r="A37" s="3184"/>
      <c r="B37" s="2261" t="s">
        <v>2166</v>
      </c>
      <c r="C37" s="154"/>
      <c r="D37" s="1391"/>
      <c r="E37" s="1391"/>
      <c r="F37" s="2456"/>
      <c r="G37" s="136"/>
      <c r="H37" s="136"/>
      <c r="I37" s="136"/>
    </row>
    <row r="38" spans="1:15" ht="15.75" thickBot="1">
      <c r="A38" s="3185"/>
      <c r="B38" s="2457" t="s">
        <v>2167</v>
      </c>
      <c r="C38" s="725"/>
      <c r="D38" s="2458" t="s">
        <v>2168</v>
      </c>
      <c r="E38" s="1391"/>
      <c r="F38" s="2456"/>
      <c r="G38" s="136"/>
      <c r="H38" s="136"/>
      <c r="I38" s="136"/>
    </row>
    <row r="39" spans="1:15" ht="15">
      <c r="A39" s="2429" t="s">
        <v>2169</v>
      </c>
      <c r="B39" s="2459" t="s">
        <v>2170</v>
      </c>
      <c r="C39" s="2460" t="s">
        <v>2171</v>
      </c>
      <c r="D39" s="2460" t="s">
        <v>2172</v>
      </c>
      <c r="E39" s="2461" t="s">
        <v>2173</v>
      </c>
      <c r="F39" s="2456"/>
      <c r="G39" s="136"/>
      <c r="H39" s="136"/>
      <c r="I39" s="136"/>
    </row>
    <row r="40" spans="1:15" ht="14.25">
      <c r="A40" s="2462" t="s">
        <v>2174</v>
      </c>
      <c r="B40" s="156"/>
      <c r="C40" s="157"/>
      <c r="D40" s="157"/>
      <c r="E40" s="158"/>
      <c r="F40" s="2456"/>
      <c r="G40" s="136"/>
      <c r="H40" s="136"/>
      <c r="I40" s="136"/>
    </row>
    <row r="41" spans="1:15" ht="14.25">
      <c r="A41" s="2462" t="s">
        <v>2175</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200" t="s">
        <v>2178</v>
      </c>
      <c r="B45" s="3201"/>
      <c r="C45" s="3202"/>
      <c r="D45" s="162">
        <f ca="1">ROUND(H101*F45,0)</f>
        <v>77995</v>
      </c>
      <c r="E45" s="163" t="s">
        <v>2179</v>
      </c>
      <c r="F45" s="164">
        <v>1</v>
      </c>
      <c r="G45" s="165" t="s">
        <v>2180</v>
      </c>
      <c r="H45" s="136"/>
      <c r="I45" s="136"/>
      <c r="J45" s="3119" t="s">
        <v>2181</v>
      </c>
      <c r="K45" s="3119"/>
      <c r="L45" s="3119"/>
      <c r="M45" s="3119"/>
      <c r="N45" s="3119"/>
      <c r="O45" s="3119"/>
    </row>
    <row r="46" spans="1:15" ht="14.25" customHeight="1">
      <c r="A46" s="3197" t="s">
        <v>2182</v>
      </c>
      <c r="B46" s="3198"/>
      <c r="C46" s="3198"/>
      <c r="D46" s="3198"/>
      <c r="E46" s="3198"/>
      <c r="F46" s="3198"/>
      <c r="G46" s="3199"/>
      <c r="H46" s="2472"/>
      <c r="I46" s="166"/>
      <c r="J46" s="1807">
        <v>1</v>
      </c>
      <c r="K46" s="3119" t="s">
        <v>2183</v>
      </c>
      <c r="L46" s="3119"/>
      <c r="M46" s="3120"/>
      <c r="N46" s="3120"/>
      <c r="O46" s="3120"/>
    </row>
    <row r="47" spans="1:15" ht="12" customHeight="1">
      <c r="A47" s="167" t="s">
        <v>2184</v>
      </c>
      <c r="B47" s="168"/>
      <c r="C47" s="169"/>
      <c r="D47" s="170" t="s">
        <v>2185</v>
      </c>
      <c r="E47" s="24" t="s">
        <v>2186</v>
      </c>
      <c r="F47" s="171" t="s">
        <v>2187</v>
      </c>
      <c r="G47" s="172" t="s">
        <v>2188</v>
      </c>
      <c r="H47" s="2472"/>
      <c r="I47" s="166"/>
      <c r="J47" s="1807">
        <v>2</v>
      </c>
      <c r="K47" s="3119" t="s">
        <v>2189</v>
      </c>
      <c r="L47" s="3119"/>
      <c r="M47" s="3121">
        <f>'数据-取费表'!B2</f>
        <v>43493</v>
      </c>
      <c r="N47" s="3121"/>
      <c r="O47" s="3121"/>
    </row>
    <row r="48" spans="1:15" ht="25.5">
      <c r="A48" s="3187" t="s">
        <v>2190</v>
      </c>
      <c r="B48" s="3188"/>
      <c r="C48" s="3188"/>
      <c r="D48" s="138">
        <f>IF(H48="情况1",0,IF(H48="情况2",D52,IF(H48="情况3",D53,IF(H48="情况4",D54))))</f>
        <v>0</v>
      </c>
      <c r="E48" s="1796" t="str">
        <f>IF(H48="情况4","(销售额-原购置价)×税（费）率","销售额×税（费）率")</f>
        <v>销售额×税（费）率</v>
      </c>
      <c r="F48" s="173" t="str">
        <f>IF(H48="情况1","免征",'数据-取费表'!B41)</f>
        <v>免征</v>
      </c>
      <c r="G48" s="2473" t="s">
        <v>2191</v>
      </c>
      <c r="H48" s="2474" t="s">
        <v>2192</v>
      </c>
      <c r="I48" s="2472"/>
      <c r="J48" s="1807">
        <v>3</v>
      </c>
      <c r="K48" s="3119" t="s">
        <v>2193</v>
      </c>
      <c r="L48" s="3119"/>
      <c r="M48" s="3122">
        <f ca="1">H101</f>
        <v>77995</v>
      </c>
      <c r="N48" s="3122"/>
      <c r="O48" s="3122"/>
    </row>
    <row r="49" spans="1:35" ht="25.5" customHeight="1">
      <c r="A49" s="174" t="s">
        <v>2194</v>
      </c>
      <c r="B49" s="3167" t="s">
        <v>2195</v>
      </c>
      <c r="C49" s="3167"/>
      <c r="D49" s="175">
        <v>0</v>
      </c>
      <c r="E49" s="23" t="s">
        <v>2196</v>
      </c>
      <c r="F49" s="28" t="s">
        <v>34</v>
      </c>
      <c r="G49" s="3148"/>
      <c r="H49" s="136"/>
      <c r="I49" s="2475"/>
      <c r="J49" s="1807">
        <v>4</v>
      </c>
      <c r="K49" s="3119" t="str">
        <f>IF(项目基本情况!E8="房地产抵押价值","房地产抵押价值","抵押担保权已注销时的房地产抵押价值")</f>
        <v>房地产抵押价值</v>
      </c>
      <c r="L49" s="3119"/>
      <c r="M49" s="3122">
        <f ca="1">IF(项目基本情况!E8="房地产抵押价值",H107,H109)</f>
        <v>77995</v>
      </c>
      <c r="N49" s="3122"/>
      <c r="O49" s="3122"/>
    </row>
    <row r="50" spans="1:35" ht="25.5" customHeight="1">
      <c r="A50" s="176"/>
      <c r="B50" s="3167" t="s">
        <v>2197</v>
      </c>
      <c r="C50" s="3167"/>
      <c r="D50" s="177"/>
      <c r="E50" s="31"/>
      <c r="F50" s="178"/>
      <c r="G50" s="3149"/>
      <c r="H50" s="136"/>
      <c r="I50" s="2475"/>
      <c r="J50" s="3119" t="s">
        <v>2198</v>
      </c>
      <c r="K50" s="3119"/>
      <c r="L50" s="3119"/>
      <c r="M50" s="3119"/>
      <c r="N50" s="3119"/>
      <c r="O50" s="3119"/>
    </row>
    <row r="51" spans="1:35" ht="12" customHeight="1">
      <c r="A51" s="179"/>
      <c r="B51" s="3167" t="s">
        <v>2199</v>
      </c>
      <c r="C51" s="3167"/>
      <c r="D51" s="180"/>
      <c r="E51" s="30"/>
      <c r="F51" s="178"/>
      <c r="G51" s="3150"/>
      <c r="H51" s="136"/>
      <c r="I51" s="2475"/>
      <c r="J51" s="2476" t="s">
        <v>2200</v>
      </c>
      <c r="K51" s="3119" t="s">
        <v>2201</v>
      </c>
      <c r="L51" s="3119"/>
      <c r="M51" s="2476" t="s">
        <v>2202</v>
      </c>
      <c r="N51" s="2476" t="s">
        <v>2203</v>
      </c>
      <c r="O51" s="2476" t="s">
        <v>2204</v>
      </c>
    </row>
    <row r="52" spans="1:35" ht="24" customHeight="1">
      <c r="A52" s="181" t="s">
        <v>2205</v>
      </c>
      <c r="B52" s="3167" t="s">
        <v>2206</v>
      </c>
      <c r="C52" s="3167"/>
      <c r="D52" s="180">
        <f ca="1">ROUND(D45*'数据-取费表'!B41/(1+'数据-取费表'!C42),0)</f>
        <v>4085</v>
      </c>
      <c r="E52" s="11" t="s">
        <v>2207</v>
      </c>
      <c r="F52" s="182">
        <f>'数据-取费表'!B41</f>
        <v>5.5000000000000007E-2</v>
      </c>
      <c r="G52" s="2477"/>
      <c r="H52" s="136"/>
      <c r="I52" s="2475"/>
      <c r="J52" s="1807">
        <v>1</v>
      </c>
      <c r="K52" s="3142" t="s">
        <v>2208</v>
      </c>
      <c r="L52" s="3142"/>
      <c r="M52" s="1749">
        <f>D48</f>
        <v>0</v>
      </c>
      <c r="N52" s="1807" t="str">
        <f>E48</f>
        <v>销售额×税（费）率</v>
      </c>
      <c r="O52" s="1750" t="str">
        <f>F48</f>
        <v>免征</v>
      </c>
    </row>
    <row r="53" spans="1:35" ht="12" customHeight="1">
      <c r="A53" s="181" t="s">
        <v>2209</v>
      </c>
      <c r="B53" s="3168" t="s">
        <v>2210</v>
      </c>
      <c r="C53" s="3169"/>
      <c r="D53" s="180">
        <f ca="1">ROUND(D45*'数据-取费表'!B41/(1+'数据-取费表'!C42),0)</f>
        <v>4085</v>
      </c>
      <c r="E53" s="11" t="s">
        <v>2207</v>
      </c>
      <c r="F53" s="182">
        <f>'数据-取费表'!B41</f>
        <v>5.5000000000000007E-2</v>
      </c>
      <c r="G53" s="2477"/>
      <c r="H53" s="136"/>
      <c r="I53" s="2475"/>
      <c r="J53" s="1807">
        <v>2</v>
      </c>
      <c r="K53" s="3142" t="s">
        <v>2211</v>
      </c>
      <c r="L53" s="3142"/>
      <c r="M53" s="1749">
        <f t="shared" ref="M53:O54" ca="1" si="0">D55</f>
        <v>39</v>
      </c>
      <c r="N53" s="1807" t="str">
        <f t="shared" si="0"/>
        <v>销售额×税（费）率</v>
      </c>
      <c r="O53" s="1750">
        <f t="shared" si="0"/>
        <v>5.0000000000000001E-4</v>
      </c>
    </row>
    <row r="54" spans="1:35" ht="12" customHeight="1">
      <c r="A54" s="181" t="s">
        <v>2212</v>
      </c>
      <c r="B54" s="3168" t="s">
        <v>2213</v>
      </c>
      <c r="C54" s="3169"/>
      <c r="D54" s="180">
        <f ca="1">C68</f>
        <v>4085</v>
      </c>
      <c r="E54" s="30" t="s">
        <v>2214</v>
      </c>
      <c r="F54" s="182">
        <f>'数据-取费表'!B41</f>
        <v>5.5000000000000007E-2</v>
      </c>
      <c r="G54" s="2477"/>
      <c r="H54" s="2478"/>
      <c r="I54" s="2475"/>
      <c r="J54" s="1807">
        <v>3</v>
      </c>
      <c r="K54" s="3142" t="s">
        <v>2215</v>
      </c>
      <c r="L54" s="3142"/>
      <c r="M54" s="1749">
        <f t="shared" ca="1" si="0"/>
        <v>44216</v>
      </c>
      <c r="N54" s="1807" t="str">
        <f t="shared" si="0"/>
        <v>增值额×税（费）率</v>
      </c>
      <c r="O54" s="1751" t="str">
        <f t="shared" si="0"/>
        <v>——</v>
      </c>
    </row>
    <row r="55" spans="1:35" ht="24" customHeight="1">
      <c r="A55" s="3206" t="s">
        <v>2216</v>
      </c>
      <c r="B55" s="3188"/>
      <c r="C55" s="3188"/>
      <c r="D55" s="183">
        <f ca="1">IF(H55="个人住宅",0,ROUND(D45*I55,0))</f>
        <v>39</v>
      </c>
      <c r="E55" s="11" t="s">
        <v>2217</v>
      </c>
      <c r="F55" s="182">
        <f>IF(H55="正常",I55,"免征")</f>
        <v>5.0000000000000001E-4</v>
      </c>
      <c r="G55" s="2477"/>
      <c r="H55" s="2474" t="s">
        <v>2218</v>
      </c>
      <c r="I55" s="184">
        <f>'数据-取费表'!B49</f>
        <v>5.0000000000000001E-4</v>
      </c>
      <c r="J55" s="1807" t="str">
        <f>IF(H59="非个人房产","",4)</f>
        <v/>
      </c>
      <c r="K55" s="3142" t="str">
        <f>IF(H59="非个人房产","——","个人所得税")</f>
        <v>——</v>
      </c>
      <c r="L55" s="3142"/>
      <c r="M55" s="1752" t="str">
        <f>D59</f>
        <v>——</v>
      </c>
      <c r="N55" s="1805" t="str">
        <f>E59</f>
        <v>——</v>
      </c>
      <c r="O55" s="1753" t="str">
        <f>F59</f>
        <v>——</v>
      </c>
    </row>
    <row r="56" spans="1:35" ht="24.75">
      <c r="A56" s="3206" t="s">
        <v>2219</v>
      </c>
      <c r="B56" s="3188"/>
      <c r="C56" s="3188"/>
      <c r="D56" s="183">
        <f ca="1">IF(H56="个人住宅",D57,D58)</f>
        <v>44216</v>
      </c>
      <c r="E56" s="11" t="s">
        <v>2220</v>
      </c>
      <c r="F56" s="182" t="str">
        <f>IF(H56="正常",F58,"免征")</f>
        <v>——</v>
      </c>
      <c r="G56" s="2479" t="s">
        <v>2221</v>
      </c>
      <c r="H56" s="2480" t="s">
        <v>2218</v>
      </c>
      <c r="I56" s="2481"/>
      <c r="J56" s="1807"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c r="A57" s="181" t="s">
        <v>2194</v>
      </c>
      <c r="B57" s="3173" t="s">
        <v>2222</v>
      </c>
      <c r="C57" s="3174"/>
      <c r="D57" s="185">
        <v>0</v>
      </c>
      <c r="E57" s="23" t="s">
        <v>2196</v>
      </c>
      <c r="F57" s="153"/>
      <c r="G57" s="2477"/>
      <c r="H57" s="2481"/>
      <c r="I57" s="2481"/>
      <c r="J57" s="3142">
        <f>IF(AND(J55="",J56=""),4,IF(项目基本情况!K6="上海银行",结果表!J56+1,结果表!J55+1))</f>
        <v>4</v>
      </c>
      <c r="K57" s="3142" t="s">
        <v>2223</v>
      </c>
      <c r="L57" s="2482" t="s">
        <v>2224</v>
      </c>
      <c r="M57" s="1754"/>
      <c r="N57" s="1755">
        <f ca="1">SUMIF(M52:M56,"&lt;9e307")</f>
        <v>44255</v>
      </c>
      <c r="O57" s="2483"/>
      <c r="P57" s="1748">
        <f ca="1">N57/M49</f>
        <v>0.56740816719020448</v>
      </c>
    </row>
    <row r="58" spans="1:35" ht="24.75">
      <c r="A58" s="181" t="s">
        <v>2205</v>
      </c>
      <c r="B58" s="3173" t="s">
        <v>2225</v>
      </c>
      <c r="C58" s="3186"/>
      <c r="D58" s="183">
        <f ca="1">IF(H58="转让取得",C81,C97)</f>
        <v>44216</v>
      </c>
      <c r="E58" s="11" t="s">
        <v>2220</v>
      </c>
      <c r="F58" s="24" t="s">
        <v>34</v>
      </c>
      <c r="G58" s="2477"/>
      <c r="H58" s="2480" t="s">
        <v>2226</v>
      </c>
      <c r="I58" s="2481"/>
      <c r="J58" s="3142"/>
      <c r="K58" s="3142"/>
      <c r="L58" s="2482" t="s">
        <v>2227</v>
      </c>
      <c r="M58" s="1756"/>
      <c r="N58" s="2484" t="str">
        <f ca="1">NUMBERSTRING(INT(N57*10000),2)&amp;"元整"</f>
        <v>肆亿肆仟贰佰伍拾伍万元整</v>
      </c>
      <c r="O58" s="2485"/>
    </row>
    <row r="59" spans="1:35" ht="24.75" thickBot="1">
      <c r="A59" s="3146" t="s">
        <v>2228</v>
      </c>
      <c r="B59" s="3147"/>
      <c r="C59" s="3147"/>
      <c r="D59" s="186" t="str">
        <f>IF(H59="非个人房产","——",IF(H59="个人住宅",0,ROUND(D45*I59,0)))</f>
        <v>——</v>
      </c>
      <c r="E59" s="187" t="str">
        <f>IF(H59="非个人房产","——","销售额×税（费）率")</f>
        <v>——</v>
      </c>
      <c r="F59" s="188" t="str">
        <f>IF(H59="非个人房产","——",IF(H59="个人住宅","免征",I59))</f>
        <v>——</v>
      </c>
      <c r="G59" s="2486" t="s">
        <v>2221</v>
      </c>
      <c r="H59" s="2480" t="s">
        <v>2229</v>
      </c>
      <c r="I59" s="189">
        <v>0.01</v>
      </c>
      <c r="J59" s="3144">
        <f>J57+1</f>
        <v>5</v>
      </c>
      <c r="K59" s="3142" t="s">
        <v>2230</v>
      </c>
      <c r="L59" s="1807" t="s">
        <v>2224</v>
      </c>
      <c r="M59" s="1757"/>
      <c r="N59" s="1758">
        <f ca="1">M49-N57</f>
        <v>33740</v>
      </c>
      <c r="O59" s="2487"/>
    </row>
    <row r="60" spans="1:35" ht="12" customHeight="1">
      <c r="A60" s="2488"/>
      <c r="B60" s="2410"/>
      <c r="C60" s="2410"/>
      <c r="D60" s="2410"/>
      <c r="E60" s="2160"/>
      <c r="F60" s="2481"/>
      <c r="G60" s="2481"/>
      <c r="H60" s="2489"/>
      <c r="I60" s="136"/>
      <c r="J60" s="3145"/>
      <c r="K60" s="3142"/>
      <c r="L60" s="2482" t="s">
        <v>2227</v>
      </c>
      <c r="M60" s="1756"/>
      <c r="N60" s="2484" t="str">
        <f ca="1">NUMBERSTRING(INT(N59*10000),2)&amp;"元整"</f>
        <v>叁亿叁仟柒佰肆拾万元整</v>
      </c>
      <c r="O60" s="2485"/>
    </row>
    <row r="61" spans="1:35" ht="13.5" thickBot="1">
      <c r="A61" s="3205" t="s">
        <v>2231</v>
      </c>
      <c r="B61" s="3205"/>
      <c r="C61" s="3205"/>
      <c r="D61" s="3205"/>
      <c r="E61" s="3205"/>
      <c r="F61" s="2481"/>
      <c r="G61" s="2481"/>
      <c r="H61" s="2489"/>
      <c r="I61" s="136"/>
      <c r="J61" s="1807">
        <f>J59+1</f>
        <v>6</v>
      </c>
      <c r="K61" s="3142" t="s">
        <v>2232</v>
      </c>
      <c r="L61" s="3142"/>
      <c r="M61" s="1759"/>
      <c r="N61" s="1760">
        <f ca="1">ROUND(N59*10000/'数据-汇总表'!E3,0)</f>
        <v>1250</v>
      </c>
      <c r="O61" s="2490"/>
    </row>
    <row r="62" spans="1:35" ht="12.75">
      <c r="A62" s="3162" t="s">
        <v>2233</v>
      </c>
      <c r="B62" s="3163"/>
      <c r="C62" s="1799"/>
      <c r="D62" s="1799" t="s">
        <v>2234</v>
      </c>
      <c r="E62" s="190" t="s">
        <v>2235</v>
      </c>
      <c r="F62" s="2481"/>
      <c r="G62" s="2481"/>
      <c r="H62" s="2489"/>
      <c r="I62" s="136"/>
    </row>
    <row r="63" spans="1:35" ht="12.75">
      <c r="A63" s="201" t="s">
        <v>775</v>
      </c>
      <c r="B63" s="191" t="s">
        <v>2236</v>
      </c>
      <c r="C63" s="192">
        <f ca="1">ROUND((C64+C65)/(1+'数据-取费表'!C42),0)</f>
        <v>74281</v>
      </c>
      <c r="D63" s="193"/>
      <c r="E63" s="194"/>
      <c r="F63" s="2481"/>
      <c r="G63" s="2481"/>
      <c r="H63" s="2489"/>
      <c r="I63" s="136"/>
      <c r="J63" s="3127" t="s">
        <v>2237</v>
      </c>
      <c r="K63" s="2491" t="s">
        <v>2238</v>
      </c>
      <c r="L63" s="1747">
        <f ca="1">IF(M49&gt;10000,M49*0.5%,IF(AND(M49&gt;1000,M49&lt;=10000),M49*1%,IF(AND(M49&gt;100,M49&lt;=1000),M49*3%,IF(AND(M49&gt;10,M49&lt;=100),M49*5%,M49*8%))))</f>
        <v>389.97500000000002</v>
      </c>
      <c r="M63" s="24">
        <f ca="1">ROUND(L63,1)</f>
        <v>390</v>
      </c>
      <c r="Z63" s="2415"/>
      <c r="AI63" s="2416"/>
    </row>
    <row r="64" spans="1:35" ht="14.25" customHeight="1">
      <c r="A64" s="195" t="s">
        <v>770</v>
      </c>
      <c r="B64" s="196" t="s">
        <v>2239</v>
      </c>
      <c r="C64" s="197">
        <f ca="1">D45</f>
        <v>77995</v>
      </c>
      <c r="D64" s="198" t="s">
        <v>32</v>
      </c>
      <c r="E64" s="199"/>
      <c r="F64" s="2481"/>
      <c r="G64" s="2481"/>
      <c r="H64" s="2489"/>
      <c r="I64" s="136"/>
      <c r="J64" s="3127"/>
      <c r="K64" s="2491" t="s">
        <v>2240</v>
      </c>
      <c r="L64" s="1747">
        <f ca="1">IF(M49&gt;2000,M49*0.5%,IF(AND(M49&gt;1000,M49&lt;=2000),M49*0.6%,IF(AND(M49&gt;500,M49&lt;=1000),M49*0.7%,IF(AND(M49&gt;200,M49&lt;=500),M49*0.8%,IF(AND(M49&gt;100,M49&lt;=200),M49*0.9%,IF(AND(M49&gt;50,M49&lt;=100),M49*1%,IF(AND(M49&gt;20,M49&lt;=50),M49*1.5%,IF(AND(M49&gt;10,M49&lt;=20),M49*2%,IF(AND(M49&gt;1,M49&lt;=10),M49*2.5%)))))))))</f>
        <v>389.97500000000002</v>
      </c>
      <c r="M64" s="24">
        <f t="shared" ref="M64:M65" ca="1" si="1">ROUND(L64,1)</f>
        <v>390</v>
      </c>
      <c r="N64" s="136" t="s">
        <v>2241</v>
      </c>
      <c r="Z64" s="2415"/>
      <c r="AI64" s="2416"/>
    </row>
    <row r="65" spans="1:35" ht="14.25" customHeight="1">
      <c r="A65" s="195" t="s">
        <v>771</v>
      </c>
      <c r="B65" s="196" t="s">
        <v>2242</v>
      </c>
      <c r="C65" s="200"/>
      <c r="D65" s="198"/>
      <c r="E65" s="199"/>
      <c r="F65" s="2481"/>
      <c r="G65" s="2481"/>
      <c r="H65" s="2489"/>
      <c r="I65" s="136"/>
      <c r="J65" s="3127"/>
      <c r="K65" s="2491" t="s">
        <v>2243</v>
      </c>
      <c r="L65" s="1747">
        <f ca="1">IF(M49&gt;1000,M49*0.1%,IF(AND(M49&gt;500,M49&lt;=1000),M49*0.5%,IF(AND(M49&gt;50,M49&lt;=500),M49*1%,IF(AND(M49&gt;1,M49&lt;=50),M49*1.5%))))</f>
        <v>77.995000000000005</v>
      </c>
      <c r="M65" s="24">
        <f t="shared" ca="1" si="1"/>
        <v>78</v>
      </c>
      <c r="N65" s="136" t="s">
        <v>2241</v>
      </c>
      <c r="Z65" s="2415"/>
      <c r="AI65" s="2416"/>
    </row>
    <row r="66" spans="1:35" ht="14.25" customHeight="1">
      <c r="A66" s="201" t="s">
        <v>772</v>
      </c>
      <c r="B66" s="202" t="s">
        <v>2244</v>
      </c>
      <c r="C66" s="203"/>
      <c r="D66" s="204" t="s">
        <v>32</v>
      </c>
      <c r="E66" s="1771" t="s">
        <v>1366</v>
      </c>
      <c r="F66" s="2481"/>
      <c r="G66" s="2481"/>
      <c r="H66" s="2489"/>
      <c r="I66" s="136"/>
      <c r="J66" s="3127"/>
      <c r="K66" s="2491" t="s">
        <v>2245</v>
      </c>
      <c r="L66" s="1747">
        <f ca="1">M49*0.5%</f>
        <v>389.97500000000002</v>
      </c>
      <c r="M66" s="24">
        <f ca="1">IF(L66&gt;0.5,0.5,ROUND(L66,0))</f>
        <v>0.5</v>
      </c>
      <c r="N66" s="136" t="s">
        <v>2246</v>
      </c>
      <c r="Z66" s="2415"/>
      <c r="AI66" s="2416"/>
    </row>
    <row r="67" spans="1:35" ht="14.25" customHeight="1">
      <c r="A67" s="201" t="s">
        <v>773</v>
      </c>
      <c r="B67" s="202" t="s">
        <v>2247</v>
      </c>
      <c r="C67" s="205">
        <f ca="1">C63-C66</f>
        <v>74281</v>
      </c>
      <c r="D67" s="198" t="s">
        <v>32</v>
      </c>
      <c r="E67" s="199"/>
      <c r="F67" s="2481"/>
      <c r="G67" s="2481"/>
      <c r="H67" s="2489"/>
      <c r="I67" s="136"/>
      <c r="J67" s="3127"/>
      <c r="K67" s="2491" t="s">
        <v>2248</v>
      </c>
      <c r="L67" s="1747">
        <f ca="1">IF(M49&gt;=10000,(8.25+(M49-10000)*0.01%),IF(AND(M49&gt;=8000,M49&lt;10000),(7.85+(M49-8000)*0.02%),IF(AND(M49&gt;=5000,M49&lt;8000),(6.65+(M49-5000)*0.04%),IF(AND(M49&gt;=2000,M49&lt;5000),(4.25+(PM49-2000)*0.08%),IF(AND(M49&gt;=1000,M49&lt;2000),(2.75+(M49-1000)*0.15%),IF(AND(M49&gt;=100,M49&lt;1000),(0.5+(M49-100)*0.25%),IF(AND(M49&gt;0,M49&lt;100),M49*0.5%)))))))</f>
        <v>15.0495</v>
      </c>
      <c r="M67" s="24">
        <f ca="1">ROUND(L67*0.9,1)</f>
        <v>13.5</v>
      </c>
      <c r="Z67" s="2415"/>
      <c r="AI67" s="2416"/>
    </row>
    <row r="68" spans="1:35" ht="14.25" customHeight="1" thickBot="1">
      <c r="A68" s="206" t="s">
        <v>774</v>
      </c>
      <c r="B68" s="207" t="s">
        <v>2249</v>
      </c>
      <c r="C68" s="208">
        <f ca="1">IF(C67&lt;=0,0,ROUND(C67*D68,0))</f>
        <v>4085</v>
      </c>
      <c r="D68" s="209">
        <f>'数据-取费表'!B41</f>
        <v>5.5000000000000007E-2</v>
      </c>
      <c r="E68" s="210"/>
      <c r="F68" s="2481"/>
      <c r="G68" s="2481"/>
      <c r="H68" s="2489"/>
      <c r="I68" s="136"/>
      <c r="J68" s="3127"/>
      <c r="K68" s="2491" t="s">
        <v>2250</v>
      </c>
      <c r="L68" s="1747">
        <f ca="1">IF(M49&gt;10000,M49*0.5%,IF(AND(M49&gt;5000,M49&lt;=10000),M49*1%,IF(AND(M49&gt;1000,M49&lt;=5000),M49*2%,IF(AND(M49&gt;200,M49&lt;=1000),M49*3%,M49*5%))))</f>
        <v>389.97500000000002</v>
      </c>
      <c r="M68" s="24">
        <f ca="1">ROUND(L68,1)</f>
        <v>390</v>
      </c>
      <c r="Z68" s="2415"/>
      <c r="AI68" s="2416"/>
    </row>
    <row r="69" spans="1:35" s="2438" customFormat="1" ht="16.5" customHeight="1">
      <c r="A69" s="2492"/>
      <c r="B69" s="2493"/>
      <c r="C69" s="2494"/>
      <c r="D69" s="2495"/>
      <c r="E69" s="2496"/>
      <c r="F69" s="2160"/>
      <c r="G69" s="2160"/>
      <c r="H69" s="2159"/>
      <c r="I69" s="2410"/>
      <c r="J69" s="3127"/>
      <c r="K69" s="2491" t="s">
        <v>2251</v>
      </c>
      <c r="L69" s="2497"/>
      <c r="M69" s="24">
        <f ca="1">ROUND(SUM(M63:M68),0)</f>
        <v>1262</v>
      </c>
      <c r="N69" s="1748">
        <f ca="1">M69/M49</f>
        <v>1.6180524392589268E-2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171" t="s">
        <v>2252</v>
      </c>
      <c r="B70" s="3172"/>
      <c r="C70" s="3172"/>
      <c r="D70" s="3172"/>
      <c r="E70" s="3172"/>
      <c r="F70" s="3172"/>
      <c r="G70" s="3172"/>
      <c r="H70" s="317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62" t="s">
        <v>2233</v>
      </c>
      <c r="B71" s="3163"/>
      <c r="C71" s="1799"/>
      <c r="D71" s="1799" t="s">
        <v>2234</v>
      </c>
      <c r="E71" s="211" t="s">
        <v>2235</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2253</v>
      </c>
      <c r="C72" s="205">
        <f ca="1">ROUND(D45/(1+'数据-取费表'!C42),0)</f>
        <v>74281</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2254</v>
      </c>
      <c r="C73" s="205">
        <f ca="1">C74+C78</f>
        <v>371</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2255</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2256</v>
      </c>
      <c r="C75" s="216"/>
      <c r="D75" s="198" t="s">
        <v>32</v>
      </c>
      <c r="E75" s="217" t="s">
        <v>2257</v>
      </c>
      <c r="F75" s="2503" t="s">
        <v>2258</v>
      </c>
      <c r="G75" s="217" t="s">
        <v>2259</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2260</v>
      </c>
      <c r="C76" s="198">
        <f>IF(F75="购房发票",ROUND(C75*H75*D76,0),0)</f>
        <v>0</v>
      </c>
      <c r="D76" s="220">
        <v>0.05</v>
      </c>
      <c r="E76" s="3168" t="s">
        <v>2261</v>
      </c>
      <c r="F76" s="3167"/>
      <c r="G76" s="3167"/>
      <c r="H76" s="317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5" t="s">
        <v>2264</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2265</v>
      </c>
      <c r="C78" s="223">
        <f ca="1">ROUND(D45*D78/(1+'数据-取费表'!C42),0)</f>
        <v>371</v>
      </c>
      <c r="D78" s="224">
        <f>'数据-取费表'!B43</f>
        <v>5.000000000000001E-3</v>
      </c>
      <c r="E78" s="3159" t="s">
        <v>2266</v>
      </c>
      <c r="F78" s="3160"/>
      <c r="G78" s="3160"/>
      <c r="H78" s="316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2267</v>
      </c>
      <c r="C79" s="205">
        <f ca="1">C72-C73</f>
        <v>73910</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2268</v>
      </c>
      <c r="C80" s="225">
        <f ca="1">IF(C79&lt;=0,0,C79/C73)</f>
        <v>199.21832884097034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2269</v>
      </c>
      <c r="C81" s="226">
        <f ca="1">ROUND(IF(C79&lt;=0,0,IF(C80&gt;=200%,C79*60%-C73*35%,IF(C80&gt;=100%,C79*50%-C73*15%,IF(C80&gt;=50%,C79*40%-C73*5%,IF(C80&lt;50%,C79*30%,0))))),0)</f>
        <v>44216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71" t="s">
        <v>2270</v>
      </c>
      <c r="B83" s="3172"/>
      <c r="C83" s="3172"/>
      <c r="D83" s="3172"/>
      <c r="E83" s="3172"/>
      <c r="F83" s="3172"/>
      <c r="G83" s="3172"/>
      <c r="H83" s="317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62" t="s">
        <v>2233</v>
      </c>
      <c r="B84" s="3163"/>
      <c r="C84" s="1799"/>
      <c r="D84" s="1799" t="s">
        <v>2234</v>
      </c>
      <c r="E84" s="211" t="s">
        <v>2235</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2253</v>
      </c>
      <c r="C85" s="205">
        <f ca="1">ROUND(D45/(1+'数据-取费表'!C42),0)</f>
        <v>74281</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2254</v>
      </c>
      <c r="C86" s="205">
        <f ca="1">IF(H88="仅含出让金",C87+C90+C91+C92+C93+C94,C87+C91+C92+C93+C94)</f>
        <v>371</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2271</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2272</v>
      </c>
      <c r="C88" s="234"/>
      <c r="D88" s="224"/>
      <c r="E88" s="235" t="s">
        <v>2273</v>
      </c>
      <c r="F88" s="1795"/>
      <c r="G88" s="236" t="s">
        <v>2274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2262</v>
      </c>
      <c r="C89" s="223">
        <f>ROUND(C88*D89,0)</f>
        <v>0</v>
      </c>
      <c r="D89" s="224">
        <f>'数据-取费表'!B48+'数据-取费表'!B49</f>
        <v>3.0499999999999999E-2</v>
      </c>
      <c r="E89" s="235" t="s">
        <v>2275</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2276</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2277</v>
      </c>
      <c r="B91" s="196" t="s">
        <v>2278</v>
      </c>
      <c r="C91" s="223">
        <f>IF(H91="——",成本法!C33,I91)</f>
        <v>0</v>
      </c>
      <c r="D91" s="224"/>
      <c r="E91" s="3159" t="s">
        <v>2279</v>
      </c>
      <c r="F91" s="3160"/>
      <c r="G91" s="3160"/>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2281</v>
      </c>
      <c r="B92" s="196" t="s">
        <v>2282</v>
      </c>
      <c r="C92" s="223">
        <f>ROUND((C87+C90+C91)*D92,0)</f>
        <v>0</v>
      </c>
      <c r="D92" s="224">
        <v>0.1</v>
      </c>
      <c r="E92" s="3159" t="s">
        <v>2283</v>
      </c>
      <c r="F92" s="3160"/>
      <c r="G92" s="3160"/>
      <c r="H92" s="316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2284</v>
      </c>
      <c r="B93" s="196" t="s">
        <v>2265</v>
      </c>
      <c r="C93" s="223">
        <f ca="1">ROUND(D45*D93/(1+'数据-取费表'!C42),0)</f>
        <v>371</v>
      </c>
      <c r="D93" s="224">
        <f>'数据-取费表'!B43</f>
        <v>5.000000000000001E-3</v>
      </c>
      <c r="E93" s="3159" t="s">
        <v>2266</v>
      </c>
      <c r="F93" s="3160"/>
      <c r="G93" s="3160"/>
      <c r="H93" s="316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2285</v>
      </c>
      <c r="B94" s="196" t="s">
        <v>2286</v>
      </c>
      <c r="C94" s="234">
        <f>ROUND((C87+C90+C91)*D94,0)</f>
        <v>0</v>
      </c>
      <c r="D94" s="224">
        <v>0.2</v>
      </c>
      <c r="E94" s="3207" t="s">
        <v>2287</v>
      </c>
      <c r="F94" s="3208"/>
      <c r="G94" s="3208"/>
      <c r="H94" s="320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2267</v>
      </c>
      <c r="C95" s="205">
        <f ca="1">ROUND(C85-C86,0)</f>
        <v>73910</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2268</v>
      </c>
      <c r="C96" s="225">
        <f ca="1">IF(C95&lt;=0,0,C95/C86)</f>
        <v>199.21832884097034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2269</v>
      </c>
      <c r="C97" s="226">
        <f ca="1">ROUND(IF(C95&lt;=0,0,IF(C96&gt;=200%,C95*60%-C86*35%,IF(C96&gt;=100%,C95*50%-C86*15%,IF(C96&gt;=50%,C95*40%-C86*5%,IF(C96&lt;50%,C95*30%,0))))),0)</f>
        <v>44216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2288</v>
      </c>
      <c r="B99" s="2410"/>
      <c r="C99" s="2410"/>
      <c r="D99" s="2410"/>
      <c r="E99" s="2160"/>
      <c r="F99" s="2160"/>
      <c r="G99" s="2160"/>
      <c r="H99" s="2159"/>
      <c r="I99" s="136"/>
    </row>
    <row r="100" spans="1:35" ht="18.75" customHeight="1">
      <c r="A100" s="3111" t="s">
        <v>2289</v>
      </c>
      <c r="B100" s="3112"/>
      <c r="C100" s="3112"/>
      <c r="D100" s="3143"/>
      <c r="E100" s="3112" t="s">
        <v>2290</v>
      </c>
      <c r="F100" s="3112"/>
      <c r="G100" s="3112"/>
      <c r="H100" s="3143"/>
      <c r="I100" s="136"/>
    </row>
    <row r="101" spans="1:35" ht="18.75" customHeight="1">
      <c r="A101" s="3151" t="s">
        <v>2291</v>
      </c>
      <c r="B101" s="3152"/>
      <c r="C101" s="734" t="str">
        <f>C4</f>
        <v>成本法</v>
      </c>
      <c r="D101" s="735" t="str">
        <f>D4</f>
        <v>假设开发法</v>
      </c>
      <c r="E101" s="3123" t="s">
        <v>2292</v>
      </c>
      <c r="F101" s="3124"/>
      <c r="G101" s="2512" t="s">
        <v>2293</v>
      </c>
      <c r="H101" s="1044">
        <f ca="1">H118</f>
        <v>77995</v>
      </c>
      <c r="I101" s="136"/>
    </row>
    <row r="102" spans="1:35" ht="18.75" customHeight="1">
      <c r="A102" s="3153" t="s">
        <v>2294</v>
      </c>
      <c r="B102" s="2512" t="s">
        <v>2293</v>
      </c>
      <c r="C102" s="734">
        <f ca="1">C19</f>
        <v>78903</v>
      </c>
      <c r="D102" s="735">
        <f ca="1">D19</f>
        <v>77086</v>
      </c>
      <c r="E102" s="3123"/>
      <c r="F102" s="3124"/>
      <c r="G102" s="2512" t="s">
        <v>2295</v>
      </c>
      <c r="H102" s="369">
        <f ca="1">I118</f>
        <v>2889</v>
      </c>
      <c r="I102" s="136"/>
    </row>
    <row r="103" spans="1:35" ht="42.75" customHeight="1">
      <c r="A103" s="3153"/>
      <c r="B103" s="2512" t="s">
        <v>2295</v>
      </c>
      <c r="C103" s="736">
        <f ca="1">C20</f>
        <v>2923</v>
      </c>
      <c r="D103" s="737">
        <f ca="1">D20</f>
        <v>2856</v>
      </c>
      <c r="E103" s="3117" t="s">
        <v>2296</v>
      </c>
      <c r="F103" s="3118"/>
      <c r="G103" s="2513" t="s">
        <v>2297</v>
      </c>
      <c r="H103" s="1044">
        <f>IF(D36="正常操作",H104+H105+H106,H105+H106)</f>
        <v>0</v>
      </c>
      <c r="I103" s="136"/>
    </row>
    <row r="104" spans="1:35" ht="18.75" customHeight="1">
      <c r="A104" s="3153" t="s">
        <v>2298</v>
      </c>
      <c r="B104" s="2514" t="s">
        <v>2293</v>
      </c>
      <c r="C104" s="738">
        <f ca="1">H118</f>
        <v>77995</v>
      </c>
      <c r="D104" s="739"/>
      <c r="E104" s="2261" t="s">
        <v>2299</v>
      </c>
      <c r="F104" s="2252"/>
      <c r="G104" s="2513" t="s">
        <v>2297</v>
      </c>
      <c r="H104" s="1045">
        <f>IF(D36="同一抵押权人同一抵押物续贷",C36&amp;"（未扣减，详见特别提示）",C36)</f>
        <v>0</v>
      </c>
      <c r="I104" s="136"/>
    </row>
    <row r="105" spans="1:35" ht="18.75" customHeight="1" thickBot="1">
      <c r="A105" s="3165"/>
      <c r="B105" s="2515" t="s">
        <v>2295</v>
      </c>
      <c r="C105" s="740">
        <f ca="1">I118</f>
        <v>2889</v>
      </c>
      <c r="D105" s="741"/>
      <c r="E105" s="2261" t="s">
        <v>2300</v>
      </c>
      <c r="F105" s="2252"/>
      <c r="G105" s="2513" t="s">
        <v>2297</v>
      </c>
      <c r="H105" s="1045">
        <f>C37</f>
        <v>0</v>
      </c>
      <c r="I105" s="136"/>
    </row>
    <row r="106" spans="1:35" ht="18.75" customHeight="1">
      <c r="A106" s="2410" t="s">
        <v>2301</v>
      </c>
      <c r="B106" s="2410"/>
      <c r="C106" s="2410"/>
      <c r="D106" s="2410"/>
      <c r="E106" s="2516" t="s">
        <v>2302</v>
      </c>
      <c r="F106" s="2252"/>
      <c r="G106" s="2513" t="s">
        <v>2297</v>
      </c>
      <c r="H106" s="1045">
        <f>C38</f>
        <v>0</v>
      </c>
      <c r="I106" s="136"/>
    </row>
    <row r="107" spans="1:35" ht="18.75" customHeight="1">
      <c r="A107" s="136"/>
      <c r="B107" s="136"/>
      <c r="C107" s="136"/>
      <c r="D107" s="136"/>
      <c r="E107" s="3154" t="str">
        <f>IF(项目基本情况!E8="已注销","——","3.房地产抵押价值")</f>
        <v>3.房地产抵押价值</v>
      </c>
      <c r="F107" s="3124"/>
      <c r="G107" s="2512" t="s">
        <v>2293</v>
      </c>
      <c r="H107" s="1044">
        <f ca="1">IF(E107="——","——",H101-H103)</f>
        <v>77995</v>
      </c>
      <c r="I107" s="136"/>
    </row>
    <row r="108" spans="1:35" ht="18.75" customHeight="1">
      <c r="A108" s="136"/>
      <c r="B108" s="136"/>
      <c r="C108" s="136"/>
      <c r="D108" s="136"/>
      <c r="E108" s="3154"/>
      <c r="F108" s="3124"/>
      <c r="G108" s="2512" t="s">
        <v>2295</v>
      </c>
      <c r="H108" s="369">
        <f ca="1">ROUND(H107*10000/'数据-汇总表'!E3,0)</f>
        <v>2889</v>
      </c>
      <c r="I108" s="136"/>
    </row>
    <row r="109" spans="1:35" ht="18.75" customHeight="1">
      <c r="A109" s="136"/>
      <c r="B109" s="136"/>
      <c r="C109" s="136"/>
      <c r="D109" s="136"/>
      <c r="E109" s="3154" t="str">
        <f>IF(项目基本情况!E8="已注销及未注销","4.抵押担保权已注销时的房地产抵押价值",IF(项目基本情况!E8="已注销","3.抵押担保权已注销时的房地产抵押价值","——"))</f>
        <v>——</v>
      </c>
      <c r="F109" s="3124"/>
      <c r="G109" s="2512" t="s">
        <v>2293</v>
      </c>
      <c r="H109" s="346" t="str">
        <f>IF(E109="——","——",H101-H105-H106)</f>
        <v>——</v>
      </c>
      <c r="I109" s="136"/>
    </row>
    <row r="110" spans="1:35" ht="18.75" customHeight="1">
      <c r="A110" s="136"/>
      <c r="B110" s="136"/>
      <c r="C110" s="136"/>
      <c r="D110" s="136"/>
      <c r="E110" s="3154"/>
      <c r="F110" s="3124"/>
      <c r="G110" s="2512" t="s">
        <v>2295</v>
      </c>
      <c r="H110" s="369" t="str">
        <f>IF(H109="——","——",ROUND(H109*10000/'数据-汇总表'!E3,0))</f>
        <v>——</v>
      </c>
      <c r="I110" s="136"/>
    </row>
    <row r="111" spans="1:35" ht="18.75" customHeight="1">
      <c r="A111" s="136"/>
      <c r="B111" s="136"/>
      <c r="C111" s="136"/>
      <c r="D111" s="136"/>
      <c r="E111" s="3155" t="str">
        <f>IF(项目基本情况!E9="抵押净值",IF(OR(项目基本情况!E8="已注销",项目基本情况!E8="房地产抵押价值"),"4.抵押净值","5.抵押净值"),"——")</f>
        <v>——</v>
      </c>
      <c r="F111" s="3156"/>
      <c r="G111" s="2512" t="s">
        <v>2293</v>
      </c>
      <c r="H111" s="1044" t="str">
        <f>IF(E111="——","——",N59)</f>
        <v>——</v>
      </c>
      <c r="I111" s="136"/>
    </row>
    <row r="112" spans="1:35" ht="18.75" customHeight="1" thickBot="1">
      <c r="A112" s="136"/>
      <c r="B112" s="136"/>
      <c r="C112" s="136"/>
      <c r="D112" s="136"/>
      <c r="E112" s="3157"/>
      <c r="F112" s="3158"/>
      <c r="G112" s="2517" t="s">
        <v>2295</v>
      </c>
      <c r="H112" s="788" t="str">
        <f>IF(E111="——","——",N61)</f>
        <v>——</v>
      </c>
      <c r="I112" s="136"/>
    </row>
    <row r="113" spans="1:11" ht="18.75" customHeight="1">
      <c r="A113" s="136"/>
      <c r="B113" s="136"/>
      <c r="C113" s="136"/>
      <c r="D113" s="136"/>
      <c r="E113" s="3166" t="s">
        <v>2301</v>
      </c>
      <c r="F113" s="3166"/>
      <c r="G113" s="3166"/>
      <c r="H113" s="3166"/>
      <c r="I113" s="136"/>
    </row>
    <row r="114" spans="1:11" ht="3.75" customHeight="1">
      <c r="A114" s="2410"/>
      <c r="B114" s="2410"/>
      <c r="C114" s="2410"/>
      <c r="D114" s="2410"/>
      <c r="E114" s="2488"/>
      <c r="F114" s="2488"/>
      <c r="G114" s="2488"/>
      <c r="H114" s="2488"/>
      <c r="I114" s="2410"/>
    </row>
    <row r="115" spans="1:11" ht="18.75" customHeight="1">
      <c r="A115" s="3179" t="s">
        <v>2303</v>
      </c>
      <c r="B115" s="3180"/>
      <c r="C115" s="3180"/>
      <c r="D115" s="3180"/>
      <c r="E115" s="3180"/>
      <c r="F115" s="3180"/>
      <c r="G115" s="3180"/>
      <c r="H115" s="3180"/>
      <c r="I115" s="3181"/>
    </row>
    <row r="116" spans="1:11" ht="27" customHeight="1">
      <c r="A116" s="3071" t="s">
        <v>2304</v>
      </c>
      <c r="B116" s="3133" t="s">
        <v>2305</v>
      </c>
      <c r="C116" s="3133" t="s">
        <v>2306</v>
      </c>
      <c r="D116" s="3139" t="s">
        <v>2307</v>
      </c>
      <c r="E116" s="3140"/>
      <c r="F116" s="3175" t="s">
        <v>2308</v>
      </c>
      <c r="G116" s="3175"/>
      <c r="H116" s="3071" t="s">
        <v>2309</v>
      </c>
      <c r="I116" s="3071"/>
    </row>
    <row r="117" spans="1:11" ht="18.75" customHeight="1">
      <c r="A117" s="3071"/>
      <c r="B117" s="3134"/>
      <c r="C117" s="3134"/>
      <c r="D117" s="1793" t="s">
        <v>2310</v>
      </c>
      <c r="E117" s="1793" t="s">
        <v>2311</v>
      </c>
      <c r="F117" s="1793" t="s">
        <v>2310</v>
      </c>
      <c r="G117" s="1793" t="s">
        <v>2312</v>
      </c>
      <c r="H117" s="1793" t="s">
        <v>2310</v>
      </c>
      <c r="I117" s="1793" t="s">
        <v>2312</v>
      </c>
    </row>
    <row r="118" spans="1:11" ht="24.75" customHeight="1">
      <c r="A118" s="2518" t="str">
        <f>项目基本情况!S2</f>
        <v>陕西省陕西省西安市泾阳县高庄镇费家崖村香榭庄园项目部分住宅用房出让国有建设用地使用权及在建建筑物房地产</v>
      </c>
      <c r="B118" s="1793">
        <f>M18</f>
        <v>269955.14</v>
      </c>
      <c r="C118" s="1793">
        <f>M19</f>
        <v>102537.74</v>
      </c>
      <c r="D118" s="1793">
        <f ca="1">ROUND(IF(D32="总价",C34,E118*B118/10000),0)</f>
        <v>75655</v>
      </c>
      <c r="E118" s="1793">
        <f ca="1">ROUND(IF(C33="自定义",IF(D32="楼面单价",C34,D118*10000/B118),I118-G118),0)</f>
        <v>2802</v>
      </c>
      <c r="F118" s="1793">
        <f ca="1">ROUND(IF(D32="总价",C35,G118*B118/10000),0)</f>
        <v>2340</v>
      </c>
      <c r="G118" s="1793">
        <f ca="1">ROUND(IF(D32="楼面单价",C35,F118*10000/B118),0)</f>
        <v>87</v>
      </c>
      <c r="H118" s="1793">
        <f ca="1">ROUND(IF(D32="总价",C32,I118*B118/10000),0)</f>
        <v>77995</v>
      </c>
      <c r="I118" s="1793">
        <f ca="1">ROUND(IF(D32="楼面单价",C32,H118*10000/B118),0)</f>
        <v>2889</v>
      </c>
    </row>
    <row r="119" spans="1:11" ht="18.75" customHeight="1">
      <c r="A119" s="3071" t="s">
        <v>2313</v>
      </c>
      <c r="B119" s="3071"/>
      <c r="C119" s="3071"/>
      <c r="D119" s="3135" t="str">
        <f ca="1">NUMBERSTRING(INT(D118*10000),2)&amp;"元整"</f>
        <v>柒亿伍仟陆佰伍拾伍万元整</v>
      </c>
      <c r="E119" s="3136"/>
      <c r="F119" s="3135" t="str">
        <f ca="1">NUMBERSTRING(INT(F118*10000),2)&amp;"元整"</f>
        <v>贰仟叁佰肆拾万元整</v>
      </c>
      <c r="G119" s="3136"/>
      <c r="H119" s="3135" t="str">
        <f ca="1">NUMBERSTRING(INT(H118*10000),2)&amp;"元整"</f>
        <v>柒亿柒仟玖佰玖拾伍万元整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5" t="str">
        <f>IF(D120=0,"故，本次评估不存在"&amp;A120,"故，本次评估"&amp;A120&amp;"为人民币"&amp;D120&amp;"万元整。")</f>
        <v>故，本次评估不存在估价师知悉的法定优先受偿款</v>
      </c>
    </row>
    <row r="121" spans="1:11" ht="18.75" customHeight="1">
      <c r="A121" s="3176" t="s">
        <v>2313</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77995</v>
      </c>
      <c r="E122" s="3131"/>
      <c r="F122" s="3131"/>
      <c r="G122" s="3131"/>
      <c r="H122" s="3131"/>
      <c r="I122" s="3132"/>
    </row>
    <row r="123" spans="1:11" ht="18.75" customHeight="1">
      <c r="A123" s="3071" t="s">
        <v>2313</v>
      </c>
      <c r="B123" s="3071"/>
      <c r="C123" s="3071"/>
      <c r="D123" s="3135" t="str">
        <f ca="1">NUMBERSTRING(INT(D122*10000),2)&amp;"元整"</f>
        <v>柒亿柒仟玖佰玖拾伍万元整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71" t="s">
        <v>2313</v>
      </c>
      <c r="B125" s="3071"/>
      <c r="C125" s="3071"/>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71" t="s">
        <v>2313</v>
      </c>
      <c r="B127" s="3071"/>
      <c r="C127" s="3071"/>
      <c r="D127" s="3135" t="e">
        <f>NUMBERSTRING(INT(D126*10000),2)&amp;"元整"</f>
        <v>#VALUE!</v>
      </c>
      <c r="E127" s="3137"/>
      <c r="F127" s="3137"/>
      <c r="G127" s="3137"/>
      <c r="H127" s="3137"/>
      <c r="I127" s="3136"/>
    </row>
    <row r="128" spans="1:11" ht="21.75" customHeight="1">
      <c r="A128" s="3138" t="s">
        <v>2314</v>
      </c>
      <c r="B128" s="3138"/>
      <c r="C128" s="3138"/>
      <c r="D128" s="3138"/>
      <c r="E128" s="3138"/>
      <c r="F128" s="3138"/>
      <c r="G128" s="3138"/>
      <c r="H128" s="3138"/>
      <c r="I128" s="3138"/>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2317</v>
      </c>
      <c r="G135" s="2536"/>
      <c r="H135" s="2536"/>
      <c r="I135" s="2537" t="s">
        <v>2318</v>
      </c>
    </row>
    <row r="136" spans="1:35" ht="21.75" customHeight="1">
      <c r="A136" s="793"/>
      <c r="B136" s="2538"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2320</v>
      </c>
    </row>
    <row r="139" spans="1:35" ht="21.75" customHeight="1">
      <c r="A139" s="793"/>
      <c r="B139" s="2538" t="s">
        <v>2321</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2320</v>
      </c>
    </row>
    <row r="142" spans="1:35" ht="21.75" customHeight="1">
      <c r="A142" s="793"/>
      <c r="B142" s="2538"/>
      <c r="C142" s="2539"/>
      <c r="D142" s="2540"/>
      <c r="E142" s="2540"/>
      <c r="F142" s="2335"/>
      <c r="G142" s="793"/>
      <c r="H142" s="793"/>
      <c r="I142" s="793"/>
    </row>
    <row r="143" spans="1:35" s="137" customFormat="1" ht="21.75" customHeight="1">
      <c r="A143" s="793"/>
      <c r="B143" s="2538"/>
      <c r="C143" s="2539"/>
      <c r="D143" s="2540"/>
      <c r="E143" s="2540"/>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5" t="str">
        <f>项目基本情况!B1</f>
        <v>陕西省陕西省西安市泾阳县高庄镇费家崖村香榭庄园项目部分住宅用房出让国有建设用地使用权及在建建筑物房地产抵押价值预评估</v>
      </c>
      <c r="C37" s="3005"/>
      <c r="D37" s="3005"/>
      <c r="E37" s="3005"/>
      <c r="F37" s="3005"/>
      <c r="G37" s="3005"/>
      <c r="H37" s="3005"/>
      <c r="I37" s="3005"/>
    </row>
    <row r="38" spans="1:9">
      <c r="A38" s="1015"/>
      <c r="B38" s="1015"/>
    </row>
    <row r="39" spans="1:9">
      <c r="A39" s="1013" t="s">
        <v>818</v>
      </c>
      <c r="B39" s="1013" t="s">
        <v>820</v>
      </c>
    </row>
    <row r="40" spans="1:9">
      <c r="A40" s="1013"/>
      <c r="B40" s="1940" t="str">
        <f>项目基本情况!B5</f>
        <v>华澳信托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康正预评字2019-1-0070-F01DYGJ1号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F30" sqref="F30"/>
    </sheetView>
  </sheetViews>
  <sheetFormatPr defaultRowHeight="13.5"/>
  <cols>
    <col min="15" max="19" width="5" customWidth="1"/>
  </cols>
  <sheetData>
    <row r="1" spans="1:45" s="1633" customFormat="1">
      <c r="A1" s="1633" t="s">
        <v>3164</v>
      </c>
      <c r="B1" s="1633" t="s">
        <v>3165</v>
      </c>
      <c r="C1" s="1633" t="s">
        <v>3166</v>
      </c>
      <c r="D1" s="1633" t="s">
        <v>3167</v>
      </c>
      <c r="E1" s="1633" t="s">
        <v>3168</v>
      </c>
      <c r="F1" s="1633" t="s">
        <v>3169</v>
      </c>
      <c r="G1" s="1633" t="s">
        <v>3170</v>
      </c>
      <c r="H1" s="1633" t="s">
        <v>3171</v>
      </c>
      <c r="I1" s="1633" t="s">
        <v>3172</v>
      </c>
      <c r="J1" s="1633" t="s">
        <v>3173</v>
      </c>
      <c r="K1" s="1633" t="s">
        <v>3174</v>
      </c>
      <c r="L1" s="1633" t="s">
        <v>3175</v>
      </c>
      <c r="M1" s="1633" t="s">
        <v>3176</v>
      </c>
      <c r="N1" s="1633" t="s">
        <v>3177</v>
      </c>
      <c r="O1" s="1633" t="s">
        <v>3178</v>
      </c>
      <c r="P1" s="2969" t="s">
        <v>3179</v>
      </c>
      <c r="Q1" s="1633" t="s">
        <v>3180</v>
      </c>
      <c r="R1" s="1633" t="s">
        <v>3181</v>
      </c>
      <c r="S1" s="1633" t="s">
        <v>3182</v>
      </c>
      <c r="T1" s="2969" t="s">
        <v>3183</v>
      </c>
      <c r="U1" s="1633" t="s">
        <v>3184</v>
      </c>
      <c r="V1" s="1633" t="s">
        <v>3185</v>
      </c>
      <c r="W1" s="1633" t="s">
        <v>3186</v>
      </c>
      <c r="X1" s="1633" t="s">
        <v>3187</v>
      </c>
      <c r="Y1" s="1633" t="s">
        <v>3188</v>
      </c>
      <c r="Z1" s="1633" t="s">
        <v>3189</v>
      </c>
      <c r="AA1" s="1633" t="s">
        <v>3190</v>
      </c>
      <c r="AB1" s="1633" t="s">
        <v>3191</v>
      </c>
      <c r="AC1" s="1633" t="s">
        <v>3192</v>
      </c>
      <c r="AD1" s="1633" t="s">
        <v>3193</v>
      </c>
      <c r="AE1" s="1633" t="s">
        <v>3194</v>
      </c>
      <c r="AF1" s="1633" t="s">
        <v>3195</v>
      </c>
      <c r="AG1" s="1633" t="s">
        <v>3196</v>
      </c>
      <c r="AH1" s="1633" t="s">
        <v>3197</v>
      </c>
      <c r="AI1" s="1633" t="s">
        <v>3198</v>
      </c>
      <c r="AJ1" s="1633" t="s">
        <v>3199</v>
      </c>
      <c r="AK1" s="1633" t="s">
        <v>3200</v>
      </c>
      <c r="AL1" s="1633" t="s">
        <v>3201</v>
      </c>
      <c r="AM1" s="1633" t="s">
        <v>3202</v>
      </c>
      <c r="AN1" s="1633" t="s">
        <v>3203</v>
      </c>
      <c r="AO1" s="1633" t="s">
        <v>3204</v>
      </c>
      <c r="AP1" s="1633" t="s">
        <v>3205</v>
      </c>
      <c r="AQ1" s="1633" t="s">
        <v>3206</v>
      </c>
      <c r="AR1" s="1633" t="s">
        <v>3207</v>
      </c>
      <c r="AS1" s="1633" t="s">
        <v>3208</v>
      </c>
    </row>
    <row r="2" spans="1:45" s="2969" customFormat="1">
      <c r="A2" s="2969" t="s">
        <v>3209</v>
      </c>
      <c r="B2" s="2969" t="s">
        <v>3210</v>
      </c>
      <c r="C2" s="2969" t="s">
        <v>3211</v>
      </c>
      <c r="D2" s="2969" t="s">
        <v>3212</v>
      </c>
      <c r="E2" s="2969" t="s">
        <v>1326</v>
      </c>
      <c r="F2" s="2969" t="s">
        <v>3209</v>
      </c>
      <c r="G2" s="2969" t="s">
        <v>3213</v>
      </c>
      <c r="H2" s="2969" t="s">
        <v>3214</v>
      </c>
      <c r="I2" s="2969" t="s">
        <v>3215</v>
      </c>
      <c r="J2" s="2969">
        <v>55340</v>
      </c>
      <c r="K2" s="2969">
        <v>99612</v>
      </c>
      <c r="L2" s="2969" t="s">
        <v>3216</v>
      </c>
      <c r="M2" s="2969" t="s">
        <v>1326</v>
      </c>
      <c r="N2" s="2969" t="s">
        <v>3217</v>
      </c>
      <c r="O2" s="2969" t="s">
        <v>1326</v>
      </c>
      <c r="P2" s="2969" t="s">
        <v>1326</v>
      </c>
      <c r="Q2" s="2969" t="s">
        <v>1326</v>
      </c>
      <c r="R2" s="2969" t="s">
        <v>1326</v>
      </c>
      <c r="S2" s="2969" t="s">
        <v>1326</v>
      </c>
      <c r="T2" s="2969" t="s">
        <v>1326</v>
      </c>
      <c r="U2" s="2969" t="s">
        <v>1326</v>
      </c>
      <c r="V2" s="2969" t="s">
        <v>1326</v>
      </c>
      <c r="W2" s="2969" t="s">
        <v>3218</v>
      </c>
      <c r="X2" s="2969" t="s">
        <v>3219</v>
      </c>
      <c r="Y2" s="2969" t="s">
        <v>3220</v>
      </c>
      <c r="Z2" s="2969" t="s">
        <v>3221</v>
      </c>
      <c r="AA2" s="2969" t="s">
        <v>3221</v>
      </c>
      <c r="AB2" s="2969" t="s">
        <v>3222</v>
      </c>
      <c r="AC2" s="2969" t="s">
        <v>3223</v>
      </c>
      <c r="AD2" s="2969" t="s">
        <v>3224</v>
      </c>
      <c r="AE2" s="2969">
        <v>16610</v>
      </c>
      <c r="AF2" s="2969">
        <v>16610</v>
      </c>
      <c r="AG2" s="2969">
        <v>38910</v>
      </c>
      <c r="AH2" s="2969">
        <v>200.1</v>
      </c>
      <c r="AI2" s="2969">
        <v>468.74</v>
      </c>
      <c r="AJ2" s="2969">
        <v>1667.46</v>
      </c>
      <c r="AK2" s="2969">
        <v>3906.15</v>
      </c>
      <c r="AL2" s="2969" t="s">
        <v>1326</v>
      </c>
      <c r="AM2" s="2969" t="s">
        <v>1326</v>
      </c>
      <c r="AN2" s="2969">
        <v>134.26</v>
      </c>
      <c r="AO2" s="2969" t="s">
        <v>3225</v>
      </c>
      <c r="AP2" s="2969" t="s">
        <v>1326</v>
      </c>
      <c r="AQ2" s="2969" t="s">
        <v>1326</v>
      </c>
      <c r="AR2" s="2969" t="s">
        <v>1326</v>
      </c>
      <c r="AS2" s="2969" t="s">
        <v>3226</v>
      </c>
    </row>
    <row r="3" spans="1:45" s="2969" customFormat="1">
      <c r="A3" s="2969" t="s">
        <v>3209</v>
      </c>
      <c r="B3" s="2969" t="s">
        <v>3210</v>
      </c>
      <c r="C3" s="2969" t="s">
        <v>3211</v>
      </c>
      <c r="D3" s="2969" t="s">
        <v>3212</v>
      </c>
      <c r="E3" s="2969" t="s">
        <v>1326</v>
      </c>
      <c r="F3" s="2969" t="s">
        <v>3209</v>
      </c>
      <c r="G3" s="2969" t="s">
        <v>3213</v>
      </c>
      <c r="H3" s="2969" t="s">
        <v>3227</v>
      </c>
      <c r="I3" s="2969" t="s">
        <v>3215</v>
      </c>
      <c r="J3" s="2969">
        <v>38110</v>
      </c>
      <c r="K3" s="2969">
        <v>68598</v>
      </c>
      <c r="L3" s="2969" t="s">
        <v>3228</v>
      </c>
      <c r="M3" s="2969" t="s">
        <v>1326</v>
      </c>
      <c r="N3" s="2969" t="s">
        <v>3217</v>
      </c>
      <c r="O3" s="2969" t="s">
        <v>1326</v>
      </c>
      <c r="P3" s="2969" t="s">
        <v>1326</v>
      </c>
      <c r="Q3" s="2969" t="s">
        <v>1326</v>
      </c>
      <c r="R3" s="2969" t="s">
        <v>1326</v>
      </c>
      <c r="S3" s="2969" t="s">
        <v>1326</v>
      </c>
      <c r="T3" s="2969" t="s">
        <v>1326</v>
      </c>
      <c r="U3" s="2969" t="s">
        <v>1326</v>
      </c>
      <c r="V3" s="2969" t="s">
        <v>1326</v>
      </c>
      <c r="W3" s="2969" t="s">
        <v>3218</v>
      </c>
      <c r="X3" s="2969" t="s">
        <v>3219</v>
      </c>
      <c r="Y3" s="2969" t="s">
        <v>3220</v>
      </c>
      <c r="Z3" s="2969" t="s">
        <v>3221</v>
      </c>
      <c r="AA3" s="2969" t="s">
        <v>3221</v>
      </c>
      <c r="AB3" s="2969" t="s">
        <v>3229</v>
      </c>
      <c r="AC3" s="2969" t="s">
        <v>3223</v>
      </c>
      <c r="AD3" s="2969" t="s">
        <v>3224</v>
      </c>
      <c r="AE3" s="2969">
        <v>11440</v>
      </c>
      <c r="AF3" s="2969">
        <v>11440</v>
      </c>
      <c r="AG3" s="2969">
        <v>26540</v>
      </c>
      <c r="AH3" s="2969">
        <v>200.12</v>
      </c>
      <c r="AI3" s="2969">
        <v>464.27</v>
      </c>
      <c r="AJ3" s="2969">
        <v>1667.68</v>
      </c>
      <c r="AK3" s="2969">
        <v>3868.92</v>
      </c>
      <c r="AL3" s="2969" t="s">
        <v>1326</v>
      </c>
      <c r="AM3" s="2969" t="s">
        <v>1326</v>
      </c>
      <c r="AN3" s="2969">
        <v>131.99</v>
      </c>
      <c r="AO3" s="2969" t="s">
        <v>3225</v>
      </c>
      <c r="AP3" s="2969" t="s">
        <v>1326</v>
      </c>
      <c r="AQ3" s="2969" t="s">
        <v>1326</v>
      </c>
      <c r="AR3" s="2969" t="s">
        <v>1326</v>
      </c>
      <c r="AS3" s="2969" t="s">
        <v>3226</v>
      </c>
    </row>
    <row r="4" spans="1:45" s="2969" customFormat="1">
      <c r="A4" s="2969" t="s">
        <v>3230</v>
      </c>
      <c r="B4" s="2969" t="s">
        <v>3210</v>
      </c>
      <c r="C4" s="2969" t="s">
        <v>3231</v>
      </c>
      <c r="D4" s="2969" t="s">
        <v>3212</v>
      </c>
      <c r="E4" s="2969" t="s">
        <v>1326</v>
      </c>
      <c r="F4" s="2969" t="s">
        <v>3230</v>
      </c>
      <c r="G4" s="2969" t="s">
        <v>3213</v>
      </c>
      <c r="H4" s="2969" t="s">
        <v>3232</v>
      </c>
      <c r="I4" s="2969" t="s">
        <v>1326</v>
      </c>
      <c r="J4" s="2969">
        <v>88713.600000000006</v>
      </c>
      <c r="K4" s="2969">
        <v>245590</v>
      </c>
      <c r="L4" s="2969" t="s">
        <v>3233</v>
      </c>
      <c r="M4" s="2969" t="s">
        <v>1326</v>
      </c>
      <c r="N4" s="2969" t="s">
        <v>3234</v>
      </c>
      <c r="O4" s="2969" t="s">
        <v>1326</v>
      </c>
      <c r="P4" s="2969" t="s">
        <v>1326</v>
      </c>
      <c r="Q4" s="2969" t="s">
        <v>1326</v>
      </c>
      <c r="R4" s="2969" t="s">
        <v>1326</v>
      </c>
      <c r="S4" s="2969" t="s">
        <v>1326</v>
      </c>
      <c r="T4" s="2969" t="s">
        <v>1326</v>
      </c>
      <c r="U4" s="2969" t="s">
        <v>1326</v>
      </c>
      <c r="V4" s="2969" t="s">
        <v>1326</v>
      </c>
      <c r="W4" s="2969" t="s">
        <v>3218</v>
      </c>
      <c r="X4" s="2969" t="s">
        <v>3235</v>
      </c>
      <c r="Y4" s="2969" t="s">
        <v>3236</v>
      </c>
      <c r="Z4" s="2969" t="s">
        <v>3237</v>
      </c>
      <c r="AA4" s="2969" t="s">
        <v>3237</v>
      </c>
      <c r="AB4" s="2969" t="s">
        <v>3238</v>
      </c>
      <c r="AC4" s="2969" t="s">
        <v>3223</v>
      </c>
      <c r="AD4" s="2969" t="s">
        <v>3239</v>
      </c>
      <c r="AE4" s="2969">
        <v>43710</v>
      </c>
      <c r="AF4" s="2969">
        <v>43710</v>
      </c>
      <c r="AG4" s="2969">
        <v>92710</v>
      </c>
      <c r="AH4" s="2969">
        <v>328.47</v>
      </c>
      <c r="AI4" s="2969">
        <v>696.7</v>
      </c>
      <c r="AJ4" s="2969">
        <v>1779.79</v>
      </c>
      <c r="AK4" s="2969">
        <v>3774.98</v>
      </c>
      <c r="AL4" s="2969" t="s">
        <v>1326</v>
      </c>
      <c r="AM4" s="2969" t="s">
        <v>1326</v>
      </c>
      <c r="AN4" s="2969">
        <v>112.1</v>
      </c>
      <c r="AO4" s="2969" t="s">
        <v>3240</v>
      </c>
      <c r="AP4" s="2969" t="s">
        <v>1326</v>
      </c>
      <c r="AQ4" s="2969" t="s">
        <v>1326</v>
      </c>
      <c r="AR4" s="2969" t="s">
        <v>1326</v>
      </c>
      <c r="AS4" s="2969" t="s">
        <v>3241</v>
      </c>
    </row>
    <row r="6" spans="1:45" ht="14.25" thickBot="1"/>
    <row r="7" spans="1:45">
      <c r="B7" s="3210" t="s">
        <v>3327</v>
      </c>
      <c r="C7" s="3210" t="s">
        <v>3328</v>
      </c>
      <c r="D7" s="3210" t="s">
        <v>3329</v>
      </c>
      <c r="E7" s="3210" t="s">
        <v>3330</v>
      </c>
      <c r="F7" s="3210" t="s">
        <v>3331</v>
      </c>
      <c r="G7" s="3210" t="s">
        <v>3332</v>
      </c>
      <c r="H7" s="2990"/>
    </row>
    <row r="8" spans="1:45">
      <c r="B8" s="3211"/>
      <c r="C8" s="3211"/>
      <c r="D8" s="3211"/>
      <c r="E8" s="3211"/>
      <c r="F8" s="3211"/>
      <c r="G8" s="3211"/>
      <c r="H8" s="2990"/>
    </row>
    <row r="9" spans="1:45" ht="14.25" thickBot="1">
      <c r="B9" s="3212"/>
      <c r="C9" s="3212"/>
      <c r="D9" s="3212"/>
      <c r="E9" s="3212"/>
      <c r="F9" s="3212"/>
      <c r="G9" s="3212"/>
      <c r="H9" s="2990"/>
    </row>
    <row r="10" spans="1:45" ht="14.25" thickBot="1">
      <c r="B10" s="2991" t="s">
        <v>3333</v>
      </c>
      <c r="C10" s="2992" t="s">
        <v>3334</v>
      </c>
      <c r="D10" s="2993">
        <v>53957.22</v>
      </c>
      <c r="E10" s="2993">
        <v>131783.96</v>
      </c>
      <c r="F10" s="2993">
        <v>2285</v>
      </c>
      <c r="G10" s="2993">
        <v>30110</v>
      </c>
      <c r="H10" s="2990"/>
    </row>
    <row r="11" spans="1:45" ht="14.25" thickBot="1">
      <c r="B11" s="2991" t="s">
        <v>3335</v>
      </c>
      <c r="C11" s="2992" t="s">
        <v>3334</v>
      </c>
      <c r="D11" s="2993">
        <v>5144</v>
      </c>
      <c r="E11" s="2993">
        <v>12563.6</v>
      </c>
      <c r="F11" s="2993">
        <v>2190</v>
      </c>
      <c r="G11" s="2993">
        <v>2751</v>
      </c>
      <c r="H11" s="2990"/>
    </row>
    <row r="12" spans="1:45" ht="14.25" thickBot="1">
      <c r="B12" s="2991" t="s">
        <v>3336</v>
      </c>
      <c r="C12" s="2992" t="s">
        <v>3337</v>
      </c>
      <c r="D12" s="2993">
        <v>50521.04</v>
      </c>
      <c r="E12" s="2993">
        <v>122798.36</v>
      </c>
      <c r="F12" s="2993">
        <v>2533</v>
      </c>
      <c r="G12" s="2993">
        <v>31107</v>
      </c>
      <c r="H12" s="2990"/>
    </row>
    <row r="13" spans="1:45" ht="14.25" thickBot="1">
      <c r="B13" s="2991" t="s">
        <v>3338</v>
      </c>
      <c r="C13" s="2992" t="s">
        <v>3337</v>
      </c>
      <c r="D13" s="2993">
        <v>11914</v>
      </c>
      <c r="E13" s="2993">
        <v>29565.16</v>
      </c>
      <c r="F13" s="2993">
        <v>2270</v>
      </c>
      <c r="G13" s="2993">
        <v>6712</v>
      </c>
      <c r="H13" s="2990"/>
    </row>
    <row r="14" spans="1:45" ht="14.25" thickBot="1">
      <c r="B14" s="2991" t="s">
        <v>3339</v>
      </c>
      <c r="C14" s="2992" t="s">
        <v>3337</v>
      </c>
      <c r="D14" s="2993">
        <v>62052.81</v>
      </c>
      <c r="E14" s="2993">
        <v>147391.09</v>
      </c>
      <c r="F14" s="2993">
        <v>2692</v>
      </c>
      <c r="G14" s="2993">
        <v>39683</v>
      </c>
      <c r="H14" s="2990"/>
    </row>
    <row r="15" spans="1:45" ht="14.25" thickBot="1">
      <c r="B15" s="3213" t="s">
        <v>37</v>
      </c>
      <c r="C15" s="3214"/>
      <c r="D15" s="2993">
        <v>183589.07</v>
      </c>
      <c r="E15" s="2993">
        <v>444102.17</v>
      </c>
      <c r="F15" s="2993" t="s">
        <v>70</v>
      </c>
      <c r="G15" s="2993">
        <v>110363</v>
      </c>
      <c r="H15" s="2990"/>
    </row>
    <row r="17" spans="7:7">
      <c r="G17">
        <f>SUM(G12:G14)</f>
        <v>77502</v>
      </c>
    </row>
  </sheetData>
  <mergeCells count="7">
    <mergeCell ref="F7:F9"/>
    <mergeCell ref="G7:G9"/>
    <mergeCell ref="B15:C15"/>
    <mergeCell ref="B7:B9"/>
    <mergeCell ref="C7:C9"/>
    <mergeCell ref="D7:D9"/>
    <mergeCell ref="E7:E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6" sqref="C36"/>
    </sheetView>
  </sheetViews>
  <sheetFormatPr defaultColWidth="9" defaultRowHeight="14.25"/>
  <cols>
    <col min="1" max="1" width="14.375" style="401" customWidth="1"/>
    <col min="2" max="2" width="15.75" style="401" customWidth="1"/>
    <col min="3" max="3" width="22.12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66897</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2478</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16" t="s">
        <v>2641</v>
      </c>
      <c r="AC4" s="3215" t="s">
        <v>2642</v>
      </c>
    </row>
    <row r="5" spans="1:30" ht="15">
      <c r="A5" s="402"/>
      <c r="B5" s="403"/>
      <c r="C5" s="3226" t="s">
        <v>2535</v>
      </c>
      <c r="D5" s="3227"/>
      <c r="E5" s="3224" t="str">
        <f>土地案例!A2</f>
        <v>西延高速(G65W)泾阳立交以东,汉阳大道西段以南</v>
      </c>
      <c r="F5" s="3225"/>
      <c r="G5" s="3226" t="str">
        <f>土地案例!A3</f>
        <v>西延高速(G65W)泾阳立交以东,汉阳大道西段以南</v>
      </c>
      <c r="H5" s="3227"/>
      <c r="I5" s="3226" t="str">
        <f>土地案例!A4</f>
        <v>兰池二路以南、兰池大道以北、秦宫三路以东、秦宫四路以西</v>
      </c>
      <c r="J5" s="3227"/>
      <c r="K5" s="608"/>
      <c r="L5" s="1129"/>
      <c r="M5" s="1130"/>
      <c r="N5" s="1130"/>
      <c r="O5" s="1130"/>
      <c r="P5" s="3239"/>
      <c r="Q5" s="3240"/>
      <c r="R5" s="3222"/>
      <c r="S5" s="3223"/>
      <c r="T5" s="3222"/>
      <c r="U5" s="3223"/>
      <c r="V5" s="3245"/>
      <c r="W5" s="3245"/>
      <c r="X5" s="1811"/>
      <c r="Y5" s="3222"/>
      <c r="Z5" s="3223"/>
      <c r="AA5" s="3216"/>
      <c r="AB5" s="3216"/>
      <c r="AC5" s="3216"/>
    </row>
    <row r="6" spans="1:30" ht="15.75" thickBot="1">
      <c r="A6" s="404"/>
      <c r="B6" s="405"/>
      <c r="C6" s="3228" t="s">
        <v>2539</v>
      </c>
      <c r="D6" s="3229"/>
      <c r="E6" s="3230" t="s">
        <v>2539</v>
      </c>
      <c r="F6" s="3231"/>
      <c r="G6" s="3228" t="s">
        <v>2539</v>
      </c>
      <c r="H6" s="3229"/>
      <c r="I6" s="3228" t="s">
        <v>2539</v>
      </c>
      <c r="J6" s="3229"/>
      <c r="K6" s="608" t="s">
        <v>2540</v>
      </c>
      <c r="L6" s="1129"/>
      <c r="M6" s="1130"/>
      <c r="N6" s="1130"/>
      <c r="O6" s="1130"/>
      <c r="P6" s="3241"/>
      <c r="Q6" s="3242"/>
      <c r="R6" s="3222"/>
      <c r="S6" s="3223"/>
      <c r="T6" s="3243"/>
      <c r="U6" s="3244"/>
      <c r="V6" s="3245"/>
      <c r="W6" s="3245"/>
      <c r="X6" s="1811"/>
      <c r="Y6" s="3243"/>
      <c r="Z6" s="3244"/>
      <c r="AA6" s="3217"/>
      <c r="AB6" s="3217"/>
      <c r="AC6" s="3217"/>
    </row>
    <row r="7" spans="1:30" s="116" customFormat="1" ht="15.75" thickBot="1">
      <c r="A7" s="406" t="s">
        <v>2541</v>
      </c>
      <c r="B7" s="407"/>
      <c r="C7" s="408">
        <f>'数据-取费表'!B2</f>
        <v>43493</v>
      </c>
      <c r="D7" s="409">
        <v>100</v>
      </c>
      <c r="E7" s="410" t="str">
        <f>土地案例!AA2</f>
        <v>2018-08-01</v>
      </c>
      <c r="F7" s="411">
        <f>SUMIF(70:70,YEAR(E7)&amp;"-"&amp;INT((MONTH(E7)+2)/3),71:71)</f>
        <v>98</v>
      </c>
      <c r="G7" s="2687" t="str">
        <f>土地案例!AA3</f>
        <v>2018-08-01</v>
      </c>
      <c r="H7" s="409">
        <f>SUMIF(70:70,YEAR(G7)&amp;"-"&amp;INT((MONTH(G7)+2)/3),71:71)</f>
        <v>98</v>
      </c>
      <c r="I7" s="2687" t="str">
        <f>土地案例!AA4</f>
        <v>2018-11-14</v>
      </c>
      <c r="J7" s="409">
        <f>SUMIF(70:70,YEAR(I7)&amp;"-"&amp;INT((MONTH(I7)+2)/3),71:71)</f>
        <v>99</v>
      </c>
      <c r="K7" s="609"/>
      <c r="L7" s="1131"/>
      <c r="M7" s="1132"/>
      <c r="N7" s="1132"/>
      <c r="O7" s="1132"/>
      <c r="P7" s="3218" t="s">
        <v>2542</v>
      </c>
      <c r="Q7" s="3246"/>
      <c r="R7" s="768" t="s">
        <v>17</v>
      </c>
      <c r="S7" s="769">
        <f t="shared" ref="S7:S15" si="0">F7</f>
        <v>98</v>
      </c>
      <c r="T7" s="768" t="s">
        <v>17</v>
      </c>
      <c r="U7" s="769">
        <f t="shared" ref="U7:U15" si="1">H7</f>
        <v>98</v>
      </c>
      <c r="V7" s="768" t="s">
        <v>17</v>
      </c>
      <c r="W7" s="769">
        <f t="shared" ref="W7:W15" si="2">J7</f>
        <v>99</v>
      </c>
      <c r="X7" s="770"/>
      <c r="Y7" s="3218" t="s">
        <v>2542</v>
      </c>
      <c r="Z7" s="3219"/>
      <c r="AA7" s="771">
        <f>D7/F7</f>
        <v>1.0204081632653061</v>
      </c>
      <c r="AB7" s="771">
        <f>D7/H7</f>
        <v>1.0204081632653061</v>
      </c>
      <c r="AC7" s="771">
        <f>D7/J7</f>
        <v>1.0101010101010102</v>
      </c>
    </row>
    <row r="8" spans="1:30" s="116" customFormat="1" ht="15.7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31"/>
      <c r="M8" s="1132"/>
      <c r="N8" s="1132"/>
      <c r="O8" s="1132"/>
      <c r="P8" s="3218" t="s">
        <v>2545</v>
      </c>
      <c r="Q8" s="3219"/>
      <c r="R8" s="768" t="s">
        <v>17</v>
      </c>
      <c r="S8" s="769">
        <f t="shared" si="0"/>
        <v>100</v>
      </c>
      <c r="T8" s="768" t="s">
        <v>17</v>
      </c>
      <c r="U8" s="769">
        <f t="shared" si="1"/>
        <v>100</v>
      </c>
      <c r="V8" s="768" t="s">
        <v>17</v>
      </c>
      <c r="W8" s="769">
        <f t="shared" si="2"/>
        <v>100</v>
      </c>
      <c r="X8" s="770"/>
      <c r="Y8" s="3218" t="s">
        <v>2545</v>
      </c>
      <c r="Z8" s="3219"/>
      <c r="AA8" s="771">
        <f t="shared" ref="AA8:AA45" si="3">D8/F8</f>
        <v>1</v>
      </c>
      <c r="AB8" s="771">
        <f t="shared" ref="AB8:AB45" si="4">D8/H8</f>
        <v>1</v>
      </c>
      <c r="AC8" s="771">
        <f t="shared" ref="AC8:AC45" si="5">D8/J8</f>
        <v>1</v>
      </c>
    </row>
    <row r="9" spans="1:30" s="116" customFormat="1">
      <c r="A9" s="413" t="s">
        <v>2546</v>
      </c>
      <c r="B9" s="71" t="s">
        <v>2547</v>
      </c>
      <c r="C9" s="2690" t="s">
        <v>3353</v>
      </c>
      <c r="D9" s="133">
        <v>100</v>
      </c>
      <c r="E9" s="2690" t="s">
        <v>3147</v>
      </c>
      <c r="F9" s="133">
        <f>SUMIF(75:75,E9,76:76)-SUMIF(75:75,C9,76:76)+100</f>
        <v>98</v>
      </c>
      <c r="G9" s="2690" t="s">
        <v>3147</v>
      </c>
      <c r="H9" s="133">
        <f>SUMIF(75:75,G9,76:76)-SUMIF(75:75,C9,76:76)+100</f>
        <v>98</v>
      </c>
      <c r="I9" s="2690" t="s">
        <v>3353</v>
      </c>
      <c r="J9" s="133">
        <f>SUMIF(75:75,I9,76:76)-SUMIF(75:75,C9,76:76)+100</f>
        <v>100</v>
      </c>
      <c r="K9" s="609"/>
      <c r="L9" s="1131"/>
      <c r="M9" s="1132"/>
      <c r="N9" s="1132"/>
      <c r="O9" s="1133"/>
      <c r="P9" s="3232" t="s">
        <v>2548</v>
      </c>
      <c r="Q9" s="1793" t="str">
        <f t="shared" ref="Q9:Q15" si="6">B9</f>
        <v>用途</v>
      </c>
      <c r="R9" s="768" t="s">
        <v>17</v>
      </c>
      <c r="S9" s="769">
        <f t="shared" si="0"/>
        <v>98</v>
      </c>
      <c r="T9" s="768" t="s">
        <v>17</v>
      </c>
      <c r="U9" s="769">
        <f t="shared" si="1"/>
        <v>98</v>
      </c>
      <c r="V9" s="768" t="s">
        <v>17</v>
      </c>
      <c r="W9" s="769">
        <f t="shared" si="2"/>
        <v>100</v>
      </c>
      <c r="X9" s="770"/>
      <c r="Y9" s="3071" t="s">
        <v>2549</v>
      </c>
      <c r="Z9" s="55" t="str">
        <f t="shared" ref="Z9:Z15" si="7">Q9</f>
        <v>用途</v>
      </c>
      <c r="AA9" s="771">
        <f t="shared" si="3"/>
        <v>1.0204081632653061</v>
      </c>
      <c r="AB9" s="771">
        <f t="shared" si="4"/>
        <v>1.0204081632653061</v>
      </c>
      <c r="AC9" s="771">
        <f t="shared" si="5"/>
        <v>1</v>
      </c>
    </row>
    <row r="10" spans="1:30" s="425" customFormat="1" ht="27">
      <c r="A10" s="419"/>
      <c r="B10" s="420" t="s">
        <v>2550</v>
      </c>
      <c r="C10" s="430"/>
      <c r="D10" s="134">
        <v>100</v>
      </c>
      <c r="E10" s="463"/>
      <c r="F10" s="134">
        <f>ROUND(100/'数据-取费表'!G16,0)</f>
        <v>102</v>
      </c>
      <c r="G10" s="461"/>
      <c r="H10" s="134">
        <f>ROUND(100/'数据-取费表'!G16,0)</f>
        <v>102</v>
      </c>
      <c r="I10" s="461"/>
      <c r="J10" s="134">
        <f>ROUND(100/'数据-取费表'!G16,0)</f>
        <v>102</v>
      </c>
      <c r="K10" s="670"/>
      <c r="L10" s="1134"/>
      <c r="M10" s="1135"/>
      <c r="N10" s="1135"/>
      <c r="O10" s="1136"/>
      <c r="P10" s="3232"/>
      <c r="Q10" s="1793" t="str">
        <f t="shared" si="6"/>
        <v>土地使用年限（年）</v>
      </c>
      <c r="R10" s="768" t="s">
        <v>17</v>
      </c>
      <c r="S10" s="769">
        <f t="shared" si="0"/>
        <v>102</v>
      </c>
      <c r="T10" s="768" t="s">
        <v>17</v>
      </c>
      <c r="U10" s="769">
        <f t="shared" si="1"/>
        <v>102</v>
      </c>
      <c r="V10" s="768" t="s">
        <v>17</v>
      </c>
      <c r="W10" s="769">
        <f t="shared" si="2"/>
        <v>102</v>
      </c>
      <c r="X10" s="770"/>
      <c r="Y10" s="3071"/>
      <c r="Z10" s="55" t="str">
        <f t="shared" si="7"/>
        <v>土地使用年限（年）</v>
      </c>
      <c r="AA10" s="771">
        <f t="shared" si="3"/>
        <v>0.98039215686274506</v>
      </c>
      <c r="AB10" s="771">
        <f t="shared" si="4"/>
        <v>0.98039215686274506</v>
      </c>
      <c r="AC10" s="771">
        <f t="shared" si="5"/>
        <v>0.98039215686274506</v>
      </c>
    </row>
    <row r="11" spans="1:30" ht="15">
      <c r="A11" s="426"/>
      <c r="B11" s="420" t="s">
        <v>2551</v>
      </c>
      <c r="C11" s="3358">
        <f>'数据-汇总表'!I4</f>
        <v>1.8</v>
      </c>
      <c r="D11" s="134">
        <v>100</v>
      </c>
      <c r="E11" s="427">
        <v>1.8</v>
      </c>
      <c r="F11" s="134">
        <f>LOOKUP(E11,80:80,81:81)-LOOKUP(C11,80:80,81:81)+100</f>
        <v>100</v>
      </c>
      <c r="G11" s="428">
        <v>1.8</v>
      </c>
      <c r="H11" s="134">
        <f>LOOKUP(G11,80:80,81:81)-LOOKUP(C11,80:80,81:81)+100</f>
        <v>100</v>
      </c>
      <c r="I11" s="427">
        <v>2</v>
      </c>
      <c r="J11" s="134">
        <f>LOOKUP(I11,80:80,81:81)-LOOKUP(C11,80:80,81:81)+100</f>
        <v>99</v>
      </c>
      <c r="K11" s="671">
        <v>1</v>
      </c>
      <c r="L11" s="1137"/>
      <c r="M11" s="1130"/>
      <c r="N11" s="1130"/>
      <c r="O11" s="1138"/>
      <c r="P11" s="3232"/>
      <c r="Q11" s="1793" t="str">
        <f t="shared" si="6"/>
        <v>容积率</v>
      </c>
      <c r="R11" s="768" t="s">
        <v>17</v>
      </c>
      <c r="S11" s="769">
        <f t="shared" si="0"/>
        <v>100</v>
      </c>
      <c r="T11" s="768" t="s">
        <v>17</v>
      </c>
      <c r="U11" s="769">
        <f t="shared" si="1"/>
        <v>100</v>
      </c>
      <c r="V11" s="768" t="s">
        <v>17</v>
      </c>
      <c r="W11" s="769">
        <f t="shared" si="2"/>
        <v>99</v>
      </c>
      <c r="X11" s="770"/>
      <c r="Y11" s="3071"/>
      <c r="Z11" s="55" t="str">
        <f t="shared" si="7"/>
        <v>容积率</v>
      </c>
      <c r="AA11" s="771">
        <f t="shared" si="3"/>
        <v>1</v>
      </c>
      <c r="AB11" s="771">
        <f t="shared" si="4"/>
        <v>1</v>
      </c>
      <c r="AC11" s="771">
        <f t="shared" si="5"/>
        <v>1.0101010101010102</v>
      </c>
    </row>
    <row r="12" spans="1:30" s="116" customFormat="1" ht="15">
      <c r="A12" s="429"/>
      <c r="B12" s="2593" t="s">
        <v>2740</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232"/>
      <c r="Q12" s="1793" t="str">
        <f t="shared" si="6"/>
        <v>配建</v>
      </c>
      <c r="R12" s="768" t="s">
        <v>17</v>
      </c>
      <c r="S12" s="769">
        <f t="shared" si="0"/>
        <v>100</v>
      </c>
      <c r="T12" s="768" t="s">
        <v>17</v>
      </c>
      <c r="U12" s="769">
        <f t="shared" si="1"/>
        <v>100</v>
      </c>
      <c r="V12" s="768" t="s">
        <v>17</v>
      </c>
      <c r="W12" s="769">
        <f t="shared" si="2"/>
        <v>100</v>
      </c>
      <c r="X12" s="770"/>
      <c r="Y12" s="3071"/>
      <c r="Z12" s="55" t="str">
        <f t="shared" si="7"/>
        <v>配建</v>
      </c>
      <c r="AA12" s="771">
        <f>D12/F12</f>
        <v>1</v>
      </c>
      <c r="AB12" s="771">
        <f>D12/H12</f>
        <v>1</v>
      </c>
      <c r="AC12" s="771">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232"/>
      <c r="Q13" s="1793">
        <f t="shared" si="6"/>
        <v>111</v>
      </c>
      <c r="R13" s="768" t="s">
        <v>17</v>
      </c>
      <c r="S13" s="769">
        <f t="shared" si="0"/>
        <v>100</v>
      </c>
      <c r="T13" s="768" t="s">
        <v>17</v>
      </c>
      <c r="U13" s="769">
        <f t="shared" si="1"/>
        <v>100</v>
      </c>
      <c r="V13" s="768" t="s">
        <v>17</v>
      </c>
      <c r="W13" s="769">
        <f t="shared" si="2"/>
        <v>100</v>
      </c>
      <c r="X13" s="770"/>
      <c r="Y13" s="3071"/>
      <c r="Z13" s="55">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232"/>
      <c r="Q14" s="1793">
        <f t="shared" si="6"/>
        <v>111</v>
      </c>
      <c r="R14" s="768" t="s">
        <v>17</v>
      </c>
      <c r="S14" s="769">
        <f t="shared" si="0"/>
        <v>100</v>
      </c>
      <c r="T14" s="768" t="s">
        <v>17</v>
      </c>
      <c r="U14" s="769">
        <f t="shared" si="1"/>
        <v>100</v>
      </c>
      <c r="V14" s="768" t="s">
        <v>17</v>
      </c>
      <c r="W14" s="769">
        <f t="shared" si="2"/>
        <v>100</v>
      </c>
      <c r="X14" s="770"/>
      <c r="Y14" s="3071"/>
      <c r="Z14" s="55">
        <f t="shared" si="7"/>
        <v>111</v>
      </c>
      <c r="AA14" s="771">
        <f>D14/F14</f>
        <v>1</v>
      </c>
      <c r="AB14" s="771">
        <f>D14/H14</f>
        <v>1</v>
      </c>
      <c r="AC14" s="771">
        <f>D14/J14</f>
        <v>1</v>
      </c>
    </row>
    <row r="15" spans="1:30" ht="99.75">
      <c r="A15" s="438" t="s">
        <v>2552</v>
      </c>
      <c r="B15" s="69" t="s">
        <v>2083</v>
      </c>
      <c r="C15" s="2596" t="str">
        <f>估价对象房地状况!C15</f>
        <v>估价对象周边居住用地比例较低、居住小区规模和社区发展完善程度较差，2公里内有隆基泰和万和郡、滨江翡翠城小区等项目，综合评价居住社区成熟度一般</v>
      </c>
      <c r="D15" s="439">
        <v>100</v>
      </c>
      <c r="E15" s="440"/>
      <c r="F15" s="439">
        <f>SUMIF(88:88,E16,89:89)-SUMIF(88:88,C16,89:89)+100</f>
        <v>97</v>
      </c>
      <c r="G15" s="440"/>
      <c r="H15" s="439">
        <f>SUMIF(88:88,G16,89:89)-SUMIF(88:88,C16,89:89)+100</f>
        <v>97</v>
      </c>
      <c r="I15" s="442"/>
      <c r="J15" s="439">
        <f>SUMIF(88:88,I16,89:89)-SUMIF(88:88,C16,89:89)+100</f>
        <v>97</v>
      </c>
      <c r="K15" s="671">
        <v>3</v>
      </c>
      <c r="L15" s="1139"/>
      <c r="M15" s="1130"/>
      <c r="N15" s="1130"/>
      <c r="O15" s="1138"/>
      <c r="P15" s="3247" t="s">
        <v>2553</v>
      </c>
      <c r="Q15" s="1808" t="str">
        <f t="shared" si="6"/>
        <v>居住社区成熟度</v>
      </c>
      <c r="R15" s="772" t="s">
        <v>17</v>
      </c>
      <c r="S15" s="773">
        <f t="shared" si="0"/>
        <v>97</v>
      </c>
      <c r="T15" s="772" t="s">
        <v>17</v>
      </c>
      <c r="U15" s="773">
        <f t="shared" si="1"/>
        <v>97</v>
      </c>
      <c r="V15" s="772" t="s">
        <v>17</v>
      </c>
      <c r="W15" s="773">
        <f t="shared" si="2"/>
        <v>97</v>
      </c>
      <c r="X15" s="1811"/>
      <c r="Y15" s="3247" t="s">
        <v>2553</v>
      </c>
      <c r="Z15" s="1812" t="str">
        <f t="shared" si="7"/>
        <v>居住社区成熟度</v>
      </c>
      <c r="AA15" s="1809">
        <f t="shared" si="3"/>
        <v>1.0309278350515463</v>
      </c>
      <c r="AB15" s="1809">
        <f t="shared" si="4"/>
        <v>1.0309278350515463</v>
      </c>
      <c r="AC15" s="1809">
        <f t="shared" si="5"/>
        <v>1.0309278350515463</v>
      </c>
    </row>
    <row r="16" spans="1:30" ht="15">
      <c r="A16" s="426"/>
      <c r="B16" s="444"/>
      <c r="C16" s="445" t="s">
        <v>3251</v>
      </c>
      <c r="D16" s="446"/>
      <c r="E16" s="2598" t="s">
        <v>3265</v>
      </c>
      <c r="F16" s="446"/>
      <c r="G16" s="2598" t="s">
        <v>3265</v>
      </c>
      <c r="H16" s="448"/>
      <c r="I16" s="2598" t="s">
        <v>3265</v>
      </c>
      <c r="J16" s="446"/>
      <c r="K16" s="670"/>
      <c r="L16" s="1139"/>
      <c r="M16" s="1130"/>
      <c r="N16" s="1130"/>
      <c r="O16" s="1138"/>
      <c r="P16" s="3248"/>
      <c r="Q16" s="1808"/>
      <c r="R16" s="772"/>
      <c r="S16" s="773"/>
      <c r="T16" s="772"/>
      <c r="U16" s="773"/>
      <c r="V16" s="772"/>
      <c r="W16" s="773"/>
      <c r="X16" s="1811"/>
      <c r="Y16" s="3248"/>
      <c r="Z16" s="1812"/>
      <c r="AA16" s="1809">
        <v>1</v>
      </c>
      <c r="AB16" s="1809">
        <v>1</v>
      </c>
      <c r="AC16" s="1809">
        <v>1</v>
      </c>
    </row>
    <row r="17" spans="1:29" ht="42.75">
      <c r="A17" s="426"/>
      <c r="B17" s="449" t="s">
        <v>2646</v>
      </c>
      <c r="C17" s="2655" t="str">
        <f>估价对象房地状况!C16</f>
        <v>估价对象周边商业氛围较差，正在开发建设中，商业繁华度较差</v>
      </c>
      <c r="D17" s="448">
        <v>100</v>
      </c>
      <c r="E17" s="450"/>
      <c r="F17" s="448">
        <f>SUMIF(90:90,E18,91:91)-SUMIF(90:90,C18,91:91)+100</f>
        <v>100</v>
      </c>
      <c r="G17" s="450"/>
      <c r="H17" s="453">
        <f>SUMIF(90:90,G18,91:91)-SUMIF(90:90,C18,91:91)+100</f>
        <v>100</v>
      </c>
      <c r="I17" s="452"/>
      <c r="J17" s="453">
        <f>SUMIF(90:90,I18,91:91)-SUMIF(90:90,C18,91:91)+100</f>
        <v>100</v>
      </c>
      <c r="K17" s="671">
        <v>2</v>
      </c>
      <c r="L17" s="1139"/>
      <c r="M17" s="1130"/>
      <c r="N17" s="1130"/>
      <c r="O17" s="1138"/>
      <c r="P17" s="3248"/>
      <c r="Q17" s="1808" t="str">
        <f>B17</f>
        <v>商业繁华度</v>
      </c>
      <c r="R17" s="772" t="s">
        <v>17</v>
      </c>
      <c r="S17" s="773">
        <f>F17</f>
        <v>100</v>
      </c>
      <c r="T17" s="772" t="s">
        <v>17</v>
      </c>
      <c r="U17" s="773">
        <f>H17</f>
        <v>100</v>
      </c>
      <c r="V17" s="772" t="s">
        <v>17</v>
      </c>
      <c r="W17" s="773">
        <f>J17</f>
        <v>100</v>
      </c>
      <c r="X17" s="1811"/>
      <c r="Y17" s="3248"/>
      <c r="Z17" s="1812" t="str">
        <f>Q17</f>
        <v>商业繁华度</v>
      </c>
      <c r="AA17" s="1809">
        <f t="shared" si="3"/>
        <v>1</v>
      </c>
      <c r="AB17" s="1809">
        <f t="shared" si="4"/>
        <v>1</v>
      </c>
      <c r="AC17" s="1809">
        <f t="shared" si="5"/>
        <v>1</v>
      </c>
    </row>
    <row r="18" spans="1:29" ht="15">
      <c r="A18" s="426"/>
      <c r="B18" s="454"/>
      <c r="C18" s="2601" t="s">
        <v>3265</v>
      </c>
      <c r="D18" s="448"/>
      <c r="E18" s="2601" t="s">
        <v>3265</v>
      </c>
      <c r="F18" s="448"/>
      <c r="G18" s="2601" t="s">
        <v>3265</v>
      </c>
      <c r="H18" s="446"/>
      <c r="I18" s="2601" t="s">
        <v>3265</v>
      </c>
      <c r="J18" s="446"/>
      <c r="K18" s="670"/>
      <c r="L18" s="1139"/>
      <c r="M18" s="1130"/>
      <c r="N18" s="1130"/>
      <c r="O18" s="1138"/>
      <c r="P18" s="3248"/>
      <c r="Q18" s="1808"/>
      <c r="R18" s="772"/>
      <c r="S18" s="773"/>
      <c r="T18" s="772"/>
      <c r="U18" s="773"/>
      <c r="V18" s="772"/>
      <c r="W18" s="773"/>
      <c r="X18" s="1811"/>
      <c r="Y18" s="3248"/>
      <c r="Z18" s="1812"/>
      <c r="AA18" s="1809">
        <v>1</v>
      </c>
      <c r="AB18" s="1809">
        <v>1</v>
      </c>
      <c r="AC18" s="1809">
        <v>1</v>
      </c>
    </row>
    <row r="19" spans="1:29" ht="23.25" customHeight="1">
      <c r="A19" s="426"/>
      <c r="B19" s="449" t="s">
        <v>2680</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248"/>
      <c r="Q19" s="1808" t="str">
        <f>B19</f>
        <v>办公集聚程度</v>
      </c>
      <c r="R19" s="772" t="s">
        <v>17</v>
      </c>
      <c r="S19" s="773">
        <f>F19</f>
        <v>100</v>
      </c>
      <c r="T19" s="772" t="s">
        <v>17</v>
      </c>
      <c r="U19" s="773">
        <f>H19</f>
        <v>100</v>
      </c>
      <c r="V19" s="772" t="s">
        <v>17</v>
      </c>
      <c r="W19" s="773">
        <f>J19</f>
        <v>100</v>
      </c>
      <c r="X19" s="1811"/>
      <c r="Y19" s="3248"/>
      <c r="Z19" s="1812" t="str">
        <f>Q19</f>
        <v>办公集聚程度</v>
      </c>
      <c r="AA19" s="1809">
        <f t="shared" si="3"/>
        <v>1</v>
      </c>
      <c r="AB19" s="1809">
        <f t="shared" si="4"/>
        <v>1</v>
      </c>
      <c r="AC19" s="1809">
        <f t="shared" si="5"/>
        <v>1</v>
      </c>
    </row>
    <row r="20" spans="1:29" ht="15">
      <c r="A20" s="426"/>
      <c r="B20" s="454"/>
      <c r="C20" s="445"/>
      <c r="D20" s="446"/>
      <c r="E20" s="2598"/>
      <c r="F20" s="446"/>
      <c r="G20" s="2598"/>
      <c r="H20" s="446"/>
      <c r="I20" s="2597"/>
      <c r="J20" s="446"/>
      <c r="K20" s="670"/>
      <c r="L20" s="1139"/>
      <c r="M20" s="1130"/>
      <c r="N20" s="1130"/>
      <c r="O20" s="1138"/>
      <c r="P20" s="3248"/>
      <c r="Q20" s="1808"/>
      <c r="R20" s="772"/>
      <c r="S20" s="773"/>
      <c r="T20" s="772"/>
      <c r="U20" s="773"/>
      <c r="V20" s="772"/>
      <c r="W20" s="773"/>
      <c r="X20" s="1811"/>
      <c r="Y20" s="3248"/>
      <c r="Z20" s="1812"/>
      <c r="AA20" s="1809">
        <v>1</v>
      </c>
      <c r="AB20" s="1809">
        <v>1</v>
      </c>
      <c r="AC20" s="1809">
        <v>1</v>
      </c>
    </row>
    <row r="21" spans="1:29" ht="69.75" customHeight="1">
      <c r="A21" s="426"/>
      <c r="B21" s="449" t="s">
        <v>2702</v>
      </c>
      <c r="C21" s="2600" t="str">
        <f>估价对象房地状况!C18</f>
        <v>估价对象周边有326、泾阳9、泾阳16等公交线路，综合评价交通便捷度较差</v>
      </c>
      <c r="D21" s="448">
        <v>100</v>
      </c>
      <c r="E21" s="450" t="s">
        <v>3266</v>
      </c>
      <c r="F21" s="453">
        <f>SUMIF(94:94,E22,95:95)-SUMIF(94:94,C22,95:95)+100</f>
        <v>100</v>
      </c>
      <c r="G21" s="450" t="s">
        <v>3266</v>
      </c>
      <c r="H21" s="448">
        <f>SUMIF(94:94,G22,95:95)-SUMIF(94:94,C22,95:95)+100</f>
        <v>100</v>
      </c>
      <c r="I21" s="452" t="s">
        <v>3269</v>
      </c>
      <c r="J21" s="448">
        <f>SUMIF(94:94,I22,95:95)-SUMIF(94:94,C22,95:95)+100</f>
        <v>100</v>
      </c>
      <c r="K21" s="671">
        <v>2</v>
      </c>
      <c r="L21" s="1139"/>
      <c r="M21" s="1130"/>
      <c r="N21" s="1130"/>
      <c r="O21" s="1138"/>
      <c r="P21" s="3248"/>
      <c r="Q21" s="1808" t="str">
        <f>B21</f>
        <v>交通便捷度</v>
      </c>
      <c r="R21" s="772" t="s">
        <v>17</v>
      </c>
      <c r="S21" s="773">
        <f>F21</f>
        <v>100</v>
      </c>
      <c r="T21" s="772" t="s">
        <v>17</v>
      </c>
      <c r="U21" s="773">
        <f>H21</f>
        <v>100</v>
      </c>
      <c r="V21" s="772" t="s">
        <v>17</v>
      </c>
      <c r="W21" s="773">
        <f>J21</f>
        <v>100</v>
      </c>
      <c r="X21" s="1811"/>
      <c r="Y21" s="3248"/>
      <c r="Z21" s="1812" t="str">
        <f>Q21</f>
        <v>交通便捷度</v>
      </c>
      <c r="AA21" s="1809">
        <f t="shared" si="3"/>
        <v>1</v>
      </c>
      <c r="AB21" s="1809">
        <f t="shared" si="4"/>
        <v>1</v>
      </c>
      <c r="AC21" s="1809">
        <f t="shared" si="5"/>
        <v>1</v>
      </c>
    </row>
    <row r="22" spans="1:29" ht="15">
      <c r="A22" s="426"/>
      <c r="B22" s="1383"/>
      <c r="C22" s="445" t="s">
        <v>3265</v>
      </c>
      <c r="D22" s="448"/>
      <c r="E22" s="2598" t="s">
        <v>3265</v>
      </c>
      <c r="F22" s="446"/>
      <c r="G22" s="2598" t="s">
        <v>3265</v>
      </c>
      <c r="H22" s="446"/>
      <c r="I22" s="2597" t="s">
        <v>3265</v>
      </c>
      <c r="J22" s="446"/>
      <c r="K22" s="670"/>
      <c r="L22" s="1139"/>
      <c r="M22" s="1130"/>
      <c r="N22" s="1130"/>
      <c r="O22" s="1138"/>
      <c r="P22" s="3248"/>
      <c r="Q22" s="1808"/>
      <c r="R22" s="772"/>
      <c r="S22" s="773"/>
      <c r="T22" s="772"/>
      <c r="U22" s="773"/>
      <c r="V22" s="772"/>
      <c r="W22" s="773"/>
      <c r="X22" s="1811"/>
      <c r="Y22" s="3248"/>
      <c r="Z22" s="1812"/>
      <c r="AA22" s="1809">
        <v>1</v>
      </c>
      <c r="AB22" s="1809">
        <v>1</v>
      </c>
      <c r="AC22" s="1809">
        <v>1</v>
      </c>
    </row>
    <row r="23" spans="1:29" ht="15">
      <c r="A23" s="402"/>
      <c r="B23" s="449" t="s">
        <v>2741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248"/>
      <c r="Q23" s="1808" t="str">
        <f t="shared" ref="Q23:Q37" si="8">B23</f>
        <v>区域土地利用方向</v>
      </c>
      <c r="R23" s="772" t="s">
        <v>17</v>
      </c>
      <c r="S23" s="773">
        <f>F23</f>
        <v>100</v>
      </c>
      <c r="T23" s="772" t="s">
        <v>17</v>
      </c>
      <c r="U23" s="773">
        <f>H23</f>
        <v>100</v>
      </c>
      <c r="V23" s="772" t="s">
        <v>17</v>
      </c>
      <c r="W23" s="773">
        <f>J23</f>
        <v>100</v>
      </c>
      <c r="X23" s="1811"/>
      <c r="Y23" s="3248"/>
      <c r="Z23" s="1812" t="str">
        <f>Q23</f>
        <v>区域土地利用方向</v>
      </c>
      <c r="AA23" s="1809">
        <f t="shared" si="3"/>
        <v>1</v>
      </c>
      <c r="AB23" s="1809">
        <f t="shared" si="4"/>
        <v>1</v>
      </c>
      <c r="AC23" s="1809">
        <f t="shared" si="5"/>
        <v>1</v>
      </c>
    </row>
    <row r="24" spans="1:29" ht="15">
      <c r="A24" s="402"/>
      <c r="B24" s="454"/>
      <c r="C24" s="614"/>
      <c r="D24" s="446"/>
      <c r="E24" s="2598"/>
      <c r="F24" s="446"/>
      <c r="G24" s="2597"/>
      <c r="H24" s="446"/>
      <c r="I24" s="2597"/>
      <c r="J24" s="446"/>
      <c r="K24" s="808"/>
      <c r="L24" s="1139"/>
      <c r="M24" s="1130"/>
      <c r="N24" s="1130"/>
      <c r="O24" s="1138"/>
      <c r="P24" s="3248"/>
      <c r="Q24" s="1808"/>
      <c r="R24" s="772"/>
      <c r="S24" s="773"/>
      <c r="T24" s="772"/>
      <c r="U24" s="773"/>
      <c r="V24" s="772"/>
      <c r="W24" s="773"/>
      <c r="X24" s="1811"/>
      <c r="Y24" s="3248"/>
      <c r="Z24" s="1812"/>
      <c r="AA24" s="1809"/>
      <c r="AB24" s="1809"/>
      <c r="AC24" s="1809"/>
    </row>
    <row r="25" spans="1:29" ht="28.5">
      <c r="A25" s="402"/>
      <c r="B25" s="1383" t="s">
        <v>2742</v>
      </c>
      <c r="C25" s="2655" t="str">
        <f>估价对象房地状况!C20</f>
        <v>周边1公里有泾河，综合评价环境状况一般</v>
      </c>
      <c r="D25" s="448">
        <v>100</v>
      </c>
      <c r="E25" s="450" t="s">
        <v>3267</v>
      </c>
      <c r="F25" s="448">
        <f>SUMIF(98:98,E26,99:99)-SUMIF(98:98,C26,99:99)+100</f>
        <v>100</v>
      </c>
      <c r="G25" s="450" t="s">
        <v>3267</v>
      </c>
      <c r="H25" s="448">
        <f>SUMIF(98:98,G26,99:99)-SUMIF(98:98,C26,99:99)+100</f>
        <v>100</v>
      </c>
      <c r="I25" s="452" t="s">
        <v>3270</v>
      </c>
      <c r="J25" s="448">
        <f>SUMIF(98:98,I26,99:99)-SUMIF(98:98,C26,99:99)+100</f>
        <v>100</v>
      </c>
      <c r="K25" s="671">
        <v>2</v>
      </c>
      <c r="L25" s="1139"/>
      <c r="M25" s="1130"/>
      <c r="N25" s="1130"/>
      <c r="O25" s="1138"/>
      <c r="P25" s="3248"/>
      <c r="Q25" s="1808" t="str">
        <f t="shared" si="8"/>
        <v>自然及人文环境状况</v>
      </c>
      <c r="R25" s="772" t="s">
        <v>17</v>
      </c>
      <c r="S25" s="773">
        <f>F25</f>
        <v>100</v>
      </c>
      <c r="T25" s="772" t="s">
        <v>17</v>
      </c>
      <c r="U25" s="773">
        <f>H25</f>
        <v>100</v>
      </c>
      <c r="V25" s="772" t="s">
        <v>17</v>
      </c>
      <c r="W25" s="773">
        <f>J25</f>
        <v>100</v>
      </c>
      <c r="X25" s="1811"/>
      <c r="Y25" s="3248"/>
      <c r="Z25" s="1812" t="str">
        <f>Q25</f>
        <v>自然及人文环境状况</v>
      </c>
      <c r="AA25" s="1809">
        <f t="shared" si="3"/>
        <v>1</v>
      </c>
      <c r="AB25" s="1809">
        <f t="shared" si="4"/>
        <v>1</v>
      </c>
      <c r="AC25" s="1809">
        <f t="shared" si="5"/>
        <v>1</v>
      </c>
    </row>
    <row r="26" spans="1:29" ht="15">
      <c r="A26" s="402"/>
      <c r="B26" s="454"/>
      <c r="C26" s="445" t="s">
        <v>3251</v>
      </c>
      <c r="D26" s="446"/>
      <c r="E26" s="445" t="s">
        <v>3251</v>
      </c>
      <c r="F26" s="446"/>
      <c r="G26" s="445" t="s">
        <v>3251</v>
      </c>
      <c r="H26" s="446"/>
      <c r="I26" s="445" t="s">
        <v>3251</v>
      </c>
      <c r="J26" s="446"/>
      <c r="K26" s="670"/>
      <c r="L26" s="1139"/>
      <c r="M26" s="1130"/>
      <c r="N26" s="1130"/>
      <c r="O26" s="1138"/>
      <c r="P26" s="3248"/>
      <c r="Q26" s="1808"/>
      <c r="R26" s="772"/>
      <c r="S26" s="773"/>
      <c r="T26" s="772"/>
      <c r="U26" s="773"/>
      <c r="V26" s="772"/>
      <c r="W26" s="773"/>
      <c r="X26" s="1811"/>
      <c r="Y26" s="3248"/>
      <c r="Z26" s="1812"/>
      <c r="AA26" s="1809">
        <v>1</v>
      </c>
      <c r="AB26" s="1809">
        <v>1</v>
      </c>
      <c r="AC26" s="1809">
        <v>1</v>
      </c>
    </row>
    <row r="27" spans="1:29" s="116" customFormat="1" ht="28.5">
      <c r="A27" s="647"/>
      <c r="B27" s="1383" t="s">
        <v>2647</v>
      </c>
      <c r="C27" s="2600" t="str">
        <f>估价对象房地状况!C21</f>
        <v>估价对象所在区域公共配套设施齐备度较差</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1"/>
      <c r="M27" s="1132"/>
      <c r="N27" s="1132"/>
      <c r="O27" s="1133"/>
      <c r="P27" s="3248"/>
      <c r="Q27" s="1793" t="str">
        <f t="shared" si="8"/>
        <v>公共配套设施</v>
      </c>
      <c r="R27" s="768" t="s">
        <v>17</v>
      </c>
      <c r="S27" s="769">
        <f>F27</f>
        <v>100</v>
      </c>
      <c r="T27" s="768" t="s">
        <v>17</v>
      </c>
      <c r="U27" s="769">
        <f>H27</f>
        <v>100</v>
      </c>
      <c r="V27" s="768" t="s">
        <v>17</v>
      </c>
      <c r="W27" s="769">
        <f>J27</f>
        <v>100</v>
      </c>
      <c r="X27" s="770"/>
      <c r="Y27" s="3248"/>
      <c r="Z27" s="55" t="str">
        <f>Q27</f>
        <v>公共配套设施</v>
      </c>
      <c r="AA27" s="1809">
        <f>D27/F27</f>
        <v>1</v>
      </c>
      <c r="AB27" s="1809">
        <f>D27/H27</f>
        <v>1</v>
      </c>
      <c r="AC27" s="1809">
        <f>D27/J27</f>
        <v>1</v>
      </c>
    </row>
    <row r="28" spans="1:29" s="116" customFormat="1" ht="15">
      <c r="A28" s="647"/>
      <c r="B28" s="454"/>
      <c r="C28" s="2691" t="s">
        <v>3265</v>
      </c>
      <c r="D28" s="446"/>
      <c r="E28" s="2691" t="s">
        <v>3265</v>
      </c>
      <c r="F28" s="446"/>
      <c r="G28" s="2691" t="s">
        <v>3265</v>
      </c>
      <c r="H28" s="446"/>
      <c r="I28" s="2691" t="s">
        <v>3265</v>
      </c>
      <c r="J28" s="446"/>
      <c r="K28" s="670"/>
      <c r="L28" s="1131"/>
      <c r="M28" s="1132"/>
      <c r="N28" s="1132"/>
      <c r="O28" s="1133"/>
      <c r="P28" s="3248"/>
      <c r="Q28" s="1793"/>
      <c r="R28" s="768"/>
      <c r="S28" s="769"/>
      <c r="T28" s="768"/>
      <c r="U28" s="769"/>
      <c r="V28" s="768"/>
      <c r="W28" s="769"/>
      <c r="X28" s="770"/>
      <c r="Y28" s="3248"/>
      <c r="Z28" s="55"/>
      <c r="AA28" s="1809">
        <v>1</v>
      </c>
      <c r="AB28" s="1809">
        <v>1</v>
      </c>
      <c r="AC28" s="1809">
        <v>1</v>
      </c>
    </row>
    <row r="29" spans="1:29" s="116" customFormat="1" ht="28.5">
      <c r="A29" s="647"/>
      <c r="B29" s="1383" t="s">
        <v>2648</v>
      </c>
      <c r="C29" s="2600" t="str">
        <f>估价对象房地状况!C22</f>
        <v>估价对象所在区域基础设施水平达七通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1"/>
      <c r="M29" s="1132"/>
      <c r="N29" s="1132"/>
      <c r="O29" s="1133"/>
      <c r="P29" s="3248"/>
      <c r="Q29" s="1793" t="str">
        <f t="shared" ref="Q29" si="9">B29</f>
        <v>基础设施水平</v>
      </c>
      <c r="R29" s="768" t="s">
        <v>17</v>
      </c>
      <c r="S29" s="769">
        <f>F29</f>
        <v>100</v>
      </c>
      <c r="T29" s="768" t="s">
        <v>17</v>
      </c>
      <c r="U29" s="769">
        <f>H29</f>
        <v>100</v>
      </c>
      <c r="V29" s="768" t="s">
        <v>17</v>
      </c>
      <c r="W29" s="769">
        <f>J29</f>
        <v>100</v>
      </c>
      <c r="X29" s="770"/>
      <c r="Y29" s="3248"/>
      <c r="Z29" s="55" t="str">
        <f>Q29</f>
        <v>基础设施水平</v>
      </c>
      <c r="AA29" s="1809">
        <f>D29/F29</f>
        <v>1</v>
      </c>
      <c r="AB29" s="1809">
        <f>D29/H29</f>
        <v>1</v>
      </c>
      <c r="AC29" s="1809">
        <f>D29/J29</f>
        <v>1</v>
      </c>
    </row>
    <row r="30" spans="1:29" s="116" customFormat="1" ht="15">
      <c r="A30" s="647"/>
      <c r="B30" s="454"/>
      <c r="C30" s="2691" t="s">
        <v>3253</v>
      </c>
      <c r="D30" s="446"/>
      <c r="E30" s="2691" t="s">
        <v>3253</v>
      </c>
      <c r="F30" s="446"/>
      <c r="G30" s="2691" t="s">
        <v>3253</v>
      </c>
      <c r="H30" s="446"/>
      <c r="I30" s="2691" t="s">
        <v>3253</v>
      </c>
      <c r="J30" s="446"/>
      <c r="K30" s="670"/>
      <c r="L30" s="1131"/>
      <c r="M30" s="1132"/>
      <c r="N30" s="1132"/>
      <c r="O30" s="1133"/>
      <c r="P30" s="3248"/>
      <c r="Q30" s="1793"/>
      <c r="R30" s="768"/>
      <c r="S30" s="769"/>
      <c r="T30" s="768"/>
      <c r="U30" s="769"/>
      <c r="V30" s="768"/>
      <c r="W30" s="769"/>
      <c r="X30" s="770"/>
      <c r="Y30" s="3248"/>
      <c r="Z30" s="55"/>
      <c r="AA30" s="1809">
        <v>1</v>
      </c>
      <c r="AB30" s="1809">
        <v>1</v>
      </c>
      <c r="AC30" s="1809">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24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48"/>
      <c r="Z31" s="1812" t="str">
        <f t="shared" ref="Z31:Z45" si="13">Q31</f>
        <v>临街状况</v>
      </c>
      <c r="AA31" s="1809">
        <f t="shared" si="3"/>
        <v>1</v>
      </c>
      <c r="AB31" s="1809">
        <f t="shared" si="4"/>
        <v>1</v>
      </c>
      <c r="AC31" s="1809">
        <f t="shared" si="5"/>
        <v>1</v>
      </c>
    </row>
    <row r="32" spans="1:29" ht="27">
      <c r="A32" s="426"/>
      <c r="B32" s="1383" t="s">
        <v>2684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9"/>
      <c r="M32" s="1130"/>
      <c r="N32" s="1130"/>
      <c r="O32" s="1138"/>
      <c r="P32" s="3248"/>
      <c r="Q32" s="1808" t="str">
        <f t="shared" si="8"/>
        <v>毗邻道路的类型与等级</v>
      </c>
      <c r="R32" s="772" t="s">
        <v>17</v>
      </c>
      <c r="S32" s="773">
        <f t="shared" si="10"/>
        <v>100</v>
      </c>
      <c r="T32" s="772" t="s">
        <v>17</v>
      </c>
      <c r="U32" s="773">
        <f t="shared" si="11"/>
        <v>100</v>
      </c>
      <c r="V32" s="772" t="s">
        <v>17</v>
      </c>
      <c r="W32" s="773">
        <f t="shared" si="12"/>
        <v>100</v>
      </c>
      <c r="X32" s="1811"/>
      <c r="Y32" s="3248"/>
      <c r="Z32" s="1812" t="str">
        <f t="shared" si="13"/>
        <v>毗邻道路的类型与等级</v>
      </c>
      <c r="AA32" s="1809">
        <f t="shared" si="3"/>
        <v>1</v>
      </c>
      <c r="AB32" s="1809">
        <f t="shared" si="4"/>
        <v>1</v>
      </c>
      <c r="AC32" s="1809">
        <f t="shared" si="5"/>
        <v>1</v>
      </c>
    </row>
    <row r="33" spans="1:29" ht="15">
      <c r="A33" s="426"/>
      <c r="B33" s="454"/>
      <c r="C33" s="445" t="s">
        <v>3247</v>
      </c>
      <c r="D33" s="446"/>
      <c r="E33" s="445" t="s">
        <v>3247</v>
      </c>
      <c r="F33" s="446"/>
      <c r="G33" s="445" t="s">
        <v>3247</v>
      </c>
      <c r="H33" s="446"/>
      <c r="I33" s="445" t="s">
        <v>3247</v>
      </c>
      <c r="J33" s="446"/>
      <c r="K33" s="611"/>
      <c r="L33" s="1139"/>
      <c r="M33" s="1130"/>
      <c r="N33" s="1130"/>
      <c r="O33" s="1138"/>
      <c r="P33" s="3248"/>
      <c r="Q33" s="1808"/>
      <c r="R33" s="772"/>
      <c r="S33" s="773"/>
      <c r="T33" s="772"/>
      <c r="U33" s="773"/>
      <c r="V33" s="772"/>
      <c r="W33" s="773"/>
      <c r="X33" s="1811"/>
      <c r="Y33" s="3248"/>
      <c r="Z33" s="1812"/>
      <c r="AA33" s="1809">
        <v>1</v>
      </c>
      <c r="AB33" s="1809">
        <v>1</v>
      </c>
      <c r="AC33" s="1809">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248"/>
      <c r="Q34" s="1808" t="str">
        <f t="shared" si="8"/>
        <v>土地级别</v>
      </c>
      <c r="R34" s="772" t="s">
        <v>17</v>
      </c>
      <c r="S34" s="773">
        <f t="shared" si="10"/>
        <v>100</v>
      </c>
      <c r="T34" s="772" t="s">
        <v>17</v>
      </c>
      <c r="U34" s="773">
        <f t="shared" si="11"/>
        <v>100</v>
      </c>
      <c r="V34" s="772" t="s">
        <v>17</v>
      </c>
      <c r="W34" s="773">
        <f t="shared" si="12"/>
        <v>100</v>
      </c>
      <c r="X34" s="1811"/>
      <c r="Y34" s="3248"/>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248"/>
      <c r="Q35" s="1808">
        <f t="shared" si="8"/>
        <v>111</v>
      </c>
      <c r="R35" s="772" t="s">
        <v>17</v>
      </c>
      <c r="S35" s="773">
        <f t="shared" si="10"/>
        <v>100</v>
      </c>
      <c r="T35" s="772" t="s">
        <v>17</v>
      </c>
      <c r="U35" s="773">
        <f t="shared" si="11"/>
        <v>100</v>
      </c>
      <c r="V35" s="772" t="s">
        <v>17</v>
      </c>
      <c r="W35" s="773">
        <f t="shared" si="12"/>
        <v>100</v>
      </c>
      <c r="X35" s="1811"/>
      <c r="Y35" s="3248"/>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249" t="s">
        <v>2558</v>
      </c>
      <c r="Q36" s="1808">
        <f t="shared" si="8"/>
        <v>111</v>
      </c>
      <c r="R36" s="772" t="s">
        <v>17</v>
      </c>
      <c r="S36" s="773">
        <f t="shared" si="10"/>
        <v>100</v>
      </c>
      <c r="T36" s="772" t="s">
        <v>17</v>
      </c>
      <c r="U36" s="773">
        <f t="shared" si="11"/>
        <v>100</v>
      </c>
      <c r="V36" s="772" t="s">
        <v>17</v>
      </c>
      <c r="W36" s="773">
        <f t="shared" si="12"/>
        <v>100</v>
      </c>
      <c r="X36" s="1811"/>
      <c r="Y36" s="3250" t="s">
        <v>2558</v>
      </c>
      <c r="Z36" s="1812">
        <f t="shared" si="13"/>
        <v>111</v>
      </c>
      <c r="AA36" s="1809">
        <f t="shared" si="3"/>
        <v>1</v>
      </c>
      <c r="AB36" s="1809">
        <f t="shared" si="4"/>
        <v>1</v>
      </c>
      <c r="AC36" s="1809">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250"/>
      <c r="Q37" s="1808">
        <f t="shared" si="8"/>
        <v>111</v>
      </c>
      <c r="R37" s="775" t="s">
        <v>17</v>
      </c>
      <c r="S37" s="776">
        <f t="shared" si="10"/>
        <v>100</v>
      </c>
      <c r="T37" s="775" t="s">
        <v>17</v>
      </c>
      <c r="U37" s="776">
        <f t="shared" si="11"/>
        <v>100</v>
      </c>
      <c r="V37" s="775" t="s">
        <v>17</v>
      </c>
      <c r="W37" s="776">
        <f t="shared" si="12"/>
        <v>100</v>
      </c>
      <c r="X37" s="777"/>
      <c r="Y37" s="3250"/>
      <c r="Z37" s="778">
        <f t="shared" si="13"/>
        <v>111</v>
      </c>
      <c r="AA37" s="1809">
        <f t="shared" si="3"/>
        <v>1</v>
      </c>
      <c r="AB37" s="1809">
        <f t="shared" si="4"/>
        <v>1</v>
      </c>
      <c r="AC37" s="1809">
        <f t="shared" si="5"/>
        <v>1</v>
      </c>
    </row>
    <row r="38" spans="1:29" ht="15">
      <c r="A38" s="470" t="s">
        <v>2556</v>
      </c>
      <c r="B38" s="454" t="s">
        <v>2744</v>
      </c>
      <c r="C38" s="3359">
        <f>'数据-基础表'!A3</f>
        <v>129943.15</v>
      </c>
      <c r="D38" s="465">
        <v>100</v>
      </c>
      <c r="E38" s="677">
        <f>土地案例!J2</f>
        <v>55340</v>
      </c>
      <c r="F38" s="465">
        <f>LOOKUP(E38,117:117,118:118)-LOOKUP(C38,117:117,118:118)+100</f>
        <v>96</v>
      </c>
      <c r="G38" s="677">
        <f>土地案例!J3</f>
        <v>38110</v>
      </c>
      <c r="H38" s="465">
        <f>LOOKUP(G38,117:117,118:118)-LOOKUP(C38,117:117,118:118)+100</f>
        <v>95</v>
      </c>
      <c r="I38" s="528">
        <f>土地案例!J4</f>
        <v>88713.600000000006</v>
      </c>
      <c r="J38" s="465">
        <f>LOOKUP(I38,117:117,118:118)-LOOKUP(C38,117:117,118:118)+100</f>
        <v>98</v>
      </c>
      <c r="K38" s="611"/>
      <c r="L38" s="1139"/>
      <c r="M38" s="1130"/>
      <c r="N38" s="1130"/>
      <c r="O38" s="1138"/>
      <c r="P38" s="3250"/>
      <c r="Q38" s="1808" t="str">
        <f>B38</f>
        <v>宗地面积</v>
      </c>
      <c r="R38" s="772" t="s">
        <v>17</v>
      </c>
      <c r="S38" s="773">
        <f t="shared" si="10"/>
        <v>96</v>
      </c>
      <c r="T38" s="772" t="s">
        <v>17</v>
      </c>
      <c r="U38" s="773">
        <f t="shared" si="11"/>
        <v>95</v>
      </c>
      <c r="V38" s="772" t="s">
        <v>17</v>
      </c>
      <c r="W38" s="773">
        <f t="shared" si="12"/>
        <v>98</v>
      </c>
      <c r="X38" s="1811"/>
      <c r="Y38" s="3250"/>
      <c r="Z38" s="1812" t="str">
        <f t="shared" si="13"/>
        <v>宗地面积</v>
      </c>
      <c r="AA38" s="1809">
        <f t="shared" si="3"/>
        <v>1.0416666666666667</v>
      </c>
      <c r="AB38" s="1809">
        <f t="shared" si="4"/>
        <v>1.0526315789473684</v>
      </c>
      <c r="AC38" s="1809">
        <f t="shared" si="5"/>
        <v>1.0204081632653061</v>
      </c>
    </row>
    <row r="39" spans="1:29" ht="15">
      <c r="A39" s="470"/>
      <c r="B39" s="420" t="s">
        <v>2745</v>
      </c>
      <c r="C39" s="2606" t="s">
        <v>3250</v>
      </c>
      <c r="D39" s="433">
        <v>100</v>
      </c>
      <c r="E39" s="2606" t="s">
        <v>3250</v>
      </c>
      <c r="F39" s="433">
        <f>SUMIF(119:119,E39,120:120)-SUMIF(119:119,C39,120:120)+100</f>
        <v>100</v>
      </c>
      <c r="G39" s="2606" t="s">
        <v>3250</v>
      </c>
      <c r="H39" s="433">
        <f>SUMIF(119:119,G39,120:120)-SUMIF(119:119,C39,120:120)+100</f>
        <v>100</v>
      </c>
      <c r="I39" s="2606" t="s">
        <v>3250</v>
      </c>
      <c r="J39" s="433">
        <f>SUMIF(119:119,I39,120:120)-SUMIF(119:119,C39,120:120)+100</f>
        <v>100</v>
      </c>
      <c r="K39" s="610">
        <v>2</v>
      </c>
      <c r="L39" s="1139"/>
      <c r="M39" s="1130"/>
      <c r="N39" s="1130"/>
      <c r="O39" s="1138"/>
      <c r="P39" s="3250"/>
      <c r="Q39" s="1808" t="str">
        <f t="shared" ref="Q39:Q45" si="14">B39</f>
        <v>宗地形状</v>
      </c>
      <c r="R39" s="772" t="s">
        <v>17</v>
      </c>
      <c r="S39" s="773">
        <f t="shared" si="10"/>
        <v>100</v>
      </c>
      <c r="T39" s="772" t="s">
        <v>17</v>
      </c>
      <c r="U39" s="773">
        <f t="shared" si="11"/>
        <v>100</v>
      </c>
      <c r="V39" s="772" t="s">
        <v>17</v>
      </c>
      <c r="W39" s="773">
        <f t="shared" si="12"/>
        <v>100</v>
      </c>
      <c r="X39" s="1811"/>
      <c r="Y39" s="3250"/>
      <c r="Z39" s="1812" t="str">
        <f t="shared" si="13"/>
        <v>宗地形状</v>
      </c>
      <c r="AA39" s="1809">
        <f t="shared" si="3"/>
        <v>1</v>
      </c>
      <c r="AB39" s="1809">
        <f t="shared" si="4"/>
        <v>1</v>
      </c>
      <c r="AC39" s="1809">
        <f t="shared" si="5"/>
        <v>1</v>
      </c>
    </row>
    <row r="40" spans="1:29" ht="15">
      <c r="A40" s="470"/>
      <c r="B40" s="420" t="s">
        <v>2746</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c r="L40" s="1139"/>
      <c r="M40" s="1130"/>
      <c r="N40" s="1130"/>
      <c r="O40" s="1138"/>
      <c r="P40" s="3250"/>
      <c r="Q40" s="1808" t="str">
        <f t="shared" si="14"/>
        <v>临街宽度及深度</v>
      </c>
      <c r="R40" s="772" t="s">
        <v>17</v>
      </c>
      <c r="S40" s="773">
        <f t="shared" si="10"/>
        <v>100</v>
      </c>
      <c r="T40" s="772" t="s">
        <v>17</v>
      </c>
      <c r="U40" s="773">
        <f t="shared" si="11"/>
        <v>100</v>
      </c>
      <c r="V40" s="772" t="s">
        <v>17</v>
      </c>
      <c r="W40" s="773">
        <f t="shared" si="12"/>
        <v>100</v>
      </c>
      <c r="X40" s="1811"/>
      <c r="Y40" s="3250"/>
      <c r="Z40" s="1812" t="str">
        <f t="shared" si="13"/>
        <v>临街宽度及深度</v>
      </c>
      <c r="AA40" s="1809">
        <f t="shared" si="3"/>
        <v>1</v>
      </c>
      <c r="AB40" s="1809">
        <f t="shared" si="4"/>
        <v>1</v>
      </c>
      <c r="AC40" s="1809">
        <f t="shared" si="5"/>
        <v>1</v>
      </c>
    </row>
    <row r="41" spans="1:29" s="116" customFormat="1" ht="15">
      <c r="A41" s="471"/>
      <c r="B41" s="420" t="s">
        <v>2747</v>
      </c>
      <c r="C41" s="2693" t="s">
        <v>3253</v>
      </c>
      <c r="D41" s="134">
        <v>100</v>
      </c>
      <c r="E41" s="2693" t="s">
        <v>3253</v>
      </c>
      <c r="F41" s="433">
        <f>SUMIF(123:123,E41,124:124)-SUMIF(123:123,C41,124:124)+100</f>
        <v>100</v>
      </c>
      <c r="G41" s="2693" t="s">
        <v>3253</v>
      </c>
      <c r="H41" s="433">
        <f>SUMIF(123:123,G41,124:124)-SUMIF(123:123,C41,124:124)+100</f>
        <v>100</v>
      </c>
      <c r="I41" s="2693" t="s">
        <v>3253</v>
      </c>
      <c r="J41" s="433">
        <f>SUMIF(123:123,I41,124:124)-SUMIF(123:123,C41,124:124)+100</f>
        <v>100</v>
      </c>
      <c r="K41" s="610">
        <v>1</v>
      </c>
      <c r="L41" s="1131"/>
      <c r="M41" s="1132"/>
      <c r="N41" s="1132"/>
      <c r="O41" s="1133"/>
      <c r="P41" s="3250"/>
      <c r="Q41" s="1808" t="str">
        <f t="shared" si="14"/>
        <v>宗地开发程度</v>
      </c>
      <c r="R41" s="768" t="s">
        <v>17</v>
      </c>
      <c r="S41" s="769">
        <f t="shared" si="10"/>
        <v>100</v>
      </c>
      <c r="T41" s="768" t="s">
        <v>17</v>
      </c>
      <c r="U41" s="769">
        <f t="shared" si="11"/>
        <v>100</v>
      </c>
      <c r="V41" s="768" t="s">
        <v>17</v>
      </c>
      <c r="W41" s="769">
        <f t="shared" si="12"/>
        <v>100</v>
      </c>
      <c r="X41" s="770"/>
      <c r="Y41" s="3250"/>
      <c r="Z41" s="55" t="str">
        <f t="shared" si="13"/>
        <v>宗地开发程度</v>
      </c>
      <c r="AA41" s="771">
        <f t="shared" si="3"/>
        <v>1</v>
      </c>
      <c r="AB41" s="771">
        <f t="shared" si="4"/>
        <v>1</v>
      </c>
      <c r="AC41" s="771">
        <f t="shared" si="5"/>
        <v>1</v>
      </c>
    </row>
    <row r="42" spans="1:29" ht="15">
      <c r="A42" s="470"/>
      <c r="B42" s="420" t="s">
        <v>2748</v>
      </c>
      <c r="C42" s="2606" t="s">
        <v>3258</v>
      </c>
      <c r="D42" s="433">
        <v>100</v>
      </c>
      <c r="E42" s="2606" t="s">
        <v>3258</v>
      </c>
      <c r="F42" s="433">
        <f>SUMIF(125:125,E42,126:126)-SUMIF(125:125,C42,126:126)+100</f>
        <v>100</v>
      </c>
      <c r="G42" s="2606" t="s">
        <v>3258</v>
      </c>
      <c r="H42" s="433">
        <f>SUMIF(125:125,G42,126:126)-SUMIF(125:125,C42,126:126)+100</f>
        <v>100</v>
      </c>
      <c r="I42" s="2606" t="s">
        <v>3258</v>
      </c>
      <c r="J42" s="433">
        <f>SUMIF(125:125,I42,126:126)-SUMIF(125:125,C42,126:126)+100</f>
        <v>100</v>
      </c>
      <c r="K42" s="610">
        <v>2</v>
      </c>
      <c r="L42" s="1139"/>
      <c r="M42" s="1130"/>
      <c r="N42" s="1130"/>
      <c r="O42" s="1138"/>
      <c r="P42" s="3250" t="s">
        <v>2558</v>
      </c>
      <c r="Q42" s="1808" t="str">
        <f t="shared" si="14"/>
        <v>工程地质条件</v>
      </c>
      <c r="R42" s="772" t="s">
        <v>17</v>
      </c>
      <c r="S42" s="773">
        <f t="shared" si="10"/>
        <v>100</v>
      </c>
      <c r="T42" s="772" t="s">
        <v>17</v>
      </c>
      <c r="U42" s="773">
        <f t="shared" si="11"/>
        <v>100</v>
      </c>
      <c r="V42" s="772" t="s">
        <v>17</v>
      </c>
      <c r="W42" s="773">
        <f t="shared" si="12"/>
        <v>100</v>
      </c>
      <c r="X42" s="1811"/>
      <c r="Y42" s="3250" t="s">
        <v>2558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250"/>
      <c r="Q43" s="1808">
        <f t="shared" si="14"/>
        <v>111</v>
      </c>
      <c r="R43" s="772" t="s">
        <v>17</v>
      </c>
      <c r="S43" s="773">
        <f t="shared" si="10"/>
        <v>100</v>
      </c>
      <c r="T43" s="772" t="s">
        <v>17</v>
      </c>
      <c r="U43" s="773">
        <f t="shared" si="11"/>
        <v>100</v>
      </c>
      <c r="V43" s="772" t="s">
        <v>17</v>
      </c>
      <c r="W43" s="773">
        <f t="shared" si="12"/>
        <v>100</v>
      </c>
      <c r="X43" s="1811"/>
      <c r="Y43" s="3250"/>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250"/>
      <c r="Q44" s="1808">
        <f t="shared" si="14"/>
        <v>111</v>
      </c>
      <c r="R44" s="772" t="s">
        <v>17</v>
      </c>
      <c r="S44" s="773">
        <f t="shared" si="10"/>
        <v>100</v>
      </c>
      <c r="T44" s="772" t="s">
        <v>17</v>
      </c>
      <c r="U44" s="773">
        <f t="shared" si="11"/>
        <v>100</v>
      </c>
      <c r="V44" s="772" t="s">
        <v>17</v>
      </c>
      <c r="W44" s="773">
        <f t="shared" si="12"/>
        <v>100</v>
      </c>
      <c r="X44" s="1811"/>
      <c r="Y44" s="3250"/>
      <c r="Z44" s="1812">
        <f t="shared" si="13"/>
        <v>111</v>
      </c>
      <c r="AA44" s="1809">
        <f t="shared" si="3"/>
        <v>1</v>
      </c>
      <c r="AB44" s="1809">
        <f t="shared" si="4"/>
        <v>1</v>
      </c>
      <c r="AC44" s="1809">
        <f t="shared" si="5"/>
        <v>1</v>
      </c>
    </row>
    <row r="45" spans="1:29" s="469" customFormat="1" ht="15.75" thickBot="1">
      <c r="A45" s="466"/>
      <c r="B45" s="1386">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250"/>
      <c r="Q45" s="1808">
        <f t="shared" si="14"/>
        <v>111</v>
      </c>
      <c r="R45" s="775" t="s">
        <v>17</v>
      </c>
      <c r="S45" s="776">
        <f t="shared" si="10"/>
        <v>100</v>
      </c>
      <c r="T45" s="775" t="s">
        <v>17</v>
      </c>
      <c r="U45" s="776">
        <f t="shared" si="11"/>
        <v>100</v>
      </c>
      <c r="V45" s="775" t="s">
        <v>17</v>
      </c>
      <c r="W45" s="776">
        <f t="shared" si="12"/>
        <v>100</v>
      </c>
      <c r="X45" s="777"/>
      <c r="Y45" s="3250"/>
      <c r="Z45" s="778">
        <f t="shared" si="13"/>
        <v>111</v>
      </c>
      <c r="AA45" s="1809">
        <f t="shared" si="3"/>
        <v>1</v>
      </c>
      <c r="AB45" s="1809">
        <f t="shared" si="4"/>
        <v>1</v>
      </c>
      <c r="AC45" s="1809">
        <f t="shared" si="5"/>
        <v>1</v>
      </c>
    </row>
    <row r="46" spans="1:29" ht="15">
      <c r="A46" s="477" t="s">
        <v>2713</v>
      </c>
      <c r="B46" s="2695" t="s">
        <v>2749</v>
      </c>
      <c r="C46" s="680" t="s">
        <v>1</v>
      </c>
      <c r="D46" s="479"/>
      <c r="E46" s="480">
        <f>ROUND(土地案例!AK2,0)</f>
        <v>3906</v>
      </c>
      <c r="F46" s="481"/>
      <c r="G46" s="480">
        <f>ROUND(土地案例!AK3,0)</f>
        <v>3869</v>
      </c>
      <c r="H46" s="483"/>
      <c r="I46" s="480">
        <f>ROUND(土地案例!AK4,0)</f>
        <v>3775</v>
      </c>
      <c r="J46" s="483"/>
      <c r="K46" s="781"/>
      <c r="L46" s="1142"/>
      <c r="M46" s="1143"/>
      <c r="N46" s="1130"/>
      <c r="O46" s="1143"/>
      <c r="P46" s="3232" t="str">
        <f>A46</f>
        <v>成交单价</v>
      </c>
      <c r="Q46" s="3232"/>
      <c r="R46" s="3245">
        <f>E46</f>
        <v>3906</v>
      </c>
      <c r="S46" s="3245"/>
      <c r="T46" s="3245">
        <f>G46</f>
        <v>3869</v>
      </c>
      <c r="U46" s="3245"/>
      <c r="V46" s="3245">
        <f>I46</f>
        <v>3775</v>
      </c>
      <c r="W46" s="3245"/>
      <c r="X46" s="757"/>
      <c r="Y46" s="779"/>
      <c r="Z46" s="757"/>
      <c r="AA46" s="757"/>
      <c r="AB46" s="757"/>
      <c r="AC46" s="757"/>
    </row>
    <row r="47" spans="1:29" ht="15.75" thickBot="1">
      <c r="A47" s="484" t="s">
        <v>2662</v>
      </c>
      <c r="B47" s="681"/>
      <c r="C47" s="488">
        <f>R48</f>
        <v>4180</v>
      </c>
      <c r="D47" s="487"/>
      <c r="E47" s="488">
        <f>R47</f>
        <v>4282</v>
      </c>
      <c r="F47" s="489"/>
      <c r="G47" s="486">
        <f>T47</f>
        <v>4286</v>
      </c>
      <c r="H47" s="487"/>
      <c r="I47" s="488">
        <f>V47</f>
        <v>3972</v>
      </c>
      <c r="J47" s="487"/>
      <c r="K47" s="782"/>
      <c r="L47" s="1142"/>
      <c r="M47" s="1143"/>
      <c r="N47" s="1143"/>
      <c r="O47" s="1143"/>
      <c r="P47" s="3232" t="str">
        <f>A47</f>
        <v>比较价值（元/平方米）</v>
      </c>
      <c r="Q47" s="3232"/>
      <c r="R47" s="3251">
        <f>ROUND(PRODUCT(R46,AA7:AA45),0)</f>
        <v>4282</v>
      </c>
      <c r="S47" s="3251"/>
      <c r="T47" s="3251">
        <f>ROUND(PRODUCT(T46,AB7:AB45),0)</f>
        <v>4286</v>
      </c>
      <c r="U47" s="3251"/>
      <c r="V47" s="3251">
        <f>ROUND(PRODUCT(V46,AC7:AC45),0)</f>
        <v>3972</v>
      </c>
      <c r="W47" s="3251"/>
      <c r="X47" s="757"/>
      <c r="Y47" s="757"/>
      <c r="Z47" s="757"/>
      <c r="AA47" s="757"/>
      <c r="AB47" s="757"/>
      <c r="AC47" s="757"/>
    </row>
    <row r="48" spans="1:29" ht="15.75" thickBot="1">
      <c r="A48" s="490" t="s">
        <v>2750</v>
      </c>
      <c r="B48" s="491"/>
      <c r="C48" s="492">
        <f>R48</f>
        <v>4180</v>
      </c>
      <c r="D48" s="492"/>
      <c r="E48" s="492"/>
      <c r="F48" s="492"/>
      <c r="G48" s="492"/>
      <c r="H48" s="492"/>
      <c r="I48" s="492"/>
      <c r="J48" s="492"/>
      <c r="K48" s="783"/>
      <c r="L48" s="1142"/>
      <c r="M48" s="1143"/>
      <c r="N48" s="1143"/>
      <c r="O48" s="1143"/>
      <c r="P48" s="3252" t="str">
        <f>A48</f>
        <v>估价对象XX用房的比较价值（楼面单价，元/平方米）</v>
      </c>
      <c r="Q48" s="3253"/>
      <c r="R48" s="3254">
        <f>ROUND(AVERAGE(R47:V47),0)</f>
        <v>4180</v>
      </c>
      <c r="S48" s="3254"/>
      <c r="T48" s="3254"/>
      <c r="U48" s="3254"/>
      <c r="V48" s="3254"/>
      <c r="W48" s="3254"/>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2664</v>
      </c>
      <c r="D51" s="496"/>
      <c r="E51" s="497">
        <f>IF(E46&lt;E47,E47/E46-1,E46/E47-1)</f>
        <v>9.6262160778289863E-2</v>
      </c>
      <c r="F51" s="498" t="str">
        <f>IF(OR(E51&gt;=0.3,E51&lt;=-0.3),"超过30%","")</f>
        <v/>
      </c>
      <c r="G51" s="497">
        <f>IF(G46&lt;G47,G47/G46-1,G46/G47-1)</f>
        <v>0.10777978805892996</v>
      </c>
      <c r="H51" s="498" t="str">
        <f>IF(OR(G51&gt;=0.3,G51&lt;=-0.3),"超过30%","")</f>
        <v/>
      </c>
      <c r="I51" s="497">
        <f>IF(I46&lt;I47,I47/I46-1,I46/I47-1)</f>
        <v>5.2185430463576266E-2</v>
      </c>
      <c r="J51" s="498" t="str">
        <f>IF(OR(I51&gt;=0.3,I51&lt;=-0.3),"超过30%","")</f>
        <v/>
      </c>
      <c r="K51" s="1104"/>
      <c r="L51" s="1105"/>
      <c r="M51" s="1143"/>
      <c r="N51" s="1143"/>
      <c r="O51" s="1143"/>
    </row>
    <row r="52" spans="1:15" ht="13.5" customHeight="1">
      <c r="A52" s="1143"/>
      <c r="B52" s="1143"/>
      <c r="C52" s="495" t="s">
        <v>2665</v>
      </c>
      <c r="D52" s="499"/>
      <c r="E52" s="497">
        <f>IF(E47&lt;G47,G47/E47-1,E47/G47-1)</f>
        <v>9.3414292386739817E-4</v>
      </c>
      <c r="F52" s="498" t="str">
        <f>IF(OR(E52&gt;=0.2,E52&lt;=-0.2),"超过20%","")</f>
        <v/>
      </c>
      <c r="G52" s="497">
        <f>IF(G47&lt;I47,I47/G47-1,G47/I47-1)</f>
        <v>7.9053373615307176E-2</v>
      </c>
      <c r="H52" s="498" t="str">
        <f>IF(OR(G52&gt;=0.2,G52&lt;=-0.2),"超过20%","")</f>
        <v/>
      </c>
      <c r="I52" s="497">
        <f>IF(I47&lt;E47,E47/I47-1,I47/E47-1)</f>
        <v>7.8046324269889222E-2</v>
      </c>
      <c r="J52" s="498" t="str">
        <f>IF(OR(I52&gt;=0.2,I52&lt;=-0.2),"超过20%","")</f>
        <v/>
      </c>
      <c r="K52" s="1104"/>
      <c r="L52" s="1105"/>
      <c r="M52" s="1143"/>
      <c r="N52" s="1143"/>
      <c r="O52" s="1143"/>
    </row>
    <row r="53" spans="1:15" s="500" customFormat="1" ht="13.5" customHeight="1">
      <c r="A53" s="1144"/>
      <c r="B53" s="1144"/>
      <c r="C53" s="495" t="s">
        <v>2666</v>
      </c>
      <c r="D53" s="499"/>
      <c r="E53" s="497">
        <f>IF(E46&lt;G46,G46/E46-1,E46/G46-1)</f>
        <v>9.5631946239338461E-3</v>
      </c>
      <c r="F53" s="498" t="str">
        <f>IF(OR(E53&gt;=0.3,E53&lt;=-0.3),"超过30%","")</f>
        <v/>
      </c>
      <c r="G53" s="497">
        <f>IF(G46&lt;I46,I46/G46-1,G46/I46-1)</f>
        <v>2.4900662251655659E-2</v>
      </c>
      <c r="H53" s="498" t="str">
        <f>IF(OR(G53&gt;=0.3,G53&lt;=-0.3),"超过30%","")</f>
        <v/>
      </c>
      <c r="I53" s="497">
        <f>IF(I46&lt;E46,E46/I46-1,I46/E46-1)</f>
        <v>3.470198675496694E-2</v>
      </c>
      <c r="J53" s="498" t="str">
        <f>IF(OR(I53&gt;=0.3,I53&lt;=-0.3),"超过30%","")</f>
        <v/>
      </c>
      <c r="K53" s="1147"/>
      <c r="L53" s="1148"/>
      <c r="M53" s="1144"/>
      <c r="N53" s="1144"/>
      <c r="O53" s="1144"/>
    </row>
    <row r="54" spans="1:15" s="500" customFormat="1" ht="15" thickBot="1">
      <c r="A54" s="1144"/>
      <c r="B54" s="1145"/>
      <c r="C54" s="760"/>
      <c r="D54" s="758"/>
      <c r="E54" s="758"/>
      <c r="F54" s="758"/>
      <c r="G54" s="758"/>
      <c r="H54" s="758"/>
      <c r="I54" s="758"/>
      <c r="J54" s="758"/>
      <c r="K54" s="1147"/>
      <c r="L54" s="1148"/>
      <c r="M54" s="1144"/>
      <c r="N54" s="1144"/>
      <c r="O54" s="1144"/>
    </row>
    <row r="55" spans="1:15" ht="27" customHeight="1">
      <c r="A55" s="682" t="s">
        <v>2751</v>
      </c>
      <c r="B55" s="683" t="s">
        <v>2752</v>
      </c>
      <c r="C55" s="2696" t="s">
        <v>2753</v>
      </c>
      <c r="D55" s="2697" t="s">
        <v>2754</v>
      </c>
      <c r="E55" s="684" t="s">
        <v>2755</v>
      </c>
      <c r="F55" s="1106" t="s">
        <v>2756</v>
      </c>
      <c r="G55" s="3233" t="s">
        <v>2757</v>
      </c>
      <c r="H55" s="3255"/>
      <c r="I55" s="142" t="s">
        <v>2758</v>
      </c>
      <c r="J55" s="2698" t="str">
        <f>项目基本情况!F35</f>
        <v>陕西省</v>
      </c>
      <c r="K55" s="2699" t="s">
        <v>2759</v>
      </c>
      <c r="L55" s="1105"/>
      <c r="M55" s="1143"/>
      <c r="N55" s="1143"/>
      <c r="O55" s="1143"/>
    </row>
    <row r="56" spans="1:15" s="690" customFormat="1">
      <c r="A56" s="686" t="s">
        <v>2760</v>
      </c>
      <c r="B56" s="687">
        <f>C48</f>
        <v>4180</v>
      </c>
      <c r="C56" s="688">
        <v>1</v>
      </c>
      <c r="D56" s="1162">
        <v>1</v>
      </c>
      <c r="E56" s="688">
        <f>'数据-汇总表'!E8+'数据-汇总表'!E9</f>
        <v>160040.73000000004</v>
      </c>
      <c r="F56" s="1102">
        <f t="shared" ref="F56:F65" si="15">ROUND(B56*E56/10000,0)</f>
        <v>66897</v>
      </c>
      <c r="G56" s="3256"/>
      <c r="H56" s="3232"/>
      <c r="I56" s="1107">
        <v>1</v>
      </c>
      <c r="J56" s="1110">
        <v>1</v>
      </c>
      <c r="K56" s="1144"/>
      <c r="L56" s="940"/>
      <c r="M56" s="940"/>
      <c r="N56" s="940"/>
      <c r="O56" s="940"/>
    </row>
    <row r="57" spans="1:15" s="690" customFormat="1">
      <c r="A57" s="691" t="s">
        <v>2761</v>
      </c>
      <c r="B57" s="260">
        <f>ROUND($C$48*C57*D57,0)</f>
        <v>0</v>
      </c>
      <c r="C57" s="198">
        <f t="shared" ref="C57:C65" si="16">IF($C$55="北京市系数",I57,J57)</f>
        <v>0</v>
      </c>
      <c r="D57" s="1163">
        <v>0.25</v>
      </c>
      <c r="E57" s="692"/>
      <c r="F57" s="1102">
        <f t="shared" si="15"/>
        <v>0</v>
      </c>
      <c r="G57" s="3257" t="s">
        <v>2762</v>
      </c>
      <c r="H57" s="1103">
        <f>项目基本情况!B37</f>
        <v>0</v>
      </c>
      <c r="I57" s="1107">
        <f>SUMIF(修正!A45:A56,H57,修正!B45:B56)</f>
        <v>0</v>
      </c>
      <c r="J57" s="1111"/>
      <c r="K57" s="1143"/>
      <c r="L57" s="940"/>
      <c r="M57" s="940"/>
      <c r="N57" s="940"/>
      <c r="O57" s="940"/>
    </row>
    <row r="58" spans="1:15" s="690" customFormat="1">
      <c r="A58" s="691" t="s">
        <v>2763</v>
      </c>
      <c r="B58" s="260">
        <f t="shared" ref="B58:B65" si="17">ROUND($C$48*C58*D58,0)</f>
        <v>0</v>
      </c>
      <c r="C58" s="198">
        <f t="shared" si="16"/>
        <v>0</v>
      </c>
      <c r="D58" s="1163">
        <v>0.25</v>
      </c>
      <c r="E58" s="692"/>
      <c r="F58" s="1102">
        <f t="shared" si="15"/>
        <v>0</v>
      </c>
      <c r="G58" s="3257"/>
      <c r="H58" s="1103">
        <f>项目基本情况!B37</f>
        <v>0</v>
      </c>
      <c r="I58" s="1107">
        <f>SUMIF(修正!A45:A56,H58,修正!C45:C56)</f>
        <v>0</v>
      </c>
      <c r="J58" s="1111"/>
      <c r="K58" s="1144"/>
      <c r="L58" s="940"/>
      <c r="M58" s="940"/>
      <c r="N58" s="940"/>
      <c r="O58" s="940"/>
    </row>
    <row r="59" spans="1:15" s="690" customFormat="1">
      <c r="A59" s="691" t="s">
        <v>2764</v>
      </c>
      <c r="B59" s="260">
        <f t="shared" si="17"/>
        <v>0</v>
      </c>
      <c r="C59" s="198">
        <f t="shared" si="16"/>
        <v>0</v>
      </c>
      <c r="D59" s="1163">
        <v>0.25</v>
      </c>
      <c r="E59" s="692"/>
      <c r="F59" s="1102">
        <f t="shared" si="15"/>
        <v>0</v>
      </c>
      <c r="G59" s="3257"/>
      <c r="H59" s="1103">
        <f>项目基本情况!B37</f>
        <v>0</v>
      </c>
      <c r="I59" s="1107">
        <f>SUMIF(修正!A45:A56,H59,修正!D45:D56)</f>
        <v>0</v>
      </c>
      <c r="J59" s="1111"/>
      <c r="K59" s="1143"/>
      <c r="L59" s="940"/>
      <c r="M59" s="940"/>
      <c r="N59" s="940"/>
      <c r="O59" s="940"/>
    </row>
    <row r="60" spans="1:15" s="690" customFormat="1">
      <c r="A60" s="691" t="s">
        <v>2765</v>
      </c>
      <c r="B60" s="260">
        <f t="shared" si="17"/>
        <v>0</v>
      </c>
      <c r="C60" s="198">
        <f t="shared" si="16"/>
        <v>0</v>
      </c>
      <c r="D60" s="1163">
        <v>0.25</v>
      </c>
      <c r="E60" s="692"/>
      <c r="F60" s="1102">
        <f t="shared" si="15"/>
        <v>0</v>
      </c>
      <c r="G60" s="3257"/>
      <c r="H60" s="1103">
        <f>项目基本情况!B37</f>
        <v>0</v>
      </c>
      <c r="I60" s="1107">
        <f>SUMIF(修正!A45:A56,H60,修正!E45:E56)</f>
        <v>0</v>
      </c>
      <c r="J60" s="1111"/>
      <c r="K60" s="1144"/>
      <c r="L60" s="940"/>
      <c r="M60" s="940"/>
      <c r="N60" s="940"/>
      <c r="O60" s="940"/>
    </row>
    <row r="61" spans="1:15" s="690" customFormat="1">
      <c r="A61" s="691" t="s">
        <v>2766</v>
      </c>
      <c r="B61" s="260">
        <f t="shared" si="17"/>
        <v>0</v>
      </c>
      <c r="C61" s="198">
        <f t="shared" si="16"/>
        <v>0</v>
      </c>
      <c r="D61" s="1163">
        <v>0.25</v>
      </c>
      <c r="E61" s="259">
        <f>'数据-汇总表'!E11</f>
        <v>0</v>
      </c>
      <c r="F61" s="1102">
        <f t="shared" si="15"/>
        <v>0</v>
      </c>
      <c r="G61" s="2700" t="s">
        <v>2767</v>
      </c>
      <c r="H61" s="1103">
        <f>项目基本情况!C37</f>
        <v>0</v>
      </c>
      <c r="I61" s="1107">
        <f>SUMIF(修正!A45:A56,H61,修正!F45:F56)</f>
        <v>0</v>
      </c>
      <c r="J61" s="1111"/>
      <c r="K61" s="1143"/>
      <c r="L61" s="940"/>
      <c r="M61" s="940"/>
      <c r="N61" s="940"/>
      <c r="O61" s="940"/>
    </row>
    <row r="62" spans="1:15" s="690" customFormat="1">
      <c r="A62" s="691" t="s">
        <v>2768</v>
      </c>
      <c r="B62" s="260">
        <f t="shared" si="17"/>
        <v>0</v>
      </c>
      <c r="C62" s="198">
        <f t="shared" si="16"/>
        <v>0</v>
      </c>
      <c r="D62" s="1163">
        <v>0.25</v>
      </c>
      <c r="E62" s="259">
        <f>'数据-汇总表'!E12</f>
        <v>0</v>
      </c>
      <c r="F62" s="1102">
        <f t="shared" si="15"/>
        <v>0</v>
      </c>
      <c r="G62" s="1108" t="s">
        <v>2769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2770</v>
      </c>
      <c r="B63" s="260">
        <f t="shared" si="17"/>
        <v>0</v>
      </c>
      <c r="C63" s="198">
        <f t="shared" si="16"/>
        <v>0</v>
      </c>
      <c r="D63" s="1163">
        <v>0.25</v>
      </c>
      <c r="E63" s="259">
        <f>'数据-汇总表'!E13</f>
        <v>69185.17</v>
      </c>
      <c r="F63" s="1102">
        <f t="shared" si="15"/>
        <v>0</v>
      </c>
      <c r="G63" s="1108" t="s">
        <v>2771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2772</v>
      </c>
      <c r="B64" s="260">
        <f t="shared" si="17"/>
        <v>0</v>
      </c>
      <c r="C64" s="198">
        <f t="shared" si="16"/>
        <v>0</v>
      </c>
      <c r="D64" s="1163">
        <v>0.25</v>
      </c>
      <c r="E64" s="259">
        <f>'数据-汇总表'!E14</f>
        <v>0</v>
      </c>
      <c r="F64" s="1102">
        <f t="shared" si="15"/>
        <v>0</v>
      </c>
      <c r="G64" s="2700" t="s">
        <v>2762</v>
      </c>
      <c r="H64" s="1103">
        <f>项目基本情况!B37</f>
        <v>0</v>
      </c>
      <c r="I64" s="1107">
        <f>SUMIF(修正!A45:A56,H64,修正!H45:H56)</f>
        <v>0</v>
      </c>
      <c r="J64" s="1111"/>
      <c r="K64" s="1144"/>
      <c r="L64" s="940"/>
      <c r="M64" s="940"/>
      <c r="N64" s="940"/>
      <c r="O64" s="940"/>
    </row>
    <row r="65" spans="1:17" s="690" customFormat="1" ht="15" thickBot="1">
      <c r="A65" s="691" t="s">
        <v>2773</v>
      </c>
      <c r="B65" s="260">
        <f t="shared" si="17"/>
        <v>0</v>
      </c>
      <c r="C65" s="198">
        <f t="shared" si="16"/>
        <v>0</v>
      </c>
      <c r="D65" s="1163">
        <v>0.25</v>
      </c>
      <c r="E65" s="259">
        <f>'数据-汇总表'!E15</f>
        <v>0</v>
      </c>
      <c r="F65" s="1102">
        <f t="shared" si="15"/>
        <v>0</v>
      </c>
      <c r="G65" s="2701" t="s">
        <v>2767</v>
      </c>
      <c r="H65" s="1113">
        <f>项目基本情况!C37</f>
        <v>0</v>
      </c>
      <c r="I65" s="1109">
        <f>SUMIF(修正!A45:A56,H65,修正!H45:H56)</f>
        <v>0</v>
      </c>
      <c r="J65" s="1112"/>
      <c r="K65" s="1143"/>
      <c r="L65" s="940"/>
      <c r="M65" s="940"/>
      <c r="N65" s="940"/>
      <c r="O65" s="940"/>
    </row>
    <row r="66" spans="1:17" s="690" customFormat="1" ht="13.5" thickBot="1">
      <c r="A66" s="693" t="s">
        <v>2774</v>
      </c>
      <c r="B66" s="694" t="s">
        <v>28</v>
      </c>
      <c r="C66" s="694" t="s">
        <v>29</v>
      </c>
      <c r="D66" s="694" t="s">
        <v>1026</v>
      </c>
      <c r="E66" s="694">
        <f>IF(B46="楼面地价",SUM(E56:E65),'数据-汇总表'!D3)</f>
        <v>229225.90000000002</v>
      </c>
      <c r="F66" s="695">
        <f>IF(B46="楼面地价",SUM(F56:F65),ROUND(C48*E66/10000,0))</f>
        <v>66897</v>
      </c>
      <c r="G66" s="785"/>
      <c r="H66" s="785"/>
      <c r="I66" s="785"/>
      <c r="J66" s="785"/>
      <c r="K66" s="1157"/>
      <c r="L66" s="940"/>
      <c r="M66" s="940"/>
      <c r="N66" s="940"/>
      <c r="O66" s="940"/>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2667</v>
      </c>
      <c r="B69" s="757"/>
      <c r="C69" s="762"/>
      <c r="D69" s="762"/>
      <c r="E69" s="762"/>
      <c r="F69" s="763"/>
      <c r="G69" s="763"/>
      <c r="H69" s="762"/>
      <c r="I69" s="762"/>
      <c r="J69" s="1158"/>
      <c r="K69" s="1159"/>
      <c r="L69" s="1160"/>
      <c r="M69" s="1158"/>
      <c r="N69" s="1158"/>
      <c r="O69" s="1158"/>
      <c r="P69" s="501"/>
      <c r="Q69" s="502"/>
    </row>
    <row r="70" spans="1:17" s="506" customFormat="1" ht="15">
      <c r="A70" s="2702" t="s">
        <v>2775</v>
      </c>
      <c r="B70" s="1358"/>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5"/>
    </row>
    <row r="71" spans="1:17" s="116" customFormat="1" ht="30" customHeight="1">
      <c r="A71" s="2703" t="s">
        <v>2776</v>
      </c>
      <c r="B71" s="330" t="str">
        <f>"北京市平均增长率"&amp;TEXT(SUMIF(基准地价修正!N21:N25,A71,基准地价修正!P21:P25),"0.00%")</f>
        <v>北京市平均增长率2.34%</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6" customFormat="1" ht="15.75" thickBot="1">
      <c r="A72" s="513" t="s">
        <v>2578</v>
      </c>
      <c r="B72" s="514"/>
      <c r="C72" s="515"/>
      <c r="D72" s="516"/>
      <c r="E72" s="516"/>
      <c r="F72" s="516"/>
      <c r="G72" s="516"/>
      <c r="H72" s="516"/>
      <c r="I72" s="516"/>
      <c r="J72" s="516"/>
      <c r="K72" s="516"/>
      <c r="L72" s="516"/>
      <c r="M72" s="517"/>
      <c r="N72" s="516"/>
      <c r="O72" s="1161"/>
      <c r="P72" s="502"/>
      <c r="Q72" s="502"/>
    </row>
    <row r="73" spans="1:17" s="116" customFormat="1" ht="15">
      <c r="A73" s="519" t="s">
        <v>2543</v>
      </c>
      <c r="B73" s="508"/>
      <c r="C73" s="520" t="s">
        <v>2645</v>
      </c>
      <c r="D73" s="521"/>
      <c r="E73" s="521"/>
      <c r="F73" s="521"/>
      <c r="G73" s="521"/>
      <c r="H73" s="521"/>
      <c r="I73" s="521"/>
      <c r="J73" s="521"/>
      <c r="K73" s="521"/>
      <c r="L73" s="522"/>
      <c r="M73" s="523"/>
      <c r="N73" s="1150"/>
      <c r="O73" s="1150"/>
      <c r="P73" s="524"/>
      <c r="Q73" s="502"/>
    </row>
    <row r="74" spans="1:17" s="116"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2581</v>
      </c>
      <c r="B75" s="526" t="s">
        <v>2547</v>
      </c>
      <c r="C75" s="2970" t="s">
        <v>3242</v>
      </c>
      <c r="D75" s="2970" t="s">
        <v>3354</v>
      </c>
      <c r="E75" s="528"/>
      <c r="F75" s="528"/>
      <c r="G75" s="528"/>
      <c r="H75" s="528"/>
      <c r="I75" s="528"/>
      <c r="J75" s="528"/>
      <c r="K75" s="529"/>
      <c r="L75" s="530"/>
      <c r="M75" s="531"/>
      <c r="N75" s="1151"/>
      <c r="O75" s="1151"/>
      <c r="P75" s="45"/>
      <c r="Q75" s="502"/>
    </row>
    <row r="76" spans="1:17" ht="15.75" thickBot="1">
      <c r="A76" s="532"/>
      <c r="B76" s="533"/>
      <c r="C76" s="2971">
        <v>100</v>
      </c>
      <c r="D76" s="2971">
        <v>102</v>
      </c>
      <c r="E76" s="534"/>
      <c r="F76" s="534"/>
      <c r="G76" s="534"/>
      <c r="H76" s="534"/>
      <c r="I76" s="534"/>
      <c r="J76" s="534"/>
      <c r="K76" s="534"/>
      <c r="L76" s="534"/>
      <c r="M76" s="535"/>
      <c r="N76" s="1152"/>
      <c r="O76" s="1152"/>
      <c r="P76" s="45"/>
      <c r="Q76" s="502"/>
    </row>
    <row r="77" spans="1:17" ht="27.75" thickTop="1">
      <c r="A77" s="532"/>
      <c r="B77" s="536" t="s">
        <v>2550</v>
      </c>
      <c r="C77" s="537"/>
      <c r="D77" s="537"/>
      <c r="E77" s="537"/>
      <c r="F77" s="537"/>
      <c r="G77" s="537"/>
      <c r="H77" s="537"/>
      <c r="I77" s="537"/>
      <c r="J77" s="537"/>
      <c r="K77" s="538"/>
      <c r="L77" s="539"/>
      <c r="M77" s="540"/>
      <c r="N77" s="1151"/>
      <c r="O77" s="1151"/>
      <c r="P77" s="45"/>
      <c r="Q77" s="502"/>
    </row>
    <row r="78" spans="1:17" ht="15.75" thickBot="1">
      <c r="A78" s="532"/>
      <c r="B78" s="541"/>
      <c r="C78" s="542"/>
      <c r="D78" s="542"/>
      <c r="E78" s="542"/>
      <c r="F78" s="542"/>
      <c r="G78" s="542"/>
      <c r="H78" s="542"/>
      <c r="I78" s="542"/>
      <c r="J78" s="542"/>
      <c r="K78" s="542"/>
      <c r="L78" s="542"/>
      <c r="M78" s="543"/>
      <c r="N78" s="1152"/>
      <c r="O78" s="1152"/>
      <c r="P78" s="45"/>
      <c r="Q78" s="502"/>
    </row>
    <row r="79" spans="1:17" ht="15.7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52"/>
      <c r="O79" s="1152"/>
      <c r="P79" s="45"/>
      <c r="Q79" s="502"/>
    </row>
    <row r="80" spans="1:17" ht="15">
      <c r="A80" s="532"/>
      <c r="B80" s="546"/>
      <c r="C80" s="547">
        <v>0</v>
      </c>
      <c r="D80" s="547">
        <v>1</v>
      </c>
      <c r="E80" s="547">
        <v>2</v>
      </c>
      <c r="F80" s="547">
        <v>3</v>
      </c>
      <c r="G80" s="547">
        <v>4</v>
      </c>
      <c r="H80" s="547">
        <v>5</v>
      </c>
      <c r="I80" s="547">
        <v>6</v>
      </c>
      <c r="J80" s="547"/>
      <c r="K80" s="548"/>
      <c r="L80" s="549"/>
      <c r="M80" s="550"/>
      <c r="N80" s="1151"/>
      <c r="O80" s="1151"/>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2"/>
      <c r="O81" s="1152"/>
      <c r="P81" s="45"/>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2552</v>
      </c>
      <c r="B88" s="526" t="s">
        <v>2589</v>
      </c>
      <c r="C88" s="571" t="s">
        <v>2590</v>
      </c>
      <c r="D88" s="571" t="s">
        <v>2591</v>
      </c>
      <c r="E88" s="571" t="s">
        <v>2592</v>
      </c>
      <c r="F88" s="571" t="s">
        <v>2593</v>
      </c>
      <c r="G88" s="571" t="s">
        <v>2594</v>
      </c>
      <c r="H88" s="527"/>
      <c r="I88" s="527"/>
      <c r="J88" s="527"/>
      <c r="K88" s="572"/>
      <c r="L88" s="573"/>
      <c r="M88" s="574"/>
      <c r="N88" s="1151"/>
      <c r="O88" s="1151"/>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2"/>
      <c r="O89" s="1152"/>
      <c r="P89" s="45"/>
      <c r="Q89" s="502"/>
    </row>
    <row r="90" spans="1:17" ht="15.75" thickTop="1">
      <c r="A90" s="532"/>
      <c r="B90" s="536" t="s">
        <v>2777</v>
      </c>
      <c r="C90" s="576" t="s">
        <v>2590</v>
      </c>
      <c r="D90" s="576" t="s">
        <v>2591</v>
      </c>
      <c r="E90" s="576" t="s">
        <v>2592</v>
      </c>
      <c r="F90" s="576" t="s">
        <v>2593</v>
      </c>
      <c r="G90" s="576" t="s">
        <v>2594</v>
      </c>
      <c r="H90" s="537"/>
      <c r="I90" s="537"/>
      <c r="J90" s="537"/>
      <c r="K90" s="538"/>
      <c r="L90" s="539"/>
      <c r="M90" s="540"/>
      <c r="N90" s="1151"/>
      <c r="O90" s="1151"/>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2"/>
      <c r="O91" s="1152"/>
      <c r="P91" s="45"/>
      <c r="Q91" s="502"/>
    </row>
    <row r="92" spans="1:17" ht="15.75" thickTop="1">
      <c r="A92" s="532"/>
      <c r="B92" s="536" t="s">
        <v>2690</v>
      </c>
      <c r="C92" s="576" t="s">
        <v>2590</v>
      </c>
      <c r="D92" s="576" t="s">
        <v>2591</v>
      </c>
      <c r="E92" s="576" t="s">
        <v>2592</v>
      </c>
      <c r="F92" s="576" t="s">
        <v>2593</v>
      </c>
      <c r="G92" s="576" t="s">
        <v>2594</v>
      </c>
      <c r="H92" s="537"/>
      <c r="I92" s="537"/>
      <c r="J92" s="537"/>
      <c r="K92" s="538"/>
      <c r="L92" s="539"/>
      <c r="M92" s="540"/>
      <c r="N92" s="1151"/>
      <c r="O92" s="1151"/>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5"/>
      <c r="Q93" s="502"/>
    </row>
    <row r="94" spans="1:17" ht="15.75" thickTop="1">
      <c r="A94" s="532"/>
      <c r="B94" s="536" t="s">
        <v>2595</v>
      </c>
      <c r="C94" s="576" t="s">
        <v>2590</v>
      </c>
      <c r="D94" s="576" t="s">
        <v>2591</v>
      </c>
      <c r="E94" s="576" t="s">
        <v>2592</v>
      </c>
      <c r="F94" s="576" t="s">
        <v>2593</v>
      </c>
      <c r="G94" s="576" t="s">
        <v>2594</v>
      </c>
      <c r="H94" s="537"/>
      <c r="I94" s="537"/>
      <c r="J94" s="537"/>
      <c r="K94" s="538"/>
      <c r="L94" s="539"/>
      <c r="M94" s="540"/>
      <c r="N94" s="1151"/>
      <c r="O94" s="1151"/>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2"/>
      <c r="O95" s="1152"/>
      <c r="P95" s="45"/>
      <c r="Q95" s="502"/>
    </row>
    <row r="96" spans="1:17" s="116" customFormat="1" ht="15.75" thickTop="1">
      <c r="A96" s="577"/>
      <c r="B96" s="536" t="s">
        <v>2778</v>
      </c>
      <c r="C96" s="576" t="s">
        <v>2590</v>
      </c>
      <c r="D96" s="576" t="s">
        <v>2591</v>
      </c>
      <c r="E96" s="576" t="s">
        <v>2592</v>
      </c>
      <c r="F96" s="576" t="s">
        <v>2593</v>
      </c>
      <c r="G96" s="576" t="s">
        <v>2594</v>
      </c>
      <c r="H96" s="576"/>
      <c r="I96" s="576"/>
      <c r="J96" s="576"/>
      <c r="K96" s="576"/>
      <c r="L96" s="696"/>
      <c r="M96" s="620"/>
      <c r="N96" s="1150"/>
      <c r="O96" s="1150"/>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2"/>
      <c r="O97" s="1152"/>
      <c r="P97" s="45"/>
      <c r="Q97" s="502"/>
    </row>
    <row r="98" spans="1:17" s="116" customFormat="1" ht="27.75" thickTop="1">
      <c r="A98" s="577"/>
      <c r="B98" s="536" t="s">
        <v>2779</v>
      </c>
      <c r="C98" s="571" t="s">
        <v>2590</v>
      </c>
      <c r="D98" s="571" t="s">
        <v>2591</v>
      </c>
      <c r="E98" s="571" t="s">
        <v>2592</v>
      </c>
      <c r="F98" s="571" t="s">
        <v>2593</v>
      </c>
      <c r="G98" s="571" t="s">
        <v>2594</v>
      </c>
      <c r="H98" s="576"/>
      <c r="I98" s="576"/>
      <c r="J98" s="576"/>
      <c r="K98" s="576"/>
      <c r="L98" s="576"/>
      <c r="M98" s="620"/>
      <c r="N98" s="1150"/>
      <c r="O98" s="1150"/>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2"/>
      <c r="O99" s="1152"/>
      <c r="P99" s="45"/>
      <c r="Q99" s="502"/>
    </row>
    <row r="100" spans="1:17" s="469" customFormat="1" ht="15.75" thickTop="1">
      <c r="A100" s="551"/>
      <c r="B100" s="536" t="s">
        <v>2647</v>
      </c>
      <c r="C100" s="571" t="s">
        <v>2590</v>
      </c>
      <c r="D100" s="571" t="s">
        <v>2591</v>
      </c>
      <c r="E100" s="571" t="s">
        <v>2592</v>
      </c>
      <c r="F100" s="571" t="s">
        <v>2593</v>
      </c>
      <c r="G100" s="571" t="s">
        <v>2594</v>
      </c>
      <c r="H100" s="598"/>
      <c r="I100" s="598"/>
      <c r="J100" s="598"/>
      <c r="K100" s="598"/>
      <c r="L100" s="599"/>
      <c r="M100" s="600"/>
      <c r="N100" s="1153"/>
      <c r="O100" s="1153"/>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3"/>
      <c r="O101" s="1153"/>
      <c r="P101" s="556"/>
      <c r="Q101" s="557"/>
    </row>
    <row r="102" spans="1:17" s="469" customFormat="1" ht="15.75" thickTop="1">
      <c r="A102" s="551"/>
      <c r="B102" s="544" t="s">
        <v>2648</v>
      </c>
      <c r="C102" s="658" t="s">
        <v>2668</v>
      </c>
      <c r="D102" s="658" t="s">
        <v>2669</v>
      </c>
      <c r="E102" s="658" t="s">
        <v>2670</v>
      </c>
      <c r="F102" s="658" t="s">
        <v>2671</v>
      </c>
      <c r="G102" s="658" t="s">
        <v>2672</v>
      </c>
      <c r="H102" s="598"/>
      <c r="I102" s="598"/>
      <c r="J102" s="598"/>
      <c r="K102" s="598"/>
      <c r="L102" s="598"/>
      <c r="M102" s="1384"/>
      <c r="N102" s="1153"/>
      <c r="O102" s="1153"/>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4"/>
      <c r="N103" s="1153"/>
      <c r="O103" s="1153"/>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1"/>
      <c r="O104" s="1151"/>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2"/>
      <c r="O105" s="1152"/>
      <c r="P105" s="45"/>
      <c r="Q105" s="502"/>
    </row>
    <row r="106" spans="1:17" ht="27.75" thickTop="1">
      <c r="A106" s="532"/>
      <c r="B106" s="536" t="s">
        <v>2684</v>
      </c>
      <c r="C106" s="2972" t="s">
        <v>3243</v>
      </c>
      <c r="D106" s="2972" t="s">
        <v>3244</v>
      </c>
      <c r="E106" s="2972" t="s">
        <v>3245</v>
      </c>
      <c r="F106" s="2972" t="s">
        <v>3246</v>
      </c>
      <c r="G106" s="2972" t="s">
        <v>3247</v>
      </c>
      <c r="H106" s="2973" t="s">
        <v>3248</v>
      </c>
      <c r="I106" s="581"/>
      <c r="J106" s="581"/>
      <c r="K106" s="582"/>
      <c r="L106" s="583"/>
      <c r="M106" s="584"/>
      <c r="N106" s="1151"/>
      <c r="O106" s="1151"/>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2"/>
      <c r="O107" s="1152"/>
      <c r="P107" s="45"/>
      <c r="Q107" s="502"/>
    </row>
    <row r="108" spans="1:17" ht="15.75" thickTop="1">
      <c r="A108" s="532"/>
      <c r="B108" s="536" t="s">
        <v>2743</v>
      </c>
      <c r="C108" s="581"/>
      <c r="D108" s="581"/>
      <c r="E108" s="581"/>
      <c r="F108" s="581"/>
      <c r="G108" s="581"/>
      <c r="H108" s="581"/>
      <c r="I108" s="581"/>
      <c r="J108" s="581"/>
      <c r="K108" s="582"/>
      <c r="L108" s="583"/>
      <c r="M108" s="584"/>
      <c r="N108" s="1151"/>
      <c r="O108" s="1151"/>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2"/>
      <c r="O109" s="1152"/>
      <c r="P109" s="45"/>
      <c r="Q109" s="502"/>
    </row>
    <row r="110" spans="1:17" ht="15.75" thickTop="1">
      <c r="A110" s="532"/>
      <c r="B110" s="544">
        <f>B35</f>
        <v>111</v>
      </c>
      <c r="C110" s="552"/>
      <c r="D110" s="552"/>
      <c r="E110" s="552"/>
      <c r="F110" s="552"/>
      <c r="G110" s="585"/>
      <c r="H110" s="585"/>
      <c r="I110" s="585"/>
      <c r="J110" s="585"/>
      <c r="K110" s="586"/>
      <c r="L110" s="587"/>
      <c r="M110" s="588"/>
      <c r="N110" s="1151"/>
      <c r="O110" s="1151"/>
      <c r="P110" s="45"/>
      <c r="Q110" s="502"/>
    </row>
    <row r="111" spans="1:17" ht="15.75" thickBot="1">
      <c r="A111" s="532"/>
      <c r="B111" s="567"/>
      <c r="C111" s="558"/>
      <c r="D111" s="558"/>
      <c r="E111" s="558"/>
      <c r="F111" s="558"/>
      <c r="G111" s="589"/>
      <c r="H111" s="589"/>
      <c r="I111" s="589"/>
      <c r="J111" s="589"/>
      <c r="K111" s="589"/>
      <c r="L111" s="589"/>
      <c r="M111" s="590"/>
      <c r="N111" s="1152"/>
      <c r="O111" s="1152"/>
      <c r="P111" s="45"/>
      <c r="Q111" s="502"/>
    </row>
    <row r="112" spans="1:17" ht="15" thickTop="1">
      <c r="A112" s="673"/>
      <c r="B112" s="536">
        <f>B36</f>
        <v>111</v>
      </c>
      <c r="C112" s="521"/>
      <c r="D112" s="521"/>
      <c r="E112" s="521"/>
      <c r="F112" s="521"/>
      <c r="G112" s="581"/>
      <c r="H112" s="581"/>
      <c r="I112" s="581"/>
      <c r="J112" s="581"/>
      <c r="K112" s="582"/>
      <c r="L112" s="583"/>
      <c r="M112" s="584"/>
      <c r="N112" s="1151"/>
      <c r="O112" s="1151"/>
      <c r="P112" s="45"/>
      <c r="Q112" s="502"/>
    </row>
    <row r="113" spans="1:17" ht="15.75" thickBot="1">
      <c r="A113" s="532"/>
      <c r="B113" s="541"/>
      <c r="C113" s="568"/>
      <c r="D113" s="568"/>
      <c r="E113" s="568"/>
      <c r="F113" s="568"/>
      <c r="G113" s="534"/>
      <c r="H113" s="534"/>
      <c r="I113" s="534"/>
      <c r="J113" s="534"/>
      <c r="K113" s="534"/>
      <c r="L113" s="534"/>
      <c r="M113" s="535"/>
      <c r="N113" s="1152"/>
      <c r="O113" s="1152"/>
      <c r="P113" s="45"/>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ht="28.5">
      <c r="A116" s="525" t="s">
        <v>2556</v>
      </c>
      <c r="B116" s="526" t="s">
        <v>2784</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v>
      </c>
      <c r="J116" s="527" t="str">
        <f t="shared" si="26"/>
        <v>(含)-</v>
      </c>
      <c r="K116" s="527" t="str">
        <f t="shared" si="26"/>
        <v>(含)-</v>
      </c>
      <c r="L116" s="527" t="str">
        <f t="shared" si="26"/>
        <v>(含)-</v>
      </c>
      <c r="M116" s="527" t="str">
        <f t="shared" si="26"/>
        <v>(含)-</v>
      </c>
      <c r="N116" s="1151"/>
      <c r="O116" s="1151"/>
      <c r="P116" s="45"/>
      <c r="Q116" s="502"/>
    </row>
    <row r="117" spans="1:17" ht="15">
      <c r="A117" s="532"/>
      <c r="B117" s="544"/>
      <c r="C117" s="2974">
        <v>0</v>
      </c>
      <c r="D117" s="2974">
        <v>20000</v>
      </c>
      <c r="E117" s="2974">
        <v>40000</v>
      </c>
      <c r="F117" s="2974">
        <v>60000</v>
      </c>
      <c r="G117" s="2974">
        <v>80000</v>
      </c>
      <c r="H117" s="2974">
        <v>100000</v>
      </c>
      <c r="I117" s="2974">
        <v>120000</v>
      </c>
      <c r="J117" s="594"/>
      <c r="K117" s="594"/>
      <c r="L117" s="595"/>
      <c r="M117" s="596"/>
      <c r="N117" s="1151"/>
      <c r="O117" s="1151"/>
      <c r="P117" s="45"/>
      <c r="Q117" s="502"/>
    </row>
    <row r="118" spans="1:17" ht="15.75" thickBot="1">
      <c r="A118" s="532"/>
      <c r="B118" s="541"/>
      <c r="C118" s="2975">
        <v>100</v>
      </c>
      <c r="D118" s="2976">
        <f>C118+1</f>
        <v>101</v>
      </c>
      <c r="E118" s="2976">
        <f t="shared" ref="E118:I118" si="27">D118+1</f>
        <v>102</v>
      </c>
      <c r="F118" s="2976">
        <f t="shared" si="27"/>
        <v>103</v>
      </c>
      <c r="G118" s="2976">
        <f t="shared" si="27"/>
        <v>104</v>
      </c>
      <c r="H118" s="2976">
        <f t="shared" si="27"/>
        <v>105</v>
      </c>
      <c r="I118" s="2976">
        <f t="shared" si="27"/>
        <v>106</v>
      </c>
      <c r="J118" s="589"/>
      <c r="K118" s="589"/>
      <c r="L118" s="589"/>
      <c r="M118" s="590"/>
      <c r="N118" s="1152"/>
      <c r="O118" s="1152"/>
      <c r="P118" s="45"/>
      <c r="Q118" s="502"/>
    </row>
    <row r="119" spans="1:17" ht="15" thickTop="1">
      <c r="A119" s="597"/>
      <c r="B119" s="536" t="s">
        <v>2785</v>
      </c>
      <c r="C119" s="2973" t="s">
        <v>3249</v>
      </c>
      <c r="D119" s="2973" t="s">
        <v>3250</v>
      </c>
      <c r="E119" s="2973" t="s">
        <v>3251</v>
      </c>
      <c r="F119" s="2973" t="s">
        <v>3252</v>
      </c>
      <c r="G119" s="581"/>
      <c r="H119" s="581"/>
      <c r="I119" s="581"/>
      <c r="J119" s="581"/>
      <c r="K119" s="582"/>
      <c r="L119" s="583"/>
      <c r="M119" s="584"/>
      <c r="N119" s="1151"/>
      <c r="O119" s="1151"/>
      <c r="P119" s="45"/>
      <c r="Q119" s="502"/>
    </row>
    <row r="120" spans="1:17" ht="15.75"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2"/>
      <c r="O120" s="1152"/>
      <c r="P120" s="45"/>
      <c r="Q120" s="502"/>
    </row>
    <row r="121" spans="1:17" ht="15" thickTop="1">
      <c r="A121" s="597"/>
      <c r="B121" s="536" t="s">
        <v>2786</v>
      </c>
      <c r="C121" s="552"/>
      <c r="D121" s="552"/>
      <c r="E121" s="552"/>
      <c r="F121" s="581"/>
      <c r="G121" s="581"/>
      <c r="H121" s="581"/>
      <c r="I121" s="581"/>
      <c r="J121" s="581"/>
      <c r="K121" s="582"/>
      <c r="L121" s="583"/>
      <c r="M121" s="584"/>
      <c r="N121" s="1151"/>
      <c r="O121" s="1151"/>
      <c r="P121" s="45"/>
      <c r="Q121" s="502"/>
    </row>
    <row r="122" spans="1:17" ht="15.75"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52"/>
      <c r="O122" s="1152"/>
      <c r="P122" s="45"/>
      <c r="Q122" s="502"/>
    </row>
    <row r="123" spans="1:17" s="469" customFormat="1" ht="15" thickTop="1">
      <c r="A123" s="591"/>
      <c r="B123" s="536" t="s">
        <v>2787</v>
      </c>
      <c r="C123" s="2977" t="s">
        <v>3253</v>
      </c>
      <c r="D123" s="2977" t="s">
        <v>3254</v>
      </c>
      <c r="E123" s="2977" t="s">
        <v>3255</v>
      </c>
      <c r="F123" s="2977" t="s">
        <v>3256</v>
      </c>
      <c r="G123" s="2977" t="s">
        <v>3257</v>
      </c>
      <c r="H123" s="581"/>
      <c r="I123" s="581"/>
      <c r="J123" s="581"/>
      <c r="K123" s="582"/>
      <c r="L123" s="583"/>
      <c r="M123" s="584"/>
      <c r="N123" s="1153"/>
      <c r="O123" s="1153"/>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3"/>
      <c r="O124" s="1153"/>
      <c r="P124" s="556"/>
      <c r="Q124" s="557"/>
    </row>
    <row r="125" spans="1:17" ht="15" thickTop="1">
      <c r="A125" s="597"/>
      <c r="B125" s="536" t="s">
        <v>2788</v>
      </c>
      <c r="C125" s="2972" t="s">
        <v>3258</v>
      </c>
      <c r="D125" s="552"/>
      <c r="E125" s="581"/>
      <c r="F125" s="581"/>
      <c r="G125" s="581"/>
      <c r="H125" s="581"/>
      <c r="I125" s="581"/>
      <c r="J125" s="581"/>
      <c r="K125" s="582"/>
      <c r="L125" s="583"/>
      <c r="M125" s="584"/>
      <c r="N125" s="1151"/>
      <c r="O125" s="1151"/>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2"/>
      <c r="O126" s="1152"/>
      <c r="P126" s="45"/>
      <c r="Q126" s="502"/>
    </row>
    <row r="127" spans="1:17" ht="15" thickTop="1">
      <c r="A127" s="597"/>
      <c r="B127" s="536">
        <f>B43</f>
        <v>111</v>
      </c>
      <c r="C127" s="552"/>
      <c r="D127" s="552"/>
      <c r="E127" s="552"/>
      <c r="F127" s="552"/>
      <c r="G127" s="552"/>
      <c r="H127" s="581"/>
      <c r="I127" s="581"/>
      <c r="J127" s="581"/>
      <c r="K127" s="582"/>
      <c r="L127" s="583"/>
      <c r="M127" s="584"/>
      <c r="N127" s="1151"/>
      <c r="O127" s="1151"/>
      <c r="P127" s="45"/>
      <c r="Q127" s="502"/>
    </row>
    <row r="128" spans="1:17" ht="15.75" thickBot="1">
      <c r="A128" s="532"/>
      <c r="B128" s="541"/>
      <c r="C128" s="558"/>
      <c r="D128" s="558"/>
      <c r="E128" s="558"/>
      <c r="F128" s="558"/>
      <c r="G128" s="534"/>
      <c r="H128" s="534"/>
      <c r="I128" s="534"/>
      <c r="J128" s="534"/>
      <c r="K128" s="534"/>
      <c r="L128" s="534"/>
      <c r="M128" s="535"/>
      <c r="N128" s="1152"/>
      <c r="O128" s="1152"/>
      <c r="P128" s="45"/>
      <c r="Q128" s="502"/>
    </row>
    <row r="129" spans="1:17" ht="15" thickTop="1">
      <c r="A129" s="597"/>
      <c r="B129" s="536">
        <f>B44</f>
        <v>111</v>
      </c>
      <c r="C129" s="521"/>
      <c r="D129" s="521"/>
      <c r="E129" s="521"/>
      <c r="F129" s="521"/>
      <c r="G129" s="581"/>
      <c r="H129" s="581"/>
      <c r="I129" s="581"/>
      <c r="J129" s="581"/>
      <c r="K129" s="582"/>
      <c r="L129" s="583"/>
      <c r="M129" s="584"/>
      <c r="N129" s="1151"/>
      <c r="O129" s="1151"/>
      <c r="P129" s="45"/>
      <c r="Q129" s="502"/>
    </row>
    <row r="130" spans="1:17" ht="15.75" thickBot="1">
      <c r="A130" s="532"/>
      <c r="B130" s="541"/>
      <c r="C130" s="568"/>
      <c r="D130" s="568"/>
      <c r="E130" s="568"/>
      <c r="F130" s="568"/>
      <c r="G130" s="534"/>
      <c r="H130" s="534"/>
      <c r="I130" s="534"/>
      <c r="J130" s="534"/>
      <c r="K130" s="534"/>
      <c r="L130" s="534"/>
      <c r="M130" s="535"/>
      <c r="N130" s="1152"/>
      <c r="O130" s="1152"/>
      <c r="P130" s="45"/>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5"/>
      <c r="C1" s="240"/>
      <c r="D1" s="240"/>
      <c r="E1" s="240"/>
      <c r="F1" s="240"/>
      <c r="G1" s="1378">
        <f>MATCH(B1,'数据-取费表'!A6:A16,0)+5</f>
        <v>10</v>
      </c>
    </row>
    <row r="2" spans="1:9" s="242" customFormat="1" ht="18" customHeight="1">
      <c r="A2" s="243" t="s">
        <v>2323</v>
      </c>
      <c r="B2" s="244">
        <f ca="1">IF(D2="——",C52,C52-E2)</f>
        <v>78903</v>
      </c>
      <c r="C2" s="241" t="s">
        <v>2324</v>
      </c>
      <c r="D2" s="2541" t="s">
        <v>70</v>
      </c>
      <c r="E2" s="1439" t="e">
        <f ca="1">SUMIF(INDIRECT("'"&amp;G2&amp;"'"&amp;"!A:A"),"承租人权益价值",INDIRECT("'"&amp;G2&amp;"'"&amp;"!c:c"))</f>
        <v>#REF!</v>
      </c>
      <c r="F2" s="2542" t="s">
        <v>2324</v>
      </c>
      <c r="G2" s="2543"/>
    </row>
    <row r="3" spans="1:9" s="242" customFormat="1" ht="18" customHeight="1" thickBot="1">
      <c r="A3" s="245" t="s">
        <v>2325</v>
      </c>
      <c r="B3" s="246">
        <f ca="1">ROUND(B2*10000/(IF(B1="",'数据-汇总表'!E3,INDIRECT("'数据-取费表'!k"&amp;$G$1))),0)</f>
        <v>2923</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68937</v>
      </c>
      <c r="D5" s="253" t="s">
        <v>2330</v>
      </c>
      <c r="E5" s="254" t="s">
        <v>2331</v>
      </c>
      <c r="F5" s="254" t="s">
        <v>2332</v>
      </c>
      <c r="G5" s="255"/>
    </row>
    <row r="6" spans="1:9" s="256" customFormat="1" ht="13.5" customHeight="1">
      <c r="A6" s="948" t="s">
        <v>2333</v>
      </c>
      <c r="B6" s="257" t="s">
        <v>2334</v>
      </c>
      <c r="C6" s="258">
        <f>'土地比较法-住宅、综合'!F56</f>
        <v>66897</v>
      </c>
      <c r="D6" s="259"/>
      <c r="E6" s="260"/>
      <c r="F6" s="260"/>
      <c r="G6" s="261"/>
    </row>
    <row r="7" spans="1:9" s="256" customFormat="1" ht="13.5" customHeight="1">
      <c r="A7" s="948" t="s">
        <v>2335</v>
      </c>
      <c r="B7" s="257" t="s">
        <v>2336</v>
      </c>
      <c r="C7" s="262">
        <f>ROUND(C6*F7,0)</f>
        <v>2040</v>
      </c>
      <c r="D7" s="262"/>
      <c r="E7" s="260"/>
      <c r="F7" s="263">
        <f>'数据-取费表'!B48+'数据-取费表'!B49</f>
        <v>3.0499999999999999E-2</v>
      </c>
      <c r="G7" s="261"/>
    </row>
    <row r="8" spans="1:9" s="265" customFormat="1">
      <c r="A8" s="948" t="s">
        <v>2337</v>
      </c>
      <c r="B8" s="257" t="s">
        <v>2338</v>
      </c>
      <c r="C8" s="3360">
        <f>IF(G8="已包含在土地购买价格中","0",IF(B1="",'数据-取费表'!B29,IF(G9="全部缴纳",C9+C10,H9)))</f>
        <v>0</v>
      </c>
      <c r="D8" s="264"/>
      <c r="E8" s="262"/>
      <c r="F8" s="263"/>
      <c r="G8" s="2544" t="s">
        <v>3271</v>
      </c>
    </row>
    <row r="9" spans="1:9" s="256" customFormat="1" ht="13.5" customHeight="1">
      <c r="A9" s="949" t="s">
        <v>800</v>
      </c>
      <c r="B9" s="266" t="s">
        <v>2339</v>
      </c>
      <c r="C9" s="267">
        <f ca="1">ROUND(D9*E9/10000,0)</f>
        <v>2353</v>
      </c>
      <c r="D9" s="1031">
        <f ca="1">IF(B1="",'数据-汇总表'!E5,IF(INDIRECT("'数据-取费表'!c"&amp;$G$1)="住宅",INDIRECT("'数据-取费表'!k"&amp;$G$1),0))</f>
        <v>156896.10000000003</v>
      </c>
      <c r="E9" s="267">
        <f>'数据-取费表'!B27</f>
        <v>150</v>
      </c>
      <c r="F9" s="263"/>
      <c r="G9" s="2545" t="s">
        <v>3276</v>
      </c>
      <c r="H9" s="1389">
        <v>3997</v>
      </c>
      <c r="I9" s="2546" t="s">
        <v>2340</v>
      </c>
    </row>
    <row r="10" spans="1:9" s="256" customFormat="1" ht="13.5" customHeight="1">
      <c r="A10" s="949" t="s">
        <v>801</v>
      </c>
      <c r="B10" s="266" t="s">
        <v>2341</v>
      </c>
      <c r="C10" s="267">
        <f ca="1">ROUND(D10*E10/10000,0)</f>
        <v>1696</v>
      </c>
      <c r="D10" s="1031">
        <f ca="1">IF(B1="",'数据-汇总表'!E6,IF(INDIRECT("'数据-取费表'!c"&amp;$G$1)="住宅",INDIRECT("'数据-取费表'!s"&amp;$G$1),INDIRECT("'数据-取费表'!k"&amp;$G$1)+INDIRECT("'数据-取费表'!s"&amp;$G$1)))</f>
        <v>113059.03999999998</v>
      </c>
      <c r="E10" s="267">
        <f>'数据-取费表'!B28</f>
        <v>150</v>
      </c>
      <c r="F10" s="263"/>
      <c r="G10" s="268"/>
    </row>
    <row r="11" spans="1:9" s="256" customFormat="1" ht="13.5" hidden="1" customHeight="1">
      <c r="A11" s="269" t="s">
        <v>7</v>
      </c>
      <c r="B11" s="257" t="s">
        <v>2342</v>
      </c>
      <c r="C11" s="253"/>
      <c r="D11" s="1033"/>
      <c r="E11" s="260"/>
      <c r="F11" s="260"/>
      <c r="G11" s="261"/>
    </row>
    <row r="12" spans="1:9" s="256" customFormat="1" ht="13.5" hidden="1" customHeight="1">
      <c r="A12" s="269" t="s">
        <v>8</v>
      </c>
      <c r="B12" s="257" t="s">
        <v>2343</v>
      </c>
      <c r="C12" s="253">
        <v>0</v>
      </c>
      <c r="D12" s="1033"/>
      <c r="E12" s="270"/>
      <c r="F12" s="263">
        <v>3.0499999999999999E-2</v>
      </c>
      <c r="G12" s="261"/>
    </row>
    <row r="13" spans="1:9" s="256" customFormat="1" ht="13.5" hidden="1" customHeight="1">
      <c r="A13" s="269" t="s">
        <v>9</v>
      </c>
      <c r="B13" s="257" t="s">
        <v>2344</v>
      </c>
      <c r="C13" s="253"/>
      <c r="D13" s="1033"/>
      <c r="E13" s="260"/>
      <c r="F13" s="260"/>
      <c r="G13" s="261"/>
    </row>
    <row r="14" spans="1:9" s="256" customFormat="1" ht="13.5" hidden="1" customHeight="1">
      <c r="A14" s="269" t="s">
        <v>10</v>
      </c>
      <c r="B14" s="257" t="s">
        <v>2345</v>
      </c>
      <c r="C14" s="253"/>
      <c r="D14" s="1033"/>
      <c r="E14" s="260"/>
      <c r="F14" s="260"/>
      <c r="G14" s="261" t="s">
        <v>2346</v>
      </c>
    </row>
    <row r="15" spans="1:9" s="256" customFormat="1" ht="13.5" hidden="1" customHeight="1">
      <c r="A15" s="269" t="s">
        <v>11</v>
      </c>
      <c r="B15" s="257" t="s">
        <v>2347</v>
      </c>
      <c r="C15" s="262"/>
      <c r="D15" s="1033"/>
      <c r="E15" s="260"/>
      <c r="F15" s="260"/>
      <c r="G15" s="261" t="s">
        <v>2348</v>
      </c>
    </row>
    <row r="16" spans="1:9" s="256" customFormat="1" ht="13.5" hidden="1" customHeight="1">
      <c r="A16" s="269" t="s">
        <v>12</v>
      </c>
      <c r="B16" s="257" t="s">
        <v>2345</v>
      </c>
      <c r="C16" s="262"/>
      <c r="D16" s="1033"/>
      <c r="E16" s="260"/>
      <c r="F16" s="260"/>
      <c r="G16" s="261"/>
    </row>
    <row r="17" spans="1:7" s="256" customFormat="1" ht="13.5" hidden="1" customHeight="1">
      <c r="A17" s="269" t="s">
        <v>13</v>
      </c>
      <c r="B17" s="257" t="s">
        <v>2349</v>
      </c>
      <c r="C17" s="271"/>
      <c r="D17" s="1034"/>
      <c r="E17" s="271"/>
      <c r="F17" s="271"/>
      <c r="G17" s="261" t="s">
        <v>2348</v>
      </c>
    </row>
    <row r="18" spans="1:7" s="256" customFormat="1" ht="13.5" hidden="1" customHeight="1">
      <c r="A18" s="269" t="s">
        <v>14</v>
      </c>
      <c r="B18" s="257" t="s">
        <v>2350</v>
      </c>
      <c r="C18" s="262">
        <v>0</v>
      </c>
      <c r="D18" s="1033"/>
      <c r="E18" s="260"/>
      <c r="F18" s="263">
        <v>3.0499999999999999E-2</v>
      </c>
      <c r="G18" s="261" t="s">
        <v>2351</v>
      </c>
    </row>
    <row r="19" spans="1:7" s="265" customFormat="1" ht="13.5" customHeight="1">
      <c r="A19" s="297" t="s">
        <v>2352</v>
      </c>
      <c r="B19" s="252" t="s">
        <v>2353</v>
      </c>
      <c r="C19" s="253" t="str">
        <f>IF(G19="已包含在土地取得成本中","0",ROUND(D19*E19/10000,0))</f>
        <v>0</v>
      </c>
      <c r="D19" s="1035">
        <f ca="1">D9+D10</f>
        <v>269955.14</v>
      </c>
      <c r="E19" s="253">
        <f>'数据-取费表'!B31</f>
        <v>200</v>
      </c>
      <c r="F19" s="273"/>
      <c r="G19" s="2544" t="s">
        <v>3272</v>
      </c>
    </row>
    <row r="20" spans="1:7" s="256" customFormat="1" ht="13.5" customHeight="1">
      <c r="A20" s="297" t="s">
        <v>2354</v>
      </c>
      <c r="B20" s="252" t="s">
        <v>2355</v>
      </c>
      <c r="C20" s="274">
        <f>ROUND((C5+C19)*F20,0)</f>
        <v>1379</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53">
        <f ca="1">ROUND(SUM(C23:C25),0)</f>
        <v>324</v>
      </c>
      <c r="D22" s="277">
        <f ca="1">C26</f>
        <v>0</v>
      </c>
      <c r="E22" s="278" t="s">
        <v>2359</v>
      </c>
      <c r="F22" s="279">
        <f ca="1">'数据-取费表'!B40</f>
        <v>4.7500000000000001E-2</v>
      </c>
      <c r="G22" s="276" t="str">
        <f>IF('数据-取费表'!B22&lt;=1,"单利计息","复利计息")</f>
        <v>复利计息</v>
      </c>
    </row>
    <row r="23" spans="1:7" s="256" customFormat="1" ht="13.5" customHeight="1">
      <c r="A23" s="950" t="s">
        <v>2363</v>
      </c>
      <c r="B23" s="257" t="s">
        <v>2364</v>
      </c>
      <c r="C23" s="1354">
        <f ca="1">ROUND(IF('数据-取费表'!B22&lt;=1,C5*F22*'数据-取费表'!B23,C5*(POWER((1+F22),'数据-取费表'!B23)-1)),0)</f>
        <v>321</v>
      </c>
      <c r="D23" s="280"/>
      <c r="E23" s="280"/>
      <c r="F23" s="281"/>
      <c r="G23" s="282" t="s">
        <v>2365</v>
      </c>
    </row>
    <row r="24" spans="1:7" s="256" customFormat="1" ht="13.5" customHeight="1">
      <c r="A24" s="950" t="s">
        <v>2366</v>
      </c>
      <c r="B24" s="257" t="s">
        <v>2367</v>
      </c>
      <c r="C24" s="1354">
        <f ca="1">ROUND(IF('数据-取费表'!B22&lt;=1,C19*F22*('数据-取费表'!B19/2+'数据-取费表'!B21),C19*(POWER((1+F22),('数据-取费表'!B19/2+'数据-取费表'!B21))-1)),0)</f>
        <v>0</v>
      </c>
      <c r="D24" s="280"/>
      <c r="E24" s="280"/>
      <c r="F24" s="281"/>
      <c r="G24" s="282" t="s">
        <v>2368</v>
      </c>
    </row>
    <row r="25" spans="1:7" s="256" customFormat="1" ht="24">
      <c r="A25" s="950" t="s">
        <v>2369</v>
      </c>
      <c r="B25" s="257" t="s">
        <v>2370</v>
      </c>
      <c r="C25" s="1354">
        <f ca="1">ROUND(IF('数据-取费表'!B22&lt;=1,C20*F22*'数据-取费表'!B23/2,C20*(POWER((1+F22),'数据-取费表'!B23/2)-1)),0)</f>
        <v>3</v>
      </c>
      <c r="D25" s="280"/>
      <c r="E25" s="283"/>
      <c r="F25" s="281"/>
      <c r="G25" s="284" t="s">
        <v>2371</v>
      </c>
    </row>
    <row r="26" spans="1:7" s="256" customFormat="1">
      <c r="A26" s="950" t="s">
        <v>795</v>
      </c>
      <c r="B26" s="257" t="s">
        <v>2372</v>
      </c>
      <c r="C26" s="280">
        <f ca="1">ROUND(IF('数据-取费表'!B22&lt;=1,F21*F22*'数据-取费表'!B23/2,F21*(POWER((1+F22),'数据-取费表'!B23/2)-1)),4)</f>
        <v>0</v>
      </c>
      <c r="D26" s="280"/>
      <c r="E26" s="283"/>
      <c r="F26" s="281"/>
      <c r="G26" s="285"/>
    </row>
    <row r="27" spans="1:7" s="256" customFormat="1" ht="24.75">
      <c r="A27" s="297" t="s">
        <v>2373</v>
      </c>
      <c r="B27" s="286" t="s">
        <v>2374</v>
      </c>
      <c r="C27" s="287">
        <f ca="1">C28</f>
        <v>316</v>
      </c>
      <c r="D27" s="277">
        <f ca="1">C29</f>
        <v>1E-4</v>
      </c>
      <c r="E27" s="278" t="s">
        <v>2375</v>
      </c>
      <c r="F27" s="288">
        <f ca="1">IF(B1="",'数据-取费表'!Q16,INDIRECT("'数据-取费表'!q"&amp;$G$1))</f>
        <v>0.09</v>
      </c>
      <c r="G27" s="289" t="s">
        <v>2376</v>
      </c>
    </row>
    <row r="28" spans="1:7" s="256" customFormat="1" ht="13.5" customHeight="1">
      <c r="A28" s="950" t="s">
        <v>791</v>
      </c>
      <c r="B28" s="290" t="s">
        <v>2377</v>
      </c>
      <c r="C28" s="291">
        <f ca="1">ROUND((C5+C19+C20)*F27*'数据-取费表'!B21/'数据-取费表'!B20,0)</f>
        <v>316</v>
      </c>
      <c r="D28" s="277"/>
      <c r="E28" s="278"/>
      <c r="F28" s="288"/>
      <c r="G28" s="289"/>
    </row>
    <row r="29" spans="1:7" s="256" customFormat="1" ht="13.5" customHeight="1">
      <c r="A29" s="950" t="s">
        <v>792</v>
      </c>
      <c r="B29" s="290" t="s">
        <v>2378</v>
      </c>
      <c r="C29" s="280">
        <f ca="1">ROUND(C21*F27*'数据-取费表'!B21/'数据-取费表'!B20,4)</f>
        <v>1E-4</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76502</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1995</v>
      </c>
      <c r="D33" s="274"/>
      <c r="E33" s="254"/>
      <c r="F33" s="283"/>
      <c r="G33" s="276"/>
    </row>
    <row r="34" spans="1:7" s="300" customFormat="1" ht="13.5" customHeight="1">
      <c r="A34" s="950" t="s">
        <v>791</v>
      </c>
      <c r="B34" s="257" t="s">
        <v>2386</v>
      </c>
      <c r="C34" s="262">
        <f ca="1">IF(B1="",IF(F34=100%,'数据-取费表'!M16,'数据-取费表'!O16),IF(F34=100%,INDIRECT("'数据-取费表'!m"&amp;$G$1)+INDIRECT("'数据-取费表'!t"&amp;$G$1),INDIRECT("'数据-取费表'!o"&amp;$G$1)+INDIRECT("'数据-取费表'!aq"&amp;$G$1)))</f>
        <v>1703</v>
      </c>
      <c r="D34" s="259"/>
      <c r="E34" s="262"/>
      <c r="F34" s="299">
        <f ca="1">IF('数据-取费表'!B24=0,1,IF(B1="",'数据-取费表'!N16,INDIRECT("'数据-取费表'!n"&amp;$G$1)))</f>
        <v>0.03</v>
      </c>
      <c r="G34" s="261" t="s">
        <v>2387</v>
      </c>
    </row>
    <row r="35" spans="1:7" ht="13.5" customHeight="1">
      <c r="A35" s="950" t="s">
        <v>796</v>
      </c>
      <c r="B35" s="257" t="s">
        <v>2388</v>
      </c>
      <c r="C35" s="262">
        <f ca="1">ROUND(C34*F35,0)</f>
        <v>51</v>
      </c>
      <c r="D35" s="262"/>
      <c r="E35" s="262"/>
      <c r="F35" s="301">
        <f>'数据-取费表'!B33</f>
        <v>0.03</v>
      </c>
      <c r="G35" s="261" t="s">
        <v>2389</v>
      </c>
    </row>
    <row r="36" spans="1:7" ht="24">
      <c r="A36" s="950" t="s">
        <v>797</v>
      </c>
      <c r="B36" s="257" t="s">
        <v>2390</v>
      </c>
      <c r="C36" s="262">
        <f ca="1">ROUND(IF(B1="",SUMIF('数据-取费表'!C:C,"住宅",IF(F34=100%,'数据-取费表'!M:M,'数据-取费表'!O:O))*F36,IF(INDIRECT("'数据-取费表'!c"&amp;$G$1)="住宅",IF(F34=100%,INDIRECT("'数据-取费表'!m"&amp;$G$1)*F36,INDIRECT("'数据-取费表'!o"&amp;$G$1)*F36),0)),0)</f>
        <v>53</v>
      </c>
      <c r="D36" s="262"/>
      <c r="E36" s="262"/>
      <c r="F36" s="301">
        <f>'数据-取费表'!B34</f>
        <v>0.05</v>
      </c>
      <c r="G36" s="302" t="s">
        <v>2391</v>
      </c>
    </row>
    <row r="37" spans="1:7" s="300" customFormat="1" ht="13.5" customHeight="1">
      <c r="A37" s="950" t="s">
        <v>798</v>
      </c>
      <c r="B37" s="257" t="s">
        <v>2392</v>
      </c>
      <c r="C37" s="291">
        <f ca="1">ROUND(E37*D37*F34/10000,0)</f>
        <v>162</v>
      </c>
      <c r="D37" s="259">
        <f ca="1">D19</f>
        <v>269955.14</v>
      </c>
      <c r="E37" s="291">
        <f>'数据-取费表'!B35</f>
        <v>200</v>
      </c>
      <c r="F37" s="301"/>
      <c r="G37" s="303" t="s">
        <v>2393</v>
      </c>
    </row>
    <row r="38" spans="1:7" ht="13.5" customHeight="1">
      <c r="A38" s="950" t="s">
        <v>799</v>
      </c>
      <c r="B38" s="257" t="s">
        <v>2394</v>
      </c>
      <c r="C38" s="262">
        <f ca="1">ROUND(C34*F38,0)</f>
        <v>26</v>
      </c>
      <c r="D38" s="262"/>
      <c r="E38" s="262"/>
      <c r="F38" s="301">
        <f>'数据-取费表'!B36</f>
        <v>1.4999999999999999E-2</v>
      </c>
      <c r="G38" s="261" t="s">
        <v>2389</v>
      </c>
    </row>
    <row r="39" spans="1:7" s="256" customFormat="1" ht="13.5" customHeight="1">
      <c r="A39" s="297" t="s">
        <v>2395</v>
      </c>
      <c r="B39" s="252" t="s">
        <v>2396</v>
      </c>
      <c r="C39" s="274">
        <f ca="1">ROUND(C33*F20,0)</f>
        <v>40</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5</v>
      </c>
      <c r="D41" s="277">
        <f ca="1">C44</f>
        <v>0</v>
      </c>
      <c r="E41" s="278" t="s">
        <v>2400</v>
      </c>
      <c r="F41" s="279"/>
      <c r="G41" s="276" t="str">
        <f>IF('数据-取费表'!B22&lt;=1,"单利计息","复利计息")</f>
        <v>复利计息</v>
      </c>
    </row>
    <row r="42" spans="1:7" ht="13.5" customHeight="1">
      <c r="A42" s="950" t="s">
        <v>791</v>
      </c>
      <c r="B42" s="257" t="s">
        <v>2404</v>
      </c>
      <c r="C42" s="280">
        <f ca="1">ROUND(IF('数据-取费表'!B22&lt;=1,C33*F22*'数据-取费表'!B21/2,C33*(POWER((1+F22),'数据-取费表'!B21/2)-1)),0)</f>
        <v>5</v>
      </c>
      <c r="D42" s="280"/>
      <c r="E42" s="280"/>
      <c r="F42" s="281"/>
      <c r="G42" s="3258" t="s">
        <v>2405</v>
      </c>
    </row>
    <row r="43" spans="1:7" ht="13.5" customHeight="1">
      <c r="A43" s="950" t="s">
        <v>792</v>
      </c>
      <c r="B43" s="257" t="s">
        <v>2406</v>
      </c>
      <c r="C43" s="280">
        <f ca="1">ROUND(IF('数据-取费表'!B22&lt;=1,C39*F22*'数据-取费表'!B21/2,C39*(POWER((1+F22),'数据-取费表'!B21/2)-1)),0)</f>
        <v>0</v>
      </c>
      <c r="D43" s="280"/>
      <c r="E43" s="280"/>
      <c r="F43" s="281"/>
      <c r="G43" s="3259"/>
    </row>
    <row r="44" spans="1:7" ht="13.5" customHeight="1">
      <c r="A44" s="950" t="s">
        <v>793</v>
      </c>
      <c r="B44" s="257" t="s">
        <v>2407</v>
      </c>
      <c r="C44" s="280">
        <f ca="1">ROUND(IF('数据-取费表'!B22&lt;=1,C40*F22*'数据-取费表'!B21/2,C40*(POWER((1+F22),'数据-取费表'!B21/2)-1)),4)</f>
        <v>0</v>
      </c>
      <c r="D44" s="280"/>
      <c r="E44" s="280"/>
      <c r="F44" s="281"/>
      <c r="G44" s="3260"/>
    </row>
    <row r="45" spans="1:7" s="256" customFormat="1" ht="13.5" customHeight="1">
      <c r="A45" s="297" t="s">
        <v>2408</v>
      </c>
      <c r="B45" s="286" t="s">
        <v>2374</v>
      </c>
      <c r="C45" s="287">
        <f ca="1">C46</f>
        <v>183</v>
      </c>
      <c r="D45" s="277">
        <f ca="1">C47</f>
        <v>1.8E-3</v>
      </c>
      <c r="E45" s="278" t="s">
        <v>2400</v>
      </c>
      <c r="F45" s="288"/>
      <c r="G45" s="289" t="s">
        <v>2409</v>
      </c>
    </row>
    <row r="46" spans="1:7" s="256" customFormat="1" ht="13.5" customHeight="1">
      <c r="A46" s="950" t="s">
        <v>791</v>
      </c>
      <c r="B46" s="290" t="s">
        <v>2410</v>
      </c>
      <c r="C46" s="291">
        <f ca="1">ROUND((C33+C39)*F27,0)</f>
        <v>183</v>
      </c>
      <c r="D46" s="305"/>
      <c r="E46" s="278"/>
      <c r="F46" s="288"/>
      <c r="G46" s="289"/>
    </row>
    <row r="47" spans="1:7" s="256" customFormat="1" ht="13.5" customHeight="1">
      <c r="A47" s="950" t="s">
        <v>792</v>
      </c>
      <c r="B47" s="290" t="s">
        <v>2411</v>
      </c>
      <c r="C47" s="280">
        <f ca="1">ROUND(C40*F27,4)</f>
        <v>1.8E-3</v>
      </c>
      <c r="D47" s="305"/>
      <c r="E47" s="278"/>
      <c r="F47" s="288"/>
      <c r="G47" s="289"/>
    </row>
    <row r="48" spans="1:7" s="256" customFormat="1" ht="13.5" customHeight="1">
      <c r="A48" s="297" t="s">
        <v>2373</v>
      </c>
      <c r="B48" s="252" t="s">
        <v>2412</v>
      </c>
      <c r="C48" s="1726">
        <f>ROUND(F30/(1+'数据-取费表'!C42),4)</f>
        <v>5.2400000000000002E-2</v>
      </c>
      <c r="D48" s="278" t="s">
        <v>2400</v>
      </c>
      <c r="E48" s="274"/>
      <c r="F48" s="279"/>
      <c r="G48" s="276" t="s">
        <v>2413</v>
      </c>
    </row>
    <row r="49" spans="1:7" ht="16.5" customHeight="1">
      <c r="A49" s="297" t="s">
        <v>2379</v>
      </c>
      <c r="B49" s="252" t="s">
        <v>2414</v>
      </c>
      <c r="C49" s="274">
        <f ca="1">ROUND((C33+C39+C41+C45)/(1-C40-D41-D45-C48),0)</f>
        <v>2401</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2401</v>
      </c>
      <c r="D51" s="274"/>
      <c r="E51" s="274"/>
      <c r="F51" s="306"/>
      <c r="G51" s="276" t="s">
        <v>2421</v>
      </c>
    </row>
    <row r="52" spans="1:7" s="250" customFormat="1" ht="16.5" thickBot="1">
      <c r="A52" s="307" t="s">
        <v>2422</v>
      </c>
      <c r="B52" s="308"/>
      <c r="C52" s="309">
        <f ca="1">C31+C51</f>
        <v>78903</v>
      </c>
      <c r="D52" s="308"/>
      <c r="E52" s="308"/>
      <c r="F52" s="308"/>
      <c r="G52" s="310"/>
    </row>
    <row r="55" spans="1:7" ht="15">
      <c r="B55" s="312" t="s">
        <v>2423</v>
      </c>
      <c r="C55" s="313"/>
    </row>
    <row r="56" spans="1:7">
      <c r="B56" s="315" t="s">
        <v>1508</v>
      </c>
      <c r="C56" s="317">
        <f ca="1">1-C57</f>
        <v>0.97</v>
      </c>
    </row>
    <row r="57" spans="1:7">
      <c r="B57" s="315" t="s">
        <v>1509</v>
      </c>
      <c r="C57" s="316">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5"/>
      <c r="C1" s="2547" t="s">
        <v>2424</v>
      </c>
      <c r="D1" s="240"/>
      <c r="E1" s="240"/>
      <c r="F1" s="240"/>
      <c r="G1" s="1378">
        <f>MATCH(B1,'数据-取费表'!A6:A16,0)+5</f>
        <v>10</v>
      </c>
      <c r="H1" s="1281" t="str">
        <f>IF(ISERROR(FIND("住宅",B1)),"非住宅","住宅")</f>
        <v>非住宅</v>
      </c>
    </row>
    <row r="2" spans="1:8" s="242" customFormat="1" ht="18" customHeight="1">
      <c r="A2" s="243" t="s">
        <v>2323</v>
      </c>
      <c r="B2" s="244">
        <f ca="1">ROUND(IF(D2="——",C52/10000,C52/10000-E2),0)</f>
        <v>95741</v>
      </c>
      <c r="C2" s="241" t="s">
        <v>2324</v>
      </c>
      <c r="D2" s="2541" t="s">
        <v>70</v>
      </c>
      <c r="E2" s="1439" t="e">
        <f ca="1">SUMIF(INDIRECT("'"&amp;G2&amp;"'"&amp;"!A:A"),"承租人权益价值",INDIRECT("'"&amp;G2&amp;"'"&amp;"!c:c"))</f>
        <v>#REF!</v>
      </c>
      <c r="F2" s="2542" t="s">
        <v>2324</v>
      </c>
      <c r="G2" s="2543"/>
    </row>
    <row r="3" spans="1:8" s="242" customFormat="1" ht="18" customHeight="1" thickBot="1">
      <c r="A3" s="245" t="s">
        <v>2325</v>
      </c>
      <c r="B3" s="246">
        <f ca="1">ROUND(B2*10000/(IF(B1="",'数据-汇总表'!E3,INDIRECT("'数据-取费表'!k"&amp;$G$1))),0)</f>
        <v>3547</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40493271</v>
      </c>
      <c r="D5" s="253" t="s">
        <v>2330</v>
      </c>
      <c r="E5" s="254" t="s">
        <v>2331</v>
      </c>
      <c r="F5" s="254" t="s">
        <v>2332</v>
      </c>
      <c r="G5" s="255"/>
    </row>
    <row r="6" spans="1:8" s="256" customFormat="1" ht="13.5" customHeight="1">
      <c r="A6" s="948" t="s">
        <v>2333</v>
      </c>
      <c r="B6" s="257" t="s">
        <v>2334</v>
      </c>
      <c r="C6" s="258"/>
      <c r="D6" s="259"/>
      <c r="E6" s="260"/>
      <c r="F6" s="260"/>
      <c r="G6" s="261"/>
    </row>
    <row r="7" spans="1:8" s="256" customFormat="1" ht="13.5" customHeight="1">
      <c r="A7" s="948" t="s">
        <v>2335</v>
      </c>
      <c r="B7" s="257" t="s">
        <v>2336</v>
      </c>
      <c r="C7" s="262">
        <f>ROUND(C6*F7,0)</f>
        <v>0</v>
      </c>
      <c r="D7" s="262"/>
      <c r="E7" s="260"/>
      <c r="F7" s="263">
        <f>'数据-取费表'!B48+'数据-取费表'!B49</f>
        <v>3.0499999999999999E-2</v>
      </c>
      <c r="G7" s="261"/>
    </row>
    <row r="8" spans="1:8" s="265" customFormat="1">
      <c r="A8" s="948" t="s">
        <v>2337</v>
      </c>
      <c r="B8" s="257" t="s">
        <v>2338</v>
      </c>
      <c r="C8" s="262">
        <f ca="1">IF(G8="已包含在土地购买价格中",0,C9+C10)</f>
        <v>40493271</v>
      </c>
      <c r="D8" s="264"/>
      <c r="E8" s="262"/>
      <c r="F8" s="263"/>
      <c r="G8" s="2544"/>
    </row>
    <row r="9" spans="1:8" s="256" customFormat="1" ht="13.5" customHeight="1">
      <c r="A9" s="949" t="s">
        <v>800</v>
      </c>
      <c r="B9" s="266" t="s">
        <v>2339</v>
      </c>
      <c r="C9" s="267">
        <f ca="1">ROUND(D9*E9,0)</f>
        <v>23534415</v>
      </c>
      <c r="D9" s="1031">
        <f ca="1">IF(B1="",'数据-汇总表'!E5,IF(INDIRECT("'数据-取费表'!c"&amp;$G$1)="住宅",INDIRECT("'数据-取费表'!k"&amp;$G$1),0))</f>
        <v>156896.10000000003</v>
      </c>
      <c r="E9" s="267">
        <f>'数据-取费表'!B27</f>
        <v>150</v>
      </c>
      <c r="F9" s="263"/>
      <c r="G9" s="268"/>
    </row>
    <row r="10" spans="1:8" s="256" customFormat="1" ht="13.5" customHeight="1">
      <c r="A10" s="949" t="s">
        <v>801</v>
      </c>
      <c r="B10" s="266" t="s">
        <v>2341</v>
      </c>
      <c r="C10" s="267">
        <f ca="1">ROUND(D10*E10,0)</f>
        <v>16958856</v>
      </c>
      <c r="D10" s="1031">
        <f ca="1">IF(B1="",'数据-汇总表'!E6,IF(INDIRECT("'数据-取费表'!c"&amp;$G$1)="住宅",INDIRECT("'数据-取费表'!s"&amp;$G$1),INDIRECT("'数据-取费表'!k"&amp;$G$1)+INDIRECT("'数据-取费表'!s"&amp;$G$1)))</f>
        <v>113059.03999999998</v>
      </c>
      <c r="E10" s="267">
        <f>'数据-取费表'!B28</f>
        <v>150</v>
      </c>
      <c r="F10" s="263"/>
      <c r="G10" s="268"/>
    </row>
    <row r="11" spans="1:8" s="256" customFormat="1" ht="13.5" hidden="1" customHeight="1">
      <c r="A11" s="269" t="s">
        <v>7</v>
      </c>
      <c r="B11" s="257" t="s">
        <v>2342</v>
      </c>
      <c r="C11" s="253"/>
      <c r="D11" s="1033"/>
      <c r="E11" s="260"/>
      <c r="F11" s="260"/>
      <c r="G11" s="261"/>
    </row>
    <row r="12" spans="1:8" s="256" customFormat="1" ht="13.5" hidden="1" customHeight="1">
      <c r="A12" s="269" t="s">
        <v>8</v>
      </c>
      <c r="B12" s="257" t="s">
        <v>2425</v>
      </c>
      <c r="C12" s="253">
        <v>0</v>
      </c>
      <c r="D12" s="1033"/>
      <c r="E12" s="270"/>
      <c r="F12" s="263">
        <v>3.0499999999999999E-2</v>
      </c>
      <c r="G12" s="261"/>
    </row>
    <row r="13" spans="1:8" s="256" customFormat="1" ht="13.5" hidden="1" customHeight="1">
      <c r="A13" s="269" t="s">
        <v>9</v>
      </c>
      <c r="B13" s="257" t="s">
        <v>2426</v>
      </c>
      <c r="C13" s="253"/>
      <c r="D13" s="1033"/>
      <c r="E13" s="260"/>
      <c r="F13" s="260"/>
      <c r="G13" s="261"/>
    </row>
    <row r="14" spans="1:8" s="256" customFormat="1" ht="13.5" hidden="1" customHeight="1">
      <c r="A14" s="269" t="s">
        <v>10</v>
      </c>
      <c r="B14" s="257" t="s">
        <v>2338</v>
      </c>
      <c r="C14" s="253"/>
      <c r="D14" s="1033"/>
      <c r="E14" s="260"/>
      <c r="F14" s="260"/>
      <c r="G14" s="261" t="s">
        <v>2427</v>
      </c>
    </row>
    <row r="15" spans="1:8" s="256" customFormat="1" ht="13.5" hidden="1" customHeight="1">
      <c r="A15" s="269" t="s">
        <v>11</v>
      </c>
      <c r="B15" s="257" t="s">
        <v>2428</v>
      </c>
      <c r="C15" s="262"/>
      <c r="D15" s="1033"/>
      <c r="E15" s="260"/>
      <c r="F15" s="260"/>
      <c r="G15" s="261" t="s">
        <v>2429</v>
      </c>
    </row>
    <row r="16" spans="1:8" s="256" customFormat="1" ht="13.5" hidden="1" customHeight="1">
      <c r="A16" s="269" t="s">
        <v>12</v>
      </c>
      <c r="B16" s="257" t="s">
        <v>2338</v>
      </c>
      <c r="C16" s="262"/>
      <c r="D16" s="1033"/>
      <c r="E16" s="260"/>
      <c r="F16" s="260"/>
      <c r="G16" s="261"/>
    </row>
    <row r="17" spans="1:7" s="256" customFormat="1" ht="13.5" hidden="1" customHeight="1">
      <c r="A17" s="269" t="s">
        <v>13</v>
      </c>
      <c r="B17" s="257" t="s">
        <v>2430</v>
      </c>
      <c r="C17" s="271"/>
      <c r="D17" s="1034"/>
      <c r="E17" s="271"/>
      <c r="F17" s="271"/>
      <c r="G17" s="261" t="s">
        <v>2429</v>
      </c>
    </row>
    <row r="18" spans="1:7" s="256" customFormat="1" ht="13.5" hidden="1" customHeight="1">
      <c r="A18" s="269" t="s">
        <v>14</v>
      </c>
      <c r="B18" s="257" t="s">
        <v>2431</v>
      </c>
      <c r="C18" s="262">
        <v>0</v>
      </c>
      <c r="D18" s="1033"/>
      <c r="E18" s="260"/>
      <c r="F18" s="263">
        <v>3.0499999999999999E-2</v>
      </c>
      <c r="G18" s="261" t="s">
        <v>2432</v>
      </c>
    </row>
    <row r="19" spans="1:7" s="265" customFormat="1" ht="13.5" customHeight="1">
      <c r="A19" s="297" t="s">
        <v>2433</v>
      </c>
      <c r="B19" s="252" t="s">
        <v>2434</v>
      </c>
      <c r="C19" s="253">
        <f ca="1">IF(G19="已包含在土地取得成本中","0",ROUND(D19*E19,0))</f>
        <v>53991028</v>
      </c>
      <c r="D19" s="1035">
        <f ca="1">D9+D10</f>
        <v>269955.14</v>
      </c>
      <c r="E19" s="253">
        <f>'数据-取费表'!B31</f>
        <v>200</v>
      </c>
      <c r="F19" s="273"/>
      <c r="G19" s="2544"/>
    </row>
    <row r="20" spans="1:7" s="256" customFormat="1" ht="13.5" customHeight="1">
      <c r="A20" s="297" t="s">
        <v>2435</v>
      </c>
      <c r="B20" s="252" t="s">
        <v>2436</v>
      </c>
      <c r="C20" s="274">
        <f ca="1">ROUND((C5+C19)*F20,0)</f>
        <v>1889686</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9">
        <f ca="1">ROUND(SUM(C23:C25),0)</f>
        <v>9278949</v>
      </c>
      <c r="D22" s="277">
        <f ca="1">C26</f>
        <v>1E-3</v>
      </c>
      <c r="E22" s="278" t="s">
        <v>2440</v>
      </c>
      <c r="F22" s="279">
        <f ca="1">'数据-取费表'!B40</f>
        <v>4.7500000000000001E-2</v>
      </c>
      <c r="G22" s="276" t="str">
        <f>IF('数据-取费表'!B22&lt;=1,"单利计息","复利计息")</f>
        <v>复利计息</v>
      </c>
    </row>
    <row r="23" spans="1:7" s="256" customFormat="1" ht="13.5" customHeight="1">
      <c r="A23" s="950" t="s">
        <v>2333</v>
      </c>
      <c r="B23" s="257" t="s">
        <v>2444</v>
      </c>
      <c r="C23" s="1380">
        <f ca="1">ROUND(IF('数据-取费表'!B22&lt;=1,C5*F22*'数据-取费表'!B22,C5*(POWER((1+F22),'数据-取费表'!B22)-1)),0)</f>
        <v>3938224</v>
      </c>
      <c r="D23" s="280"/>
      <c r="E23" s="280"/>
      <c r="F23" s="281"/>
      <c r="G23" s="282" t="s">
        <v>2445</v>
      </c>
    </row>
    <row r="24" spans="1:7" s="256" customFormat="1" ht="13.5" customHeight="1">
      <c r="A24" s="950" t="s">
        <v>2335</v>
      </c>
      <c r="B24" s="257" t="s">
        <v>2446</v>
      </c>
      <c r="C24" s="1380">
        <f ca="1">ROUND(IF('数据-取费表'!B22&lt;=1,C19*F22*('数据-取费表'!B19/2+'数据-取费表'!B20),C19*(POWER((1+F22),('数据-取费表'!B19/2+'数据-取费表'!B20))-1)),0)</f>
        <v>5250965</v>
      </c>
      <c r="D24" s="280"/>
      <c r="E24" s="280"/>
      <c r="F24" s="281"/>
      <c r="G24" s="282" t="s">
        <v>2447</v>
      </c>
    </row>
    <row r="25" spans="1:7" s="256" customFormat="1" ht="24">
      <c r="A25" s="950" t="s">
        <v>2337</v>
      </c>
      <c r="B25" s="257" t="s">
        <v>2448</v>
      </c>
      <c r="C25" s="1380">
        <f ca="1">ROUND(IF('数据-取费表'!B22&lt;=1,C20*F22*'数据-取费表'!B22/2,C20*(POWER((1+F22),'数据-取费表'!B22/2)-1)),0)</f>
        <v>89760</v>
      </c>
      <c r="D25" s="280"/>
      <c r="E25" s="283"/>
      <c r="F25" s="281"/>
      <c r="G25" s="284" t="s">
        <v>2449</v>
      </c>
    </row>
    <row r="26" spans="1:7" s="256" customFormat="1">
      <c r="A26" s="950"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8673659</v>
      </c>
      <c r="D27" s="277">
        <f ca="1">C29</f>
        <v>1.8E-3</v>
      </c>
      <c r="E27" s="278" t="s">
        <v>2375</v>
      </c>
      <c r="F27" s="288">
        <f ca="1">IF(B1="",'数据-取费表'!Q16,INDIRECT("'数据-取费表'!q"&amp;$G$1))</f>
        <v>0.09</v>
      </c>
      <c r="G27" s="289" t="s">
        <v>2376</v>
      </c>
    </row>
    <row r="28" spans="1:7" s="256" customFormat="1" ht="13.5" customHeight="1">
      <c r="A28" s="950" t="s">
        <v>791</v>
      </c>
      <c r="B28" s="290" t="s">
        <v>2377</v>
      </c>
      <c r="C28" s="291">
        <f ca="1">ROUND((C5+C19+C20)*F27,0)</f>
        <v>8673659</v>
      </c>
      <c r="D28" s="277"/>
      <c r="E28" s="278"/>
      <c r="F28" s="288"/>
      <c r="G28" s="289"/>
    </row>
    <row r="29" spans="1:7" s="256" customFormat="1" ht="13.5" customHeight="1">
      <c r="A29" s="950" t="s">
        <v>792</v>
      </c>
      <c r="B29" s="290" t="s">
        <v>2378</v>
      </c>
      <c r="C29" s="280">
        <f ca="1">ROUND(C21*F27,4)</f>
        <v>1.8E-3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123623046</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664587829</v>
      </c>
      <c r="D33" s="274"/>
      <c r="E33" s="254"/>
      <c r="F33" s="283"/>
      <c r="G33" s="276"/>
    </row>
    <row r="34" spans="1:7" s="300" customFormat="1" ht="13.5" customHeight="1">
      <c r="A34" s="950" t="s">
        <v>791</v>
      </c>
      <c r="B34" s="257" t="s">
        <v>2386</v>
      </c>
      <c r="C34" s="262">
        <f ca="1">ROUND(IF(B1="",SUMPRODUCT('数据-取费表'!K6:K14,'数据-取费表'!L6:L14),INDIRECT("'数据-取费表'!l"&amp;$G$1)*INDIRECT("'数据-取费表'!k"&amp;$G$1)+'数据-取费表'!L14*INDIRECT("'数据-取费表'!S"&amp;$G$1)),0)</f>
        <v>567546189</v>
      </c>
      <c r="D34" s="259"/>
      <c r="E34" s="262"/>
      <c r="F34" s="299"/>
      <c r="G34" s="261"/>
    </row>
    <row r="35" spans="1:7" ht="13.5" customHeight="1">
      <c r="A35" s="950" t="s">
        <v>796</v>
      </c>
      <c r="B35" s="257" t="s">
        <v>2388</v>
      </c>
      <c r="C35" s="262">
        <f ca="1">ROUND(C34*F35,0)</f>
        <v>17026386</v>
      </c>
      <c r="D35" s="262"/>
      <c r="E35" s="262"/>
      <c r="F35" s="301">
        <f>'数据-取费表'!B33</f>
        <v>0.03</v>
      </c>
      <c r="G35" s="261" t="s">
        <v>2389</v>
      </c>
    </row>
    <row r="36" spans="1:7" ht="24">
      <c r="A36" s="950" t="s">
        <v>797</v>
      </c>
      <c r="B36" s="257" t="s">
        <v>2390</v>
      </c>
      <c r="C36" s="262">
        <f ca="1">ROUND(IF(B1="",SUM('数据-取费表'!AP6:AP13)*F36,IF(INDIRECT("'数据-取费表'!c"&amp;$G$1)="住宅",INDIRECT("'数据-取费表'!k"&amp;$G$1)*INDIRECT("'数据-取费表'!l"&amp;$G$1)*F36,0)),0)</f>
        <v>17511033</v>
      </c>
      <c r="D36" s="262"/>
      <c r="E36" s="262"/>
      <c r="F36" s="301">
        <f>'数据-取费表'!B34</f>
        <v>0.05</v>
      </c>
      <c r="G36" s="302" t="s">
        <v>2391</v>
      </c>
    </row>
    <row r="37" spans="1:7" s="300" customFormat="1" ht="13.5" customHeight="1">
      <c r="A37" s="950" t="s">
        <v>798</v>
      </c>
      <c r="B37" s="257" t="s">
        <v>2392</v>
      </c>
      <c r="C37" s="291">
        <f ca="1">ROUND(E37*D37,0)</f>
        <v>53991028</v>
      </c>
      <c r="D37" s="259">
        <f ca="1">D19</f>
        <v>269955.14</v>
      </c>
      <c r="E37" s="291">
        <f>'数据-取费表'!B35</f>
        <v>200</v>
      </c>
      <c r="F37" s="301"/>
      <c r="G37" s="303"/>
    </row>
    <row r="38" spans="1:7" ht="13.5" customHeight="1">
      <c r="A38" s="950" t="s">
        <v>799</v>
      </c>
      <c r="B38" s="257" t="s">
        <v>2394</v>
      </c>
      <c r="C38" s="262">
        <f ca="1">ROUND(C34*F38,0)</f>
        <v>8513193</v>
      </c>
      <c r="D38" s="262"/>
      <c r="E38" s="262"/>
      <c r="F38" s="301">
        <f>'数据-取费表'!B36</f>
        <v>1.4999999999999999E-2</v>
      </c>
      <c r="G38" s="261" t="s">
        <v>2389</v>
      </c>
    </row>
    <row r="39" spans="1:7" s="256" customFormat="1" ht="13.5" customHeight="1">
      <c r="A39" s="297" t="s">
        <v>2395</v>
      </c>
      <c r="B39" s="252" t="s">
        <v>2396</v>
      </c>
      <c r="C39" s="274">
        <f ca="1">ROUND(C33*F20,0)</f>
        <v>13291757</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32199280</v>
      </c>
      <c r="D41" s="277">
        <f ca="1">C44</f>
        <v>1E-3</v>
      </c>
      <c r="E41" s="278" t="s">
        <v>2400</v>
      </c>
      <c r="F41" s="279"/>
      <c r="G41" s="276" t="str">
        <f>IF('数据-取费表'!B22&lt;=1,"单利计息","复利计息")</f>
        <v>复利计息</v>
      </c>
    </row>
    <row r="42" spans="1:7" ht="13.5" customHeight="1">
      <c r="A42" s="950" t="s">
        <v>791</v>
      </c>
      <c r="B42" s="257" t="s">
        <v>2404</v>
      </c>
      <c r="C42" s="280">
        <f ca="1">ROUND(IF('数据-取费表'!B22&lt;=1,C33*F22*'数据-取费表'!B20/2,C33*(POWER((1+F22),'数据-取费表'!B20/2)-1)),0)</f>
        <v>31567922</v>
      </c>
      <c r="D42" s="280"/>
      <c r="E42" s="280"/>
      <c r="F42" s="281"/>
      <c r="G42" s="3258" t="s">
        <v>2452</v>
      </c>
    </row>
    <row r="43" spans="1:7" ht="13.5" customHeight="1">
      <c r="A43" s="950" t="s">
        <v>792</v>
      </c>
      <c r="B43" s="257" t="s">
        <v>2406</v>
      </c>
      <c r="C43" s="280">
        <f ca="1">ROUND(IF('数据-取费表'!B22&lt;=1,C39*F22*'数据-取费表'!B20/2,C39*(POWER((1+F22),'数据-取费表'!B20/2)-1)),0)</f>
        <v>631358</v>
      </c>
      <c r="D43" s="280"/>
      <c r="E43" s="280"/>
      <c r="F43" s="281"/>
      <c r="G43" s="3259"/>
    </row>
    <row r="44" spans="1:7" ht="13.5" customHeight="1">
      <c r="A44" s="950" t="s">
        <v>793</v>
      </c>
      <c r="B44" s="257" t="s">
        <v>2407</v>
      </c>
      <c r="C44" s="280">
        <f ca="1">ROUND(IF('数据-取费表'!B22&lt;=1,C40*F22*'数据-取费表'!B20/2,C40*(POWER((1+F22),'数据-取费表'!B20/2)-1)),4)</f>
        <v>1E-3</v>
      </c>
      <c r="D44" s="280"/>
      <c r="E44" s="280"/>
      <c r="F44" s="281"/>
      <c r="G44" s="3260"/>
    </row>
    <row r="45" spans="1:7" s="256" customFormat="1" ht="13.5" customHeight="1">
      <c r="A45" s="297" t="s">
        <v>2408</v>
      </c>
      <c r="B45" s="286" t="s">
        <v>2374</v>
      </c>
      <c r="C45" s="287">
        <f ca="1">C46</f>
        <v>61009163</v>
      </c>
      <c r="D45" s="277">
        <f ca="1">C47</f>
        <v>1.8E-3</v>
      </c>
      <c r="E45" s="278" t="s">
        <v>2400</v>
      </c>
      <c r="F45" s="288"/>
      <c r="G45" s="289" t="s">
        <v>2409</v>
      </c>
    </row>
    <row r="46" spans="1:7" s="256" customFormat="1" ht="13.5" customHeight="1">
      <c r="A46" s="950" t="s">
        <v>791</v>
      </c>
      <c r="B46" s="290" t="s">
        <v>2410</v>
      </c>
      <c r="C46" s="291">
        <f ca="1">ROUND((C33+C39)*F27,0)</f>
        <v>61009163</v>
      </c>
      <c r="D46" s="305"/>
      <c r="E46" s="278"/>
      <c r="F46" s="288"/>
      <c r="G46" s="289"/>
    </row>
    <row r="47" spans="1:7" s="256" customFormat="1" ht="13.5" customHeight="1">
      <c r="A47" s="950" t="s">
        <v>792</v>
      </c>
      <c r="B47" s="290" t="s">
        <v>2411</v>
      </c>
      <c r="C47" s="280">
        <f ca="1">ROUND(C40*F27,4)</f>
        <v>1.8E-3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833788959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833788959</v>
      </c>
      <c r="D51" s="274"/>
      <c r="E51" s="274"/>
      <c r="F51" s="306"/>
      <c r="G51" s="276" t="s">
        <v>2421</v>
      </c>
    </row>
    <row r="52" spans="1:7" s="250" customFormat="1" ht="16.5" thickBot="1">
      <c r="A52" s="307" t="s">
        <v>2422</v>
      </c>
      <c r="B52" s="308"/>
      <c r="C52" s="309">
        <f ca="1">C31+C51</f>
        <v>957412005</v>
      </c>
      <c r="D52" s="308"/>
      <c r="E52" s="308"/>
      <c r="F52" s="308"/>
      <c r="G52" s="310"/>
    </row>
    <row r="55" spans="1:7" ht="15">
      <c r="B55" s="312" t="s">
        <v>2423</v>
      </c>
      <c r="C55" s="313"/>
    </row>
    <row r="56" spans="1:7">
      <c r="B56" s="315" t="s">
        <v>1508</v>
      </c>
      <c r="C56" s="317">
        <f ca="1">1-C57</f>
        <v>0.129</v>
      </c>
    </row>
    <row r="57" spans="1:7">
      <c r="B57" s="315" t="s">
        <v>1509</v>
      </c>
      <c r="C57" s="316">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6" sqref="E6"/>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12"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2455</v>
      </c>
      <c r="B1" s="1579"/>
      <c r="C1" s="1580"/>
      <c r="D1" s="1578"/>
      <c r="E1" s="318"/>
      <c r="F1" s="318"/>
      <c r="G1" s="1579"/>
      <c r="H1" s="318"/>
      <c r="I1" s="318"/>
      <c r="J1" s="318"/>
      <c r="K1" s="318">
        <f>MATCH(C1,'数据-取费表'!A6:A16,0)+5</f>
        <v>10</v>
      </c>
    </row>
    <row r="2" spans="1:33" ht="18" customHeight="1">
      <c r="A2" s="243" t="s">
        <v>2323</v>
      </c>
      <c r="B2" s="246">
        <f ca="1">C32</f>
        <v>77086</v>
      </c>
      <c r="C2" s="318" t="s">
        <v>2456</v>
      </c>
      <c r="D2" s="318"/>
      <c r="E2" s="318"/>
      <c r="F2" s="318"/>
      <c r="G2" s="318"/>
      <c r="H2" s="318"/>
      <c r="I2" s="318"/>
      <c r="J2" s="318"/>
      <c r="K2" s="318"/>
    </row>
    <row r="3" spans="1:33" ht="18" customHeight="1" thickBot="1">
      <c r="A3" s="245" t="s">
        <v>2325</v>
      </c>
      <c r="B3" s="246">
        <f ca="1">ROUND(B2*10000/IF(C1="",'数据-汇总表'!E3,INDIRECT("'数据-取费表'!K"&amp;$K$1)),0)</f>
        <v>2856</v>
      </c>
      <c r="C3" s="318" t="s">
        <v>2457</v>
      </c>
      <c r="D3" s="318"/>
      <c r="E3" s="318"/>
      <c r="F3" s="318"/>
      <c r="G3" s="318"/>
      <c r="H3" s="318"/>
      <c r="I3" s="318"/>
      <c r="J3" s="318"/>
      <c r="K3" s="318"/>
    </row>
    <row r="4" spans="1:33" s="955" customFormat="1" ht="16.5" customHeight="1">
      <c r="A4" s="952" t="s">
        <v>2458</v>
      </c>
      <c r="B4" s="953"/>
      <c r="C4" s="995">
        <f ca="1">SUM(C8:K8)</f>
        <v>186620.88402200001</v>
      </c>
      <c r="D4" s="953"/>
      <c r="E4" s="953"/>
      <c r="F4" s="953"/>
      <c r="G4" s="953"/>
      <c r="H4" s="953"/>
      <c r="I4" s="953"/>
      <c r="J4" s="953"/>
      <c r="K4" s="954"/>
    </row>
    <row r="5" spans="1:33" s="959" customFormat="1" ht="15">
      <c r="A5" s="956" t="s">
        <v>2459</v>
      </c>
      <c r="B5" s="957" t="s">
        <v>2460</v>
      </c>
      <c r="C5" s="2548" t="s">
        <v>3126</v>
      </c>
      <c r="D5" s="2548" t="s">
        <v>3056</v>
      </c>
      <c r="E5" s="2548" t="s">
        <v>1372</v>
      </c>
      <c r="F5" s="2548" t="s">
        <v>48</v>
      </c>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2461</v>
      </c>
      <c r="C6" s="961">
        <f>'比较法-低密度'!B3</f>
        <v>15634</v>
      </c>
      <c r="D6" s="961">
        <f>'比较法-住宅'!C48</f>
        <v>9075</v>
      </c>
      <c r="E6" s="961">
        <f ca="1">收益法!B3</f>
        <v>11594</v>
      </c>
      <c r="F6" s="961">
        <f ca="1">收益法车!B3</f>
        <v>2505</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38" t="s">
        <v>2463</v>
      </c>
      <c r="C7" s="319">
        <f>SUMIF('数据-汇总表'!$C19:$C33,假设开发法!C5,'数据-汇总表'!$E19:$E33)</f>
        <v>35467.870000000003</v>
      </c>
      <c r="D7" s="319">
        <f>SUMIF('数据-汇总表'!$C19:$C33,假设开发法!D5,'数据-汇总表'!$E19:$E33)</f>
        <v>121428.23000000003</v>
      </c>
      <c r="E7" s="319">
        <f>SUMIF('数据-汇总表'!$C19:$C33,假设开发法!E5,'数据-汇总表'!$E19:$E33)</f>
        <v>3144.63</v>
      </c>
      <c r="F7" s="319">
        <f>SUMIF('数据-汇总表'!$C19:$C33,假设开发法!F5,'数据-汇总表'!$E19:$E33)</f>
        <v>69185.17</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2464</v>
      </c>
      <c r="B8" s="175" t="s">
        <v>2465</v>
      </c>
      <c r="C8" s="996">
        <f>ROUND(C6*C7/10000,0)</f>
        <v>55450</v>
      </c>
      <c r="D8" s="996">
        <f>ROUND(D6*D7/10000,0)</f>
        <v>110196</v>
      </c>
      <c r="E8" s="996">
        <f t="shared" ref="D8:E8" ca="1" si="0">E6*E7/10000</f>
        <v>3645.8840219999997</v>
      </c>
      <c r="F8" s="997">
        <f ca="1">收益法车!B2</f>
        <v>17329</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1">
        <f ca="1">IF(C1="",'数据-取费表'!P16,INDIRECT("'数据-取费表'!p"&amp;$K$1)+INDIRECT("'数据-取费表'!ar"&amp;$K$1))</f>
        <v>55052</v>
      </c>
      <c r="D11" s="972"/>
      <c r="E11" s="373"/>
      <c r="F11" s="973">
        <f ca="1">1-IF('数据-取费表'!B24=0,1,IF(C1="",'数据-取费表'!N16,INDIRECT("'数据-取费表'!n"&amp;$K$1)))</f>
        <v>0.97</v>
      </c>
      <c r="G11" s="8"/>
      <c r="H11" s="967"/>
      <c r="I11" s="967"/>
      <c r="J11" s="967"/>
      <c r="K11" s="968"/>
    </row>
    <row r="12" spans="1:33" s="974" customFormat="1" ht="13.5" customHeight="1">
      <c r="A12" s="970" t="s">
        <v>1330</v>
      </c>
      <c r="B12" s="971" t="s">
        <v>2474</v>
      </c>
      <c r="C12" s="24">
        <f ca="1">ROUND(C11*F12,0)</f>
        <v>1652</v>
      </c>
      <c r="D12" s="972"/>
      <c r="E12" s="373"/>
      <c r="F12" s="975">
        <f>'数据-取费表'!B33</f>
        <v>0.03</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1699</v>
      </c>
      <c r="D13" s="1032"/>
      <c r="E13" s="373"/>
      <c r="F13" s="975">
        <f>'数据-取费表'!B34</f>
        <v>0.05</v>
      </c>
      <c r="G13" s="8" t="s">
        <v>2477</v>
      </c>
      <c r="H13" s="967"/>
      <c r="I13" s="967"/>
      <c r="J13" s="967"/>
      <c r="K13" s="968"/>
    </row>
    <row r="14" spans="1:33" s="976" customFormat="1" ht="13.5" customHeight="1">
      <c r="A14" s="970" t="s">
        <v>1332</v>
      </c>
      <c r="B14" s="971" t="s">
        <v>2478</v>
      </c>
      <c r="C14" s="24">
        <f ca="1">ROUND(D14*E14*F11/10000,0)</f>
        <v>5237</v>
      </c>
      <c r="D14" s="1032">
        <f ca="1">IF(C1="",'数据-汇总表'!E3,INDIRECT("'数据-取费表'!K"&amp;$K$1)+INDIRECT("'数据-取费表'!S"&amp;$K$1))</f>
        <v>269955.14</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826</v>
      </c>
      <c r="D15" s="977"/>
      <c r="E15" s="982"/>
      <c r="F15" s="983">
        <f>'数据-取费表'!B36</f>
        <v>1.4999999999999999E-2</v>
      </c>
      <c r="G15" s="138"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64466</v>
      </c>
      <c r="D16" s="977"/>
      <c r="E16" s="982"/>
      <c r="F16" s="983"/>
      <c r="G16" s="138"/>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269955.14</v>
      </c>
      <c r="E17" s="24">
        <f>'数据-取费表'!B32</f>
        <v>0</v>
      </c>
      <c r="F17" s="977"/>
      <c r="G17" s="138" t="s">
        <v>2484</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4049</v>
      </c>
      <c r="D18" s="1032"/>
      <c r="E18" s="24"/>
      <c r="F18" s="975"/>
      <c r="G18" s="2550" t="s">
        <v>3275</v>
      </c>
      <c r="H18" s="1575">
        <v>3997</v>
      </c>
      <c r="I18" s="2551" t="s">
        <v>2486</v>
      </c>
      <c r="J18" s="978"/>
      <c r="K18" s="979"/>
    </row>
    <row r="19" spans="1:33" s="974" customFormat="1" ht="13.5" customHeight="1">
      <c r="A19" s="970" t="s">
        <v>805</v>
      </c>
      <c r="B19" s="971" t="s">
        <v>2487</v>
      </c>
      <c r="C19" s="24">
        <f ca="1">ROUND(D19*E19/10000,0)</f>
        <v>2353</v>
      </c>
      <c r="D19" s="1032">
        <f ca="1">IF(C1="",'数据-汇总表'!E5,IF(INDIRECT("'数据-取费表'!c"&amp;$K$1)="住宅",INDIRECT("'数据-取费表'!k"&amp;$K$1),0))</f>
        <v>156896.10000000003</v>
      </c>
      <c r="E19" s="24">
        <f>'数据-取费表'!B27</f>
        <v>150</v>
      </c>
      <c r="F19" s="975"/>
      <c r="G19" s="15"/>
      <c r="H19" s="1577"/>
      <c r="I19" s="980"/>
      <c r="J19" s="980"/>
      <c r="K19" s="981"/>
    </row>
    <row r="20" spans="1:33" s="974" customFormat="1" ht="13.5" customHeight="1">
      <c r="A20" s="970" t="s">
        <v>806</v>
      </c>
      <c r="B20" s="971" t="s">
        <v>2488</v>
      </c>
      <c r="C20" s="24">
        <f ca="1">ROUND(D20*E20/10000,0)</f>
        <v>1696</v>
      </c>
      <c r="D20" s="1032">
        <f ca="1">IF(C1="",'数据-汇总表'!E6,IF(INDIRECT("'数据-取费表'!c"&amp;$K$1)="住宅",INDIRECT("'数据-取费表'!s"&amp;$K$1),INDIRECT("'数据-取费表'!k"&amp;$K$1)+INDIRECT("'数据-取费表'!s"&amp;$K$1)))</f>
        <v>113059.03999999998</v>
      </c>
      <c r="E20" s="24">
        <f>'数据-取费表'!B28</f>
        <v>150</v>
      </c>
      <c r="F20" s="975"/>
      <c r="G20" s="15"/>
      <c r="H20" s="980"/>
      <c r="I20" s="980"/>
      <c r="J20" s="980"/>
      <c r="K20" s="981"/>
    </row>
    <row r="21" spans="1:33" s="974" customFormat="1" ht="13.5" customHeight="1">
      <c r="A21" s="960" t="s">
        <v>802</v>
      </c>
      <c r="B21" s="984" t="s">
        <v>2489</v>
      </c>
      <c r="C21" s="985">
        <f ca="1">C16+C17+C18</f>
        <v>68515</v>
      </c>
      <c r="D21" s="986"/>
      <c r="E21" s="323"/>
      <c r="F21" s="323"/>
      <c r="G21" s="138" t="s">
        <v>2490</v>
      </c>
      <c r="H21" s="978"/>
      <c r="I21" s="978"/>
      <c r="J21" s="978"/>
      <c r="K21" s="979"/>
    </row>
    <row r="22" spans="1:33" s="974" customFormat="1" ht="13.5" customHeight="1">
      <c r="A22" s="960" t="s">
        <v>2462</v>
      </c>
      <c r="B22" s="984" t="s">
        <v>2491</v>
      </c>
      <c r="C22" s="985">
        <f ca="1">ROUND(C21*F22,0)</f>
        <v>1370</v>
      </c>
      <c r="D22" s="323"/>
      <c r="E22" s="323"/>
      <c r="F22" s="987">
        <f>'数据-取费表'!B37</f>
        <v>0.02</v>
      </c>
      <c r="G22" s="8" t="s">
        <v>2492</v>
      </c>
      <c r="H22" s="967"/>
      <c r="I22" s="967"/>
      <c r="J22" s="967"/>
      <c r="K22" s="968"/>
    </row>
    <row r="23" spans="1:33" s="974" customFormat="1" ht="13.5" customHeight="1">
      <c r="A23" s="960" t="s">
        <v>2464</v>
      </c>
      <c r="B23" s="984" t="s">
        <v>2493</v>
      </c>
      <c r="C23" s="985">
        <f ca="1">ROUND(C4*F23*F11,0)</f>
        <v>3620</v>
      </c>
      <c r="D23" s="323"/>
      <c r="E23" s="323"/>
      <c r="F23" s="987">
        <f>'数据-取费表'!B38</f>
        <v>0.02</v>
      </c>
      <c r="G23" s="8" t="s">
        <v>2494</v>
      </c>
      <c r="H23" s="967"/>
      <c r="I23" s="967"/>
      <c r="J23" s="967"/>
      <c r="K23" s="968"/>
    </row>
    <row r="24" spans="1:33" s="974" customFormat="1" ht="13.5" customHeight="1">
      <c r="A24" s="960" t="s">
        <v>2495</v>
      </c>
      <c r="B24" s="984" t="s">
        <v>2496</v>
      </c>
      <c r="C24" s="322">
        <f>ROUND(F24/(1+'数据-取费表'!C42),4)</f>
        <v>2.9000000000000001E-2</v>
      </c>
      <c r="D24" s="323" t="s">
        <v>15</v>
      </c>
      <c r="E24" s="323"/>
      <c r="F24" s="987">
        <f>'数据-取费表'!B48+'数据-取费表'!B49</f>
        <v>3.0499999999999999E-2</v>
      </c>
      <c r="G24" s="8" t="s">
        <v>2497</v>
      </c>
      <c r="H24" s="989"/>
      <c r="I24" s="989"/>
      <c r="J24" s="989"/>
      <c r="K24" s="990"/>
    </row>
    <row r="25" spans="1:33" s="974" customFormat="1" ht="13.5" customHeight="1">
      <c r="A25" s="960" t="s">
        <v>2498</v>
      </c>
      <c r="B25" s="986" t="s">
        <v>2499</v>
      </c>
      <c r="C25" s="1355">
        <f ca="1">C27</f>
        <v>3313</v>
      </c>
      <c r="D25" s="322">
        <f ca="1">C26</f>
        <v>9.4799999999999995E-2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9.4799999999999995E-2</v>
      </c>
      <c r="D26" s="326"/>
      <c r="E26" s="327"/>
      <c r="F26" s="328"/>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3313</v>
      </c>
      <c r="D27" s="326"/>
      <c r="E27" s="327"/>
      <c r="F27" s="328"/>
      <c r="G27" s="2552" t="str">
        <f>IF('数据-取费表'!B22&lt;=1,"（1）-（3）项×年利率×建设期÷2","（1）-（3）项×((1+年利率)^(建设期÷2)-1)")</f>
        <v>（1）-（3）项×((1+年利率)^(建设期÷2)-1)</v>
      </c>
      <c r="H27" s="978"/>
      <c r="I27" s="978"/>
      <c r="J27" s="978"/>
      <c r="K27" s="979"/>
    </row>
    <row r="28" spans="1:33" s="331" customFormat="1" ht="13.5" customHeight="1">
      <c r="A28" s="960" t="s">
        <v>2502</v>
      </c>
      <c r="B28" s="2553" t="s">
        <v>2503</v>
      </c>
      <c r="C28" s="329">
        <f ca="1">C30</f>
        <v>6615</v>
      </c>
      <c r="D28" s="322">
        <f ca="1">C29</f>
        <v>8.7999999999999995E-2</v>
      </c>
      <c r="E28" s="324" t="s">
        <v>15</v>
      </c>
      <c r="F28" s="330">
        <f ca="1">IF(C1="",'数据-取费表'!Q16,INDIRECT("'数据-取费表'!q"&amp;$K$1))</f>
        <v>0.09</v>
      </c>
      <c r="G28" s="988"/>
      <c r="H28" s="989"/>
      <c r="I28" s="989"/>
      <c r="J28" s="989"/>
      <c r="K28" s="990"/>
    </row>
    <row r="29" spans="1:33" s="333" customFormat="1" ht="13.5" customHeight="1">
      <c r="A29" s="970" t="s">
        <v>803</v>
      </c>
      <c r="B29" s="993" t="s">
        <v>2504</v>
      </c>
      <c r="C29" s="326">
        <f ca="1">ROUND((1+C24)*F28*'数据-取费表'!B24/'数据-取费表'!B20,4)</f>
        <v>8.7999999999999995E-2</v>
      </c>
      <c r="D29" s="326"/>
      <c r="E29" s="327"/>
      <c r="F29" s="332"/>
      <c r="G29" s="138" t="s">
        <v>2505</v>
      </c>
      <c r="H29" s="978"/>
      <c r="I29" s="978"/>
      <c r="J29" s="978"/>
      <c r="K29" s="979"/>
    </row>
    <row r="30" spans="1:33" s="333" customFormat="1" ht="13.5" customHeight="1">
      <c r="A30" s="970" t="s">
        <v>804</v>
      </c>
      <c r="B30" s="993" t="s">
        <v>2506</v>
      </c>
      <c r="C30" s="334">
        <f ca="1">ROUND((C21+C22+C23)*F28,0)</f>
        <v>6615</v>
      </c>
      <c r="D30" s="326"/>
      <c r="E30" s="327"/>
      <c r="F30" s="332"/>
      <c r="G30" s="138"/>
      <c r="H30" s="978"/>
      <c r="I30" s="978"/>
      <c r="J30" s="978"/>
      <c r="K30" s="979"/>
    </row>
    <row r="31" spans="1:33" s="974" customFormat="1" ht="13.5" customHeight="1" thickBot="1">
      <c r="A31" s="2554" t="s">
        <v>2507</v>
      </c>
      <c r="B31" s="1004" t="s">
        <v>2508</v>
      </c>
      <c r="C31" s="1005">
        <f ca="1">ROUND(C4*F31/(1+'数据-取费表'!C42),0)</f>
        <v>9775</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77086</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8" sqref="C48"/>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32187</v>
      </c>
      <c r="C2" s="2580" t="s">
        <v>70</v>
      </c>
      <c r="D2" s="1364" t="e">
        <f ca="1">SUMIF(INDIRECT("'"&amp;F2&amp;"'"&amp;"!A:A"),"承租人权益价值",INDIRECT("'"&amp;F2&amp;"'"&amp;"!c:c"))</f>
        <v>#REF!</v>
      </c>
      <c r="E2" s="2581" t="s">
        <v>2526</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9075</v>
      </c>
      <c r="C3" s="398" t="s">
        <v>2527</v>
      </c>
      <c r="D3" s="397">
        <f>IF(D1="",'数据-汇总表'!E3,SUMIF('数据-汇总表'!$C19:$C33,D1,'数据-汇总表'!$E19:$E33))</f>
        <v>35467.870000000003</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399" t="s">
        <v>2528</v>
      </c>
      <c r="B4" s="400"/>
      <c r="C4" s="3233" t="s">
        <v>2529</v>
      </c>
      <c r="D4" s="3234"/>
      <c r="E4" s="3235" t="s">
        <v>2530</v>
      </c>
      <c r="F4" s="3236"/>
      <c r="G4" s="3233" t="s">
        <v>2531</v>
      </c>
      <c r="H4" s="3234"/>
      <c r="I4" s="3233" t="s">
        <v>2532</v>
      </c>
      <c r="J4" s="3234"/>
      <c r="K4" s="2590" t="s">
        <v>2533</v>
      </c>
      <c r="L4" s="1129"/>
      <c r="M4" s="1130"/>
      <c r="N4" s="1130"/>
      <c r="O4" s="1130"/>
      <c r="P4" s="3237" t="s">
        <v>2534</v>
      </c>
      <c r="Q4" s="3238"/>
      <c r="R4" s="3220" t="s">
        <v>2530</v>
      </c>
      <c r="S4" s="3221"/>
      <c r="T4" s="3220" t="s">
        <v>2531</v>
      </c>
      <c r="U4" s="3221"/>
      <c r="V4" s="3245" t="s">
        <v>2532</v>
      </c>
      <c r="W4" s="3245"/>
      <c r="X4" s="1811"/>
      <c r="Y4" s="3220" t="s">
        <v>2534</v>
      </c>
      <c r="Z4" s="3221"/>
      <c r="AA4" s="3215" t="s">
        <v>2530</v>
      </c>
      <c r="AB4" s="3215" t="s">
        <v>2531</v>
      </c>
      <c r="AC4" s="3215" t="s">
        <v>2532</v>
      </c>
    </row>
    <row r="5" spans="1:29" ht="15">
      <c r="A5" s="402"/>
      <c r="B5" s="403"/>
      <c r="C5" s="3226" t="s">
        <v>2535</v>
      </c>
      <c r="D5" s="3227"/>
      <c r="E5" s="3261" t="s">
        <v>3277</v>
      </c>
      <c r="F5" s="3225"/>
      <c r="G5" s="3262" t="s">
        <v>3304</v>
      </c>
      <c r="H5" s="3227"/>
      <c r="I5" s="3262" t="s">
        <v>3306</v>
      </c>
      <c r="J5" s="3227"/>
      <c r="K5" s="2591"/>
      <c r="L5" s="1129"/>
      <c r="M5" s="1130"/>
      <c r="N5" s="1130"/>
      <c r="O5" s="1130"/>
      <c r="P5" s="3239"/>
      <c r="Q5" s="3240"/>
      <c r="R5" s="3222"/>
      <c r="S5" s="3223"/>
      <c r="T5" s="3222"/>
      <c r="U5" s="3223"/>
      <c r="V5" s="3245"/>
      <c r="W5" s="3245"/>
      <c r="X5" s="1811"/>
      <c r="Y5" s="3222"/>
      <c r="Z5" s="3223"/>
      <c r="AA5" s="3216"/>
      <c r="AB5" s="3216"/>
      <c r="AC5" s="3216"/>
    </row>
    <row r="6" spans="1:29" ht="15.75" thickBot="1">
      <c r="A6" s="404"/>
      <c r="B6" s="405"/>
      <c r="C6" s="3228" t="s">
        <v>2539</v>
      </c>
      <c r="D6" s="3229"/>
      <c r="E6" s="3230" t="s">
        <v>2539</v>
      </c>
      <c r="F6" s="3231"/>
      <c r="G6" s="3228" t="s">
        <v>2539</v>
      </c>
      <c r="H6" s="3229"/>
      <c r="I6" s="3228" t="s">
        <v>2539</v>
      </c>
      <c r="J6" s="3229"/>
      <c r="K6" s="2591" t="s">
        <v>2540</v>
      </c>
      <c r="L6" s="1129"/>
      <c r="M6" s="1130"/>
      <c r="N6" s="1130"/>
      <c r="O6" s="1130"/>
      <c r="P6" s="3241"/>
      <c r="Q6" s="3242"/>
      <c r="R6" s="3222"/>
      <c r="S6" s="3223"/>
      <c r="T6" s="3243"/>
      <c r="U6" s="3244"/>
      <c r="V6" s="3245"/>
      <c r="W6" s="3245"/>
      <c r="X6" s="1811"/>
      <c r="Y6" s="3243"/>
      <c r="Z6" s="3244"/>
      <c r="AA6" s="3217"/>
      <c r="AB6" s="3217"/>
      <c r="AC6" s="3217"/>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218" t="s">
        <v>2542</v>
      </c>
      <c r="Q7" s="3246"/>
      <c r="R7" s="768" t="s">
        <v>23</v>
      </c>
      <c r="S7" s="769">
        <f t="shared" ref="S7:S15" si="0">F7</f>
        <v>100</v>
      </c>
      <c r="T7" s="768" t="s">
        <v>23</v>
      </c>
      <c r="U7" s="769">
        <f t="shared" ref="U7:U15" si="1">H7</f>
        <v>100</v>
      </c>
      <c r="V7" s="768" t="s">
        <v>23</v>
      </c>
      <c r="W7" s="769">
        <f t="shared" ref="W7:W15" si="2">J7</f>
        <v>100</v>
      </c>
      <c r="X7" s="770"/>
      <c r="Y7" s="3218" t="s">
        <v>2542</v>
      </c>
      <c r="Z7" s="3219"/>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218" t="s">
        <v>2545</v>
      </c>
      <c r="Q8" s="3219"/>
      <c r="R8" s="768" t="s">
        <v>23</v>
      </c>
      <c r="S8" s="769">
        <f t="shared" si="0"/>
        <v>100</v>
      </c>
      <c r="T8" s="768" t="s">
        <v>23</v>
      </c>
      <c r="U8" s="769">
        <f t="shared" si="1"/>
        <v>100</v>
      </c>
      <c r="V8" s="768" t="s">
        <v>23</v>
      </c>
      <c r="W8" s="769">
        <f t="shared" si="2"/>
        <v>100</v>
      </c>
      <c r="X8" s="770"/>
      <c r="Y8" s="3218" t="s">
        <v>2545</v>
      </c>
      <c r="Z8" s="3219"/>
      <c r="AA8" s="771">
        <f t="shared" ref="AA8:AA19" si="3">D8/F8</f>
        <v>1</v>
      </c>
      <c r="AB8" s="771">
        <f t="shared" ref="AB8:AB19" si="4">D8/H8</f>
        <v>1</v>
      </c>
      <c r="AC8" s="771">
        <f t="shared" ref="AC8:AC19" si="5">D8/J8</f>
        <v>1</v>
      </c>
    </row>
    <row r="9" spans="1:29" s="116" customFormat="1">
      <c r="A9" s="413" t="s">
        <v>2546</v>
      </c>
      <c r="B9" s="71" t="s">
        <v>2547</v>
      </c>
      <c r="C9" s="2987" t="s">
        <v>3302</v>
      </c>
      <c r="D9" s="133">
        <v>100</v>
      </c>
      <c r="E9" s="415" t="s">
        <v>3147</v>
      </c>
      <c r="F9" s="416">
        <f>SUMIF(63:63,E9,64:64)-SUMIF(63:63,C9,64:64)+100</f>
        <v>100</v>
      </c>
      <c r="G9" s="415" t="s">
        <v>3147</v>
      </c>
      <c r="H9" s="133">
        <f>SUMIF(63:63,G9,64:64)-SUMIF(63:63,C9,64:64)+100</f>
        <v>100</v>
      </c>
      <c r="I9" s="415" t="s">
        <v>3147</v>
      </c>
      <c r="J9" s="133">
        <f>SUMIF(63:63,I9,64:64)-SUMIF(63:63,C9,64:64)+100</f>
        <v>100</v>
      </c>
      <c r="K9" s="2592"/>
      <c r="L9" s="1131"/>
      <c r="M9" s="1132"/>
      <c r="N9" s="1132"/>
      <c r="O9" s="1132"/>
      <c r="P9" s="3256" t="s">
        <v>2548</v>
      </c>
      <c r="Q9" s="1793" t="str">
        <f t="shared" ref="Q9:Q15" si="6">B9</f>
        <v>用途</v>
      </c>
      <c r="R9" s="768" t="s">
        <v>17</v>
      </c>
      <c r="S9" s="769">
        <f t="shared" si="0"/>
        <v>100</v>
      </c>
      <c r="T9" s="768" t="s">
        <v>17</v>
      </c>
      <c r="U9" s="769">
        <f t="shared" si="1"/>
        <v>100</v>
      </c>
      <c r="V9" s="768" t="s">
        <v>17</v>
      </c>
      <c r="W9" s="769">
        <f t="shared" si="2"/>
        <v>100</v>
      </c>
      <c r="X9" s="770"/>
      <c r="Y9" s="3071" t="s">
        <v>2549</v>
      </c>
      <c r="Z9" s="55" t="str">
        <f t="shared" ref="Z9:Z15" si="7">Q9</f>
        <v>用途</v>
      </c>
      <c r="AA9" s="771">
        <f t="shared" si="3"/>
        <v>1</v>
      </c>
      <c r="AB9" s="771">
        <f t="shared" si="4"/>
        <v>1</v>
      </c>
      <c r="AC9" s="771">
        <f t="shared" si="5"/>
        <v>1</v>
      </c>
    </row>
    <row r="10" spans="1:29" s="425" customFormat="1" ht="27">
      <c r="A10" s="419"/>
      <c r="B10" s="420" t="s">
        <v>2550</v>
      </c>
      <c r="C10" s="421" t="s">
        <v>3301</v>
      </c>
      <c r="D10" s="134">
        <v>100</v>
      </c>
      <c r="E10" s="421" t="s">
        <v>3301</v>
      </c>
      <c r="F10" s="423">
        <f>SUMIF(65:65,E10,66:66)-SUMIF(65:65,C10,66:66)+100</f>
        <v>100</v>
      </c>
      <c r="G10" s="421" t="s">
        <v>3301</v>
      </c>
      <c r="H10" s="134">
        <f>SUMIF(65:65,G10,66:66)-SUMIF(65:65,C10,66:66)+100</f>
        <v>100</v>
      </c>
      <c r="I10" s="421" t="s">
        <v>3301</v>
      </c>
      <c r="J10" s="134">
        <f>SUMIF(65:65,I10,66:66)-SUMIF(65:65,C10,66:66)+100</f>
        <v>100</v>
      </c>
      <c r="K10" s="424">
        <v>1</v>
      </c>
      <c r="L10" s="1134"/>
      <c r="M10" s="1135"/>
      <c r="N10" s="1135"/>
      <c r="O10" s="1135"/>
      <c r="P10" s="3256"/>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2551</v>
      </c>
      <c r="C11" s="427">
        <f>'土地比较法-住宅、综合'!C11</f>
        <v>1.8</v>
      </c>
      <c r="D11" s="134">
        <v>100</v>
      </c>
      <c r="E11" s="428">
        <v>2.69</v>
      </c>
      <c r="F11" s="423">
        <f>LOOKUP(E11,68:68,69:69)-LOOKUP(C11,68:68,69:69)+100</f>
        <v>99</v>
      </c>
      <c r="G11" s="427">
        <v>2</v>
      </c>
      <c r="H11" s="134">
        <f>LOOKUP(G11,68:68,69:69)-LOOKUP(C11,68:68,69:69)+100</f>
        <v>99</v>
      </c>
      <c r="I11" s="427">
        <v>3</v>
      </c>
      <c r="J11" s="134">
        <f>LOOKUP(I11,68:68,69:69)-LOOKUP(C11,68:68,69:69)+100</f>
        <v>98</v>
      </c>
      <c r="K11" s="424">
        <f>'土地比较法-住宅、综合'!K11</f>
        <v>1</v>
      </c>
      <c r="L11" s="1137"/>
      <c r="M11" s="1130"/>
      <c r="N11" s="1130"/>
      <c r="O11" s="1130"/>
      <c r="P11" s="3256"/>
      <c r="Q11" s="1793" t="str">
        <f t="shared" si="6"/>
        <v>容积率</v>
      </c>
      <c r="R11" s="768" t="s">
        <v>21</v>
      </c>
      <c r="S11" s="769">
        <f t="shared" si="0"/>
        <v>99</v>
      </c>
      <c r="T11" s="768" t="s">
        <v>21</v>
      </c>
      <c r="U11" s="769">
        <f t="shared" si="1"/>
        <v>99</v>
      </c>
      <c r="V11" s="768" t="s">
        <v>21</v>
      </c>
      <c r="W11" s="769">
        <f t="shared" si="2"/>
        <v>98</v>
      </c>
      <c r="X11" s="770"/>
      <c r="Y11" s="3071"/>
      <c r="Z11" s="55" t="str">
        <f t="shared" si="7"/>
        <v>容积率</v>
      </c>
      <c r="AA11" s="771">
        <f t="shared" si="3"/>
        <v>1.0101010101010102</v>
      </c>
      <c r="AB11" s="771">
        <f t="shared" si="4"/>
        <v>1.0101010101010102</v>
      </c>
      <c r="AC11" s="771">
        <f t="shared" si="5"/>
        <v>1.0204081632653061</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256"/>
      <c r="Q12" s="1793">
        <f t="shared" si="6"/>
        <v>111</v>
      </c>
      <c r="R12" s="768" t="s">
        <v>21</v>
      </c>
      <c r="S12" s="769">
        <f t="shared" si="0"/>
        <v>100</v>
      </c>
      <c r="T12" s="768" t="s">
        <v>21</v>
      </c>
      <c r="U12" s="769">
        <f t="shared" si="1"/>
        <v>100</v>
      </c>
      <c r="V12" s="768" t="s">
        <v>21</v>
      </c>
      <c r="W12" s="769">
        <f t="shared" si="2"/>
        <v>100</v>
      </c>
      <c r="X12" s="770"/>
      <c r="Y12" s="3071"/>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256"/>
      <c r="Q13" s="1793">
        <f t="shared" si="6"/>
        <v>111</v>
      </c>
      <c r="R13" s="768" t="s">
        <v>21</v>
      </c>
      <c r="S13" s="769">
        <f t="shared" si="0"/>
        <v>100</v>
      </c>
      <c r="T13" s="768" t="s">
        <v>21</v>
      </c>
      <c r="U13" s="769">
        <f t="shared" si="1"/>
        <v>100</v>
      </c>
      <c r="V13" s="768" t="s">
        <v>21</v>
      </c>
      <c r="W13" s="769">
        <f t="shared" si="2"/>
        <v>100</v>
      </c>
      <c r="X13" s="770"/>
      <c r="Y13" s="3071"/>
      <c r="Z13" s="55">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256"/>
      <c r="Q14" s="1793">
        <f t="shared" si="6"/>
        <v>111</v>
      </c>
      <c r="R14" s="768" t="s">
        <v>21</v>
      </c>
      <c r="S14" s="769">
        <f t="shared" si="0"/>
        <v>100</v>
      </c>
      <c r="T14" s="768" t="s">
        <v>21</v>
      </c>
      <c r="U14" s="769">
        <f t="shared" si="1"/>
        <v>100</v>
      </c>
      <c r="V14" s="768" t="s">
        <v>21</v>
      </c>
      <c r="W14" s="769">
        <f t="shared" si="2"/>
        <v>100</v>
      </c>
      <c r="X14" s="770"/>
      <c r="Y14" s="3071"/>
      <c r="Z14" s="55">
        <f t="shared" si="7"/>
        <v>111</v>
      </c>
      <c r="AA14" s="771">
        <f t="shared" si="3"/>
        <v>1</v>
      </c>
      <c r="AB14" s="771">
        <f t="shared" si="4"/>
        <v>1</v>
      </c>
      <c r="AC14" s="771">
        <f t="shared" si="5"/>
        <v>1</v>
      </c>
    </row>
    <row r="15" spans="1:29" ht="99.75">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2"/>
      <c r="F15" s="439">
        <f>SUMIF(76:76,E16,77:77)-SUMIF(76:76,C16,77:77)+100</f>
        <v>100</v>
      </c>
      <c r="G15" s="440"/>
      <c r="H15" s="439">
        <f>SUMIF(76:76,G16,77:77)-SUMIF(76:76,C16,77:77)+100</f>
        <v>100</v>
      </c>
      <c r="I15" s="440" t="s">
        <v>3307</v>
      </c>
      <c r="J15" s="439">
        <f>SUMIF(76:76,I16,77:77)-SUMIF(76:76,C16,77:77)+100</f>
        <v>103</v>
      </c>
      <c r="K15" s="443">
        <f>'土地比较法-住宅、综合'!K15</f>
        <v>3</v>
      </c>
      <c r="L15" s="1139"/>
      <c r="M15" s="1130"/>
      <c r="N15" s="1130"/>
      <c r="O15" s="1130"/>
      <c r="P15" s="3269" t="s">
        <v>2553</v>
      </c>
      <c r="Q15" s="1808" t="str">
        <f t="shared" si="6"/>
        <v>居住社区成熟度</v>
      </c>
      <c r="R15" s="772" t="s">
        <v>21</v>
      </c>
      <c r="S15" s="773">
        <f t="shared" si="0"/>
        <v>100</v>
      </c>
      <c r="T15" s="772" t="s">
        <v>21</v>
      </c>
      <c r="U15" s="773">
        <f t="shared" si="1"/>
        <v>100</v>
      </c>
      <c r="V15" s="772" t="s">
        <v>21</v>
      </c>
      <c r="W15" s="773">
        <f t="shared" si="2"/>
        <v>103</v>
      </c>
      <c r="X15" s="1811"/>
      <c r="Y15" s="3247" t="s">
        <v>2553</v>
      </c>
      <c r="Z15" s="1812" t="str">
        <f t="shared" si="7"/>
        <v>居住社区成熟度</v>
      </c>
      <c r="AA15" s="1809">
        <f t="shared" si="3"/>
        <v>1</v>
      </c>
      <c r="AB15" s="1809">
        <f t="shared" si="4"/>
        <v>1</v>
      </c>
      <c r="AC15" s="1809">
        <f t="shared" si="5"/>
        <v>0.970873786407767</v>
      </c>
    </row>
    <row r="16" spans="1:29" ht="15">
      <c r="A16" s="426"/>
      <c r="B16" s="444"/>
      <c r="C16" s="445" t="s">
        <v>3251</v>
      </c>
      <c r="D16" s="446"/>
      <c r="E16" s="2597" t="s">
        <v>3251</v>
      </c>
      <c r="F16" s="446"/>
      <c r="G16" s="2598" t="s">
        <v>3251</v>
      </c>
      <c r="H16" s="448"/>
      <c r="I16" s="2598" t="s">
        <v>3258</v>
      </c>
      <c r="J16" s="446"/>
      <c r="K16" s="2599"/>
      <c r="L16" s="1139"/>
      <c r="M16" s="1130"/>
      <c r="N16" s="1130"/>
      <c r="O16" s="1130"/>
      <c r="P16" s="3270"/>
      <c r="Q16" s="1808"/>
      <c r="R16" s="772"/>
      <c r="S16" s="773"/>
      <c r="T16" s="772"/>
      <c r="U16" s="773"/>
      <c r="V16" s="772"/>
      <c r="W16" s="773"/>
      <c r="X16" s="1811"/>
      <c r="Y16" s="3248"/>
      <c r="Z16" s="1812"/>
      <c r="AA16" s="1809">
        <v>1</v>
      </c>
      <c r="AB16" s="1809">
        <v>1</v>
      </c>
      <c r="AC16" s="1809">
        <v>1</v>
      </c>
    </row>
    <row r="17" spans="1:29" ht="57">
      <c r="A17" s="426"/>
      <c r="B17" s="449" t="s">
        <v>2092</v>
      </c>
      <c r="C17" s="2600" t="str">
        <f>估价对象房地状况!C6</f>
        <v>估价对象周边有326、泾阳9、泾阳16等公交线路，综合评价交通便捷度较差</v>
      </c>
      <c r="D17" s="448">
        <v>100</v>
      </c>
      <c r="E17" s="452"/>
      <c r="F17" s="448">
        <f>SUMIF(78:78,E18,79:79)-SUMIF(78:78,C18,79:79)+100</f>
        <v>100</v>
      </c>
      <c r="G17" s="450"/>
      <c r="H17" s="453">
        <f>SUMIF(78:78,G18,79:79)-SUMIF(78:78,C18,79:79)+100</f>
        <v>100</v>
      </c>
      <c r="I17" s="450" t="s">
        <v>3308</v>
      </c>
      <c r="J17" s="453">
        <f>SUMIF(78:78,I18,79:79)-SUMIF(78:78,C18,79:79)+100</f>
        <v>100</v>
      </c>
      <c r="K17" s="443">
        <f>'土地比较法-住宅、综合'!K21</f>
        <v>2</v>
      </c>
      <c r="L17" s="1139"/>
      <c r="M17" s="1130"/>
      <c r="N17" s="1130"/>
      <c r="O17" s="1130"/>
      <c r="P17" s="3270"/>
      <c r="Q17" s="1808" t="str">
        <f>B17</f>
        <v>交通便捷度</v>
      </c>
      <c r="R17" s="772" t="s">
        <v>21</v>
      </c>
      <c r="S17" s="773">
        <f>F17</f>
        <v>100</v>
      </c>
      <c r="T17" s="772" t="s">
        <v>21</v>
      </c>
      <c r="U17" s="773">
        <f>H17</f>
        <v>100</v>
      </c>
      <c r="V17" s="772" t="s">
        <v>21</v>
      </c>
      <c r="W17" s="773">
        <f>J17</f>
        <v>100</v>
      </c>
      <c r="X17" s="1811"/>
      <c r="Y17" s="3248"/>
      <c r="Z17" s="1812" t="str">
        <f>Q17</f>
        <v>交通便捷度</v>
      </c>
      <c r="AA17" s="1809">
        <f t="shared" si="3"/>
        <v>1</v>
      </c>
      <c r="AB17" s="1809">
        <f t="shared" si="4"/>
        <v>1</v>
      </c>
      <c r="AC17" s="1809">
        <f t="shared" si="5"/>
        <v>1</v>
      </c>
    </row>
    <row r="18" spans="1:29" ht="15">
      <c r="A18" s="426"/>
      <c r="B18" s="454"/>
      <c r="C18" s="2601" t="s">
        <v>3265</v>
      </c>
      <c r="D18" s="448"/>
      <c r="E18" s="2602" t="s">
        <v>3265</v>
      </c>
      <c r="F18" s="448"/>
      <c r="G18" s="2602" t="s">
        <v>3265</v>
      </c>
      <c r="H18" s="446"/>
      <c r="I18" s="2603" t="s">
        <v>3265</v>
      </c>
      <c r="J18" s="446"/>
      <c r="K18" s="2599"/>
      <c r="L18" s="1139"/>
      <c r="M18" s="1130"/>
      <c r="N18" s="1130"/>
      <c r="O18" s="1130"/>
      <c r="P18" s="3270"/>
      <c r="Q18" s="1808"/>
      <c r="R18" s="772"/>
      <c r="S18" s="773"/>
      <c r="T18" s="772"/>
      <c r="U18" s="773"/>
      <c r="V18" s="772"/>
      <c r="W18" s="773"/>
      <c r="X18" s="1811"/>
      <c r="Y18" s="3248"/>
      <c r="Z18" s="1812"/>
      <c r="AA18" s="1809">
        <v>1</v>
      </c>
      <c r="AB18" s="1809">
        <v>1</v>
      </c>
      <c r="AC18" s="1809">
        <v>1</v>
      </c>
    </row>
    <row r="19" spans="1:29" ht="28.5">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2</v>
      </c>
      <c r="L19" s="1139"/>
      <c r="M19" s="1130"/>
      <c r="N19" s="1130"/>
      <c r="O19" s="1130"/>
      <c r="P19" s="3270"/>
      <c r="Q19" s="1808" t="str">
        <f>B19</f>
        <v>公共配套设施</v>
      </c>
      <c r="R19" s="772" t="s">
        <v>21</v>
      </c>
      <c r="S19" s="773">
        <f>F19</f>
        <v>100</v>
      </c>
      <c r="T19" s="772" t="s">
        <v>21</v>
      </c>
      <c r="U19" s="773">
        <f>H19</f>
        <v>100</v>
      </c>
      <c r="V19" s="772" t="s">
        <v>21</v>
      </c>
      <c r="W19" s="773">
        <f>J19</f>
        <v>100</v>
      </c>
      <c r="X19" s="1811"/>
      <c r="Y19" s="3248"/>
      <c r="Z19" s="1812" t="str">
        <f>Q19</f>
        <v>公共配套设施</v>
      </c>
      <c r="AA19" s="1809">
        <f t="shared" si="3"/>
        <v>1</v>
      </c>
      <c r="AB19" s="1809">
        <f t="shared" si="4"/>
        <v>1</v>
      </c>
      <c r="AC19" s="1809">
        <f t="shared" si="5"/>
        <v>1</v>
      </c>
    </row>
    <row r="20" spans="1:29" ht="15">
      <c r="A20" s="426"/>
      <c r="B20" s="454"/>
      <c r="C20" s="445" t="s">
        <v>3265</v>
      </c>
      <c r="D20" s="446"/>
      <c r="E20" s="2597" t="s">
        <v>3265</v>
      </c>
      <c r="F20" s="446"/>
      <c r="G20" s="2597" t="s">
        <v>3265</v>
      </c>
      <c r="H20" s="446"/>
      <c r="I20" s="2598" t="s">
        <v>3265</v>
      </c>
      <c r="J20" s="446"/>
      <c r="K20" s="2599"/>
      <c r="L20" s="1139"/>
      <c r="M20" s="1130"/>
      <c r="N20" s="1130"/>
      <c r="O20" s="1130"/>
      <c r="P20" s="3270"/>
      <c r="Q20" s="1808"/>
      <c r="R20" s="772"/>
      <c r="S20" s="773"/>
      <c r="T20" s="772"/>
      <c r="U20" s="773"/>
      <c r="V20" s="772"/>
      <c r="W20" s="773"/>
      <c r="X20" s="1811"/>
      <c r="Y20" s="3248"/>
      <c r="Z20" s="1812"/>
      <c r="AA20" s="1809">
        <v>1</v>
      </c>
      <c r="AB20" s="1809">
        <v>1</v>
      </c>
      <c r="AC20" s="1809">
        <v>1</v>
      </c>
    </row>
    <row r="21" spans="1:29" ht="28.5">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270"/>
      <c r="Q21" s="1808" t="str">
        <f>B21</f>
        <v>基础设施水平</v>
      </c>
      <c r="R21" s="772" t="s">
        <v>17</v>
      </c>
      <c r="S21" s="773">
        <f>F21</f>
        <v>100</v>
      </c>
      <c r="T21" s="772" t="s">
        <v>17</v>
      </c>
      <c r="U21" s="773">
        <f>H21</f>
        <v>100</v>
      </c>
      <c r="V21" s="772" t="s">
        <v>17</v>
      </c>
      <c r="W21" s="773">
        <f>J21</f>
        <v>100</v>
      </c>
      <c r="X21" s="1811"/>
      <c r="Y21" s="3248"/>
      <c r="Z21" s="1812" t="str">
        <f>Q21</f>
        <v>基础设施水平</v>
      </c>
      <c r="AA21" s="1809">
        <f t="shared" ref="AA21" si="8">D21/F21</f>
        <v>1</v>
      </c>
      <c r="AB21" s="1809">
        <f t="shared" ref="AB21" si="9">D21/H21</f>
        <v>1</v>
      </c>
      <c r="AC21" s="1809">
        <f t="shared" ref="AC21" si="10">D21/J21</f>
        <v>1</v>
      </c>
    </row>
    <row r="22" spans="1:29" ht="15">
      <c r="A22" s="426"/>
      <c r="B22" s="1383"/>
      <c r="C22" s="2601" t="s">
        <v>3253</v>
      </c>
      <c r="D22" s="446"/>
      <c r="E22" s="445" t="s">
        <v>3253</v>
      </c>
      <c r="F22" s="446"/>
      <c r="G22" s="445" t="s">
        <v>3253</v>
      </c>
      <c r="H22" s="446"/>
      <c r="I22" s="445" t="s">
        <v>3253</v>
      </c>
      <c r="J22" s="446"/>
      <c r="K22" s="2605"/>
      <c r="L22" s="1139"/>
      <c r="M22" s="1130"/>
      <c r="N22" s="1130"/>
      <c r="O22" s="1130"/>
      <c r="P22" s="3270"/>
      <c r="Q22" s="1808"/>
      <c r="R22" s="772"/>
      <c r="S22" s="773"/>
      <c r="T22" s="772"/>
      <c r="U22" s="773"/>
      <c r="V22" s="772"/>
      <c r="W22" s="773"/>
      <c r="X22" s="1811"/>
      <c r="Y22" s="3248"/>
      <c r="Z22" s="1812"/>
      <c r="AA22" s="1809">
        <v>1</v>
      </c>
      <c r="AB22" s="1809">
        <v>1</v>
      </c>
      <c r="AC22" s="1809">
        <v>1</v>
      </c>
    </row>
    <row r="23" spans="1:29" ht="28.5">
      <c r="A23" s="426"/>
      <c r="B23" s="449" t="s">
        <v>2097</v>
      </c>
      <c r="C23" s="2600" t="str">
        <f>估价对象房地状况!C9</f>
        <v>周边1公里有泾河，综合评价环境状况一般</v>
      </c>
      <c r="D23" s="448">
        <v>100</v>
      </c>
      <c r="E23" s="2988" t="s">
        <v>3303</v>
      </c>
      <c r="F23" s="448">
        <f>SUMIF(84:84,E24,85:85)-SUMIF(84:84,C24,85:85)+100</f>
        <v>98</v>
      </c>
      <c r="G23" s="2988" t="s">
        <v>3305</v>
      </c>
      <c r="H23" s="448">
        <f>SUMIF(84:84,G24,85:85)-SUMIF(84:84,C24,85:85)+100</f>
        <v>100</v>
      </c>
      <c r="I23" s="2989" t="s">
        <v>3309</v>
      </c>
      <c r="J23" s="448">
        <f>SUMIF(84:84,I24,85:85)-SUMIF(84:84,C24,85:85)+100</f>
        <v>100</v>
      </c>
      <c r="K23" s="443">
        <f>'土地比较法-住宅、综合'!K25</f>
        <v>2</v>
      </c>
      <c r="L23" s="1139"/>
      <c r="M23" s="1130"/>
      <c r="N23" s="1130"/>
      <c r="O23" s="1130"/>
      <c r="P23" s="3270"/>
      <c r="Q23" s="1808" t="str">
        <f>B23</f>
        <v>自然及人文环境</v>
      </c>
      <c r="R23" s="772" t="s">
        <v>21</v>
      </c>
      <c r="S23" s="773">
        <f>F23</f>
        <v>98</v>
      </c>
      <c r="T23" s="772" t="s">
        <v>21</v>
      </c>
      <c r="U23" s="773">
        <f>H23</f>
        <v>100</v>
      </c>
      <c r="V23" s="772" t="s">
        <v>21</v>
      </c>
      <c r="W23" s="773">
        <f>J23</f>
        <v>100</v>
      </c>
      <c r="X23" s="1811"/>
      <c r="Y23" s="3248"/>
      <c r="Z23" s="1812" t="str">
        <f>Q23</f>
        <v>自然及人文环境</v>
      </c>
      <c r="AA23" s="1809">
        <f>D23/F23</f>
        <v>1.0204081632653061</v>
      </c>
      <c r="AB23" s="1809">
        <f>D23/H23</f>
        <v>1</v>
      </c>
      <c r="AC23" s="1809">
        <f>D23/J23</f>
        <v>1</v>
      </c>
    </row>
    <row r="24" spans="1:29" ht="15">
      <c r="A24" s="426"/>
      <c r="B24" s="454"/>
      <c r="C24" s="445" t="s">
        <v>3251</v>
      </c>
      <c r="D24" s="446"/>
      <c r="E24" s="2597" t="s">
        <v>3265</v>
      </c>
      <c r="F24" s="446"/>
      <c r="G24" s="2597" t="s">
        <v>3251</v>
      </c>
      <c r="H24" s="446"/>
      <c r="I24" s="2598" t="s">
        <v>3251</v>
      </c>
      <c r="J24" s="446"/>
      <c r="K24" s="2599"/>
      <c r="L24" s="1139"/>
      <c r="M24" s="1130"/>
      <c r="N24" s="1130"/>
      <c r="O24" s="1130"/>
      <c r="P24" s="3270"/>
      <c r="Q24" s="1808"/>
      <c r="R24" s="772"/>
      <c r="S24" s="773"/>
      <c r="T24" s="772"/>
      <c r="U24" s="773"/>
      <c r="V24" s="772"/>
      <c r="W24" s="773"/>
      <c r="X24" s="1811"/>
      <c r="Y24" s="3248"/>
      <c r="Z24" s="1812"/>
      <c r="AA24" s="1809">
        <v>1</v>
      </c>
      <c r="AB24" s="1809">
        <v>1</v>
      </c>
      <c r="AC24" s="1809">
        <v>1</v>
      </c>
    </row>
    <row r="25" spans="1:29" ht="15">
      <c r="A25" s="426"/>
      <c r="B25" s="420"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27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8"/>
      <c r="Z25" s="1812" t="str">
        <f>Q25</f>
        <v>楼层-1</v>
      </c>
      <c r="AA25" s="1809">
        <f t="shared" ref="AA25:AA46" si="15">D25/F25</f>
        <v>1</v>
      </c>
      <c r="AB25" s="1809">
        <f t="shared" ref="AB25:AB46" si="16">D25/H25</f>
        <v>1</v>
      </c>
      <c r="AC25" s="1809">
        <f t="shared" ref="AC25:AC46" si="17">D25/J25</f>
        <v>1</v>
      </c>
    </row>
    <row r="26" spans="1:29" ht="15">
      <c r="A26" s="426"/>
      <c r="B26" s="420"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270"/>
      <c r="Q26" s="1808" t="str">
        <f t="shared" si="11"/>
        <v>朝向</v>
      </c>
      <c r="R26" s="772" t="s">
        <v>21</v>
      </c>
      <c r="S26" s="773">
        <f t="shared" si="12"/>
        <v>100</v>
      </c>
      <c r="T26" s="772" t="s">
        <v>21</v>
      </c>
      <c r="U26" s="773">
        <f t="shared" si="13"/>
        <v>100</v>
      </c>
      <c r="V26" s="772" t="s">
        <v>21</v>
      </c>
      <c r="W26" s="773">
        <f t="shared" si="14"/>
        <v>100</v>
      </c>
      <c r="X26" s="1811"/>
      <c r="Y26" s="3248"/>
      <c r="Z26" s="1812" t="str">
        <f>Q26</f>
        <v>朝向</v>
      </c>
      <c r="AA26" s="1809">
        <f t="shared" si="15"/>
        <v>1</v>
      </c>
      <c r="AB26" s="1809">
        <f t="shared" si="16"/>
        <v>1</v>
      </c>
      <c r="AC26" s="1809">
        <f t="shared" si="17"/>
        <v>1</v>
      </c>
    </row>
    <row r="27" spans="1:29" s="116" customFormat="1" ht="15">
      <c r="A27" s="429"/>
      <c r="B27" s="511" t="s">
        <v>3295</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270"/>
      <c r="Q27" s="1793" t="str">
        <f t="shared" si="11"/>
        <v>道路级别</v>
      </c>
      <c r="R27" s="768" t="s">
        <v>21</v>
      </c>
      <c r="S27" s="769">
        <f t="shared" si="12"/>
        <v>100</v>
      </c>
      <c r="T27" s="768" t="s">
        <v>21</v>
      </c>
      <c r="U27" s="769">
        <f t="shared" si="13"/>
        <v>100</v>
      </c>
      <c r="V27" s="768" t="s">
        <v>21</v>
      </c>
      <c r="W27" s="769">
        <f t="shared" si="14"/>
        <v>100</v>
      </c>
      <c r="X27" s="770"/>
      <c r="Y27" s="3248"/>
      <c r="Z27" s="55" t="str">
        <f>Q27</f>
        <v>道路级别</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270"/>
      <c r="Q28" s="1808">
        <f t="shared" si="11"/>
        <v>111</v>
      </c>
      <c r="R28" s="772" t="s">
        <v>21</v>
      </c>
      <c r="S28" s="773">
        <f t="shared" si="12"/>
        <v>100</v>
      </c>
      <c r="T28" s="772" t="s">
        <v>21</v>
      </c>
      <c r="U28" s="773">
        <f t="shared" si="13"/>
        <v>100</v>
      </c>
      <c r="V28" s="772" t="s">
        <v>21</v>
      </c>
      <c r="W28" s="773">
        <f t="shared" si="14"/>
        <v>100</v>
      </c>
      <c r="X28" s="1811"/>
      <c r="Y28" s="3248"/>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270"/>
      <c r="Q29" s="1808">
        <f t="shared" si="11"/>
        <v>111</v>
      </c>
      <c r="R29" s="772" t="s">
        <v>21</v>
      </c>
      <c r="S29" s="773">
        <f t="shared" si="12"/>
        <v>100</v>
      </c>
      <c r="T29" s="772" t="s">
        <v>21</v>
      </c>
      <c r="U29" s="773">
        <f t="shared" si="13"/>
        <v>100</v>
      </c>
      <c r="V29" s="772" t="s">
        <v>21</v>
      </c>
      <c r="W29" s="773">
        <f t="shared" si="14"/>
        <v>100</v>
      </c>
      <c r="X29" s="1811"/>
      <c r="Y29" s="3248"/>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270"/>
      <c r="Q30" s="1808">
        <f t="shared" si="11"/>
        <v>111</v>
      </c>
      <c r="R30" s="772" t="s">
        <v>21</v>
      </c>
      <c r="S30" s="773">
        <f t="shared" si="12"/>
        <v>100</v>
      </c>
      <c r="T30" s="772" t="s">
        <v>21</v>
      </c>
      <c r="U30" s="773">
        <f t="shared" si="13"/>
        <v>100</v>
      </c>
      <c r="V30" s="772" t="s">
        <v>21</v>
      </c>
      <c r="W30" s="773">
        <f t="shared" si="14"/>
        <v>100</v>
      </c>
      <c r="X30" s="1811"/>
      <c r="Y30" s="3248"/>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270"/>
      <c r="Q31" s="1808">
        <f t="shared" si="11"/>
        <v>111</v>
      </c>
      <c r="R31" s="772" t="s">
        <v>21</v>
      </c>
      <c r="S31" s="773">
        <f t="shared" si="12"/>
        <v>100</v>
      </c>
      <c r="T31" s="772" t="s">
        <v>21</v>
      </c>
      <c r="U31" s="773">
        <f t="shared" si="13"/>
        <v>100</v>
      </c>
      <c r="V31" s="772" t="s">
        <v>21</v>
      </c>
      <c r="W31" s="773">
        <f t="shared" si="14"/>
        <v>100</v>
      </c>
      <c r="X31" s="1811"/>
      <c r="Y31" s="3248"/>
      <c r="Z31" s="1812">
        <f t="shared" si="18"/>
        <v>111</v>
      </c>
      <c r="AA31" s="1809">
        <f t="shared" si="15"/>
        <v>1</v>
      </c>
      <c r="AB31" s="1809">
        <f t="shared" si="16"/>
        <v>1</v>
      </c>
      <c r="AC31" s="1809">
        <f t="shared" si="17"/>
        <v>1</v>
      </c>
    </row>
    <row r="32" spans="1:29" ht="15">
      <c r="A32" s="438" t="s">
        <v>2556</v>
      </c>
      <c r="B32" s="71" t="s">
        <v>2557</v>
      </c>
      <c r="C32" s="2610" t="s">
        <v>3296</v>
      </c>
      <c r="D32" s="465">
        <v>100</v>
      </c>
      <c r="E32" s="2610" t="s">
        <v>3296</v>
      </c>
      <c r="F32" s="459">
        <f>SUMIF(100:100,E32,101:101)-SUMIF(100:100,C32,101:101)+100</f>
        <v>100</v>
      </c>
      <c r="G32" s="2610" t="s">
        <v>3296</v>
      </c>
      <c r="H32" s="465">
        <f>SUMIF(100:100,G32,101:101)-SUMIF(100:100,C32,101:101)+100</f>
        <v>100</v>
      </c>
      <c r="I32" s="2610" t="s">
        <v>3296</v>
      </c>
      <c r="J32" s="433">
        <f>SUMIF(100:100,I32,101:101)-SUMIF(100:100,C32,101:101)+100</f>
        <v>100</v>
      </c>
      <c r="K32" s="424">
        <v>3</v>
      </c>
      <c r="L32" s="1139"/>
      <c r="M32" s="1130"/>
      <c r="N32" s="1130"/>
      <c r="O32" s="1130"/>
      <c r="P32" s="3265" t="s">
        <v>2558</v>
      </c>
      <c r="Q32" s="1808" t="str">
        <f t="shared" si="11"/>
        <v>建筑类型</v>
      </c>
      <c r="R32" s="772" t="s">
        <v>21</v>
      </c>
      <c r="S32" s="773">
        <f t="shared" si="12"/>
        <v>100</v>
      </c>
      <c r="T32" s="772" t="s">
        <v>21</v>
      </c>
      <c r="U32" s="773">
        <f t="shared" si="13"/>
        <v>100</v>
      </c>
      <c r="V32" s="772" t="s">
        <v>21</v>
      </c>
      <c r="W32" s="773">
        <f t="shared" si="14"/>
        <v>100</v>
      </c>
      <c r="X32" s="1811"/>
      <c r="Y32" s="3250" t="s">
        <v>2558</v>
      </c>
      <c r="Z32" s="1812" t="str">
        <f t="shared" si="18"/>
        <v>建筑类型</v>
      </c>
      <c r="AA32" s="1809">
        <f t="shared" si="15"/>
        <v>1</v>
      </c>
      <c r="AB32" s="1809">
        <f t="shared" si="16"/>
        <v>1</v>
      </c>
      <c r="AC32" s="1809">
        <f t="shared" si="17"/>
        <v>1</v>
      </c>
    </row>
    <row r="33" spans="1:29" s="469" customFormat="1" ht="15">
      <c r="A33" s="466"/>
      <c r="B33" s="420"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266"/>
      <c r="Q33" s="774" t="str">
        <f t="shared" si="11"/>
        <v>项目建筑规模</v>
      </c>
      <c r="R33" s="775" t="s">
        <v>21</v>
      </c>
      <c r="S33" s="776">
        <f t="shared" si="12"/>
        <v>100</v>
      </c>
      <c r="T33" s="775" t="s">
        <v>21</v>
      </c>
      <c r="U33" s="776">
        <f t="shared" si="13"/>
        <v>100</v>
      </c>
      <c r="V33" s="775" t="s">
        <v>21</v>
      </c>
      <c r="W33" s="776">
        <f t="shared" si="14"/>
        <v>100</v>
      </c>
      <c r="X33" s="777"/>
      <c r="Y33" s="3250"/>
      <c r="Z33" s="778" t="str">
        <f t="shared" si="18"/>
        <v>项目建筑规模</v>
      </c>
      <c r="AA33" s="1809">
        <f t="shared" si="15"/>
        <v>1</v>
      </c>
      <c r="AB33" s="1809">
        <f t="shared" si="16"/>
        <v>1</v>
      </c>
      <c r="AC33" s="1809">
        <f t="shared" si="17"/>
        <v>1</v>
      </c>
    </row>
    <row r="34" spans="1:29" ht="15">
      <c r="A34" s="470"/>
      <c r="B34" s="420" t="s">
        <v>2560</v>
      </c>
      <c r="C34" s="2611" t="s">
        <v>3297</v>
      </c>
      <c r="D34" s="433">
        <v>100</v>
      </c>
      <c r="E34" s="2611" t="s">
        <v>3297</v>
      </c>
      <c r="F34" s="459">
        <f>SUMIF(105:105,E34,106:106)-SUMIF(105:105,C34,106:106)+100</f>
        <v>100</v>
      </c>
      <c r="G34" s="2611" t="s">
        <v>3297</v>
      </c>
      <c r="H34" s="433">
        <f>SUMIF(105:105,G34,106:106)-SUMIF(105:105,C34,106:106)+100</f>
        <v>100</v>
      </c>
      <c r="I34" s="2611" t="s">
        <v>3297</v>
      </c>
      <c r="J34" s="433">
        <f>SUMIF(105:105,I34,106:106)-SUMIF(105:105,C34,106:106)+100</f>
        <v>100</v>
      </c>
      <c r="K34" s="424">
        <v>2</v>
      </c>
      <c r="L34" s="1139"/>
      <c r="M34" s="1130"/>
      <c r="N34" s="1130"/>
      <c r="O34" s="1130"/>
      <c r="P34" s="3266"/>
      <c r="Q34" s="1808" t="str">
        <f t="shared" si="11"/>
        <v>建筑结构</v>
      </c>
      <c r="R34" s="772" t="s">
        <v>21</v>
      </c>
      <c r="S34" s="773">
        <f t="shared" si="12"/>
        <v>100</v>
      </c>
      <c r="T34" s="772" t="s">
        <v>21</v>
      </c>
      <c r="U34" s="773">
        <f t="shared" si="13"/>
        <v>100</v>
      </c>
      <c r="V34" s="772" t="s">
        <v>21</v>
      </c>
      <c r="W34" s="773">
        <f t="shared" si="14"/>
        <v>100</v>
      </c>
      <c r="X34" s="1811"/>
      <c r="Y34" s="3250"/>
      <c r="Z34" s="1812" t="str">
        <f t="shared" si="18"/>
        <v>建筑结构</v>
      </c>
      <c r="AA34" s="1809">
        <f t="shared" si="15"/>
        <v>1</v>
      </c>
      <c r="AB34" s="1809">
        <f t="shared" si="16"/>
        <v>1</v>
      </c>
      <c r="AC34" s="1809">
        <f t="shared" si="17"/>
        <v>1</v>
      </c>
    </row>
    <row r="35" spans="1:29" ht="15">
      <c r="A35" s="470"/>
      <c r="B35" s="420" t="s">
        <v>2561</v>
      </c>
      <c r="C35" s="2606" t="s">
        <v>3298</v>
      </c>
      <c r="D35" s="433">
        <v>100</v>
      </c>
      <c r="E35" s="2606" t="s">
        <v>3298</v>
      </c>
      <c r="F35" s="459">
        <f>SUMIF(107:107,E35,108:108)-SUMIF(107:107,C35,108:108)+100</f>
        <v>100</v>
      </c>
      <c r="G35" s="2606" t="s">
        <v>3298</v>
      </c>
      <c r="H35" s="433">
        <f>SUMIF(107:107,G35,108:108)-SUMIF(107:107,C35,108:108)+100</f>
        <v>100</v>
      </c>
      <c r="I35" s="2606" t="s">
        <v>3298</v>
      </c>
      <c r="J35" s="433">
        <f>SUMIF(107:107,I35,108:108)-SUMIF(107:107,C35,108:108)+100</f>
        <v>100</v>
      </c>
      <c r="K35" s="424">
        <v>2</v>
      </c>
      <c r="L35" s="1139"/>
      <c r="M35" s="1130"/>
      <c r="N35" s="1130"/>
      <c r="O35" s="1130"/>
      <c r="P35" s="3266"/>
      <c r="Q35" s="1808" t="str">
        <f t="shared" si="11"/>
        <v>建筑品质</v>
      </c>
      <c r="R35" s="772" t="s">
        <v>21</v>
      </c>
      <c r="S35" s="773">
        <f t="shared" si="12"/>
        <v>100</v>
      </c>
      <c r="T35" s="772" t="s">
        <v>21</v>
      </c>
      <c r="U35" s="773">
        <f t="shared" si="13"/>
        <v>100</v>
      </c>
      <c r="V35" s="772" t="s">
        <v>21</v>
      </c>
      <c r="W35" s="773">
        <f t="shared" si="14"/>
        <v>100</v>
      </c>
      <c r="X35" s="1811"/>
      <c r="Y35" s="3250"/>
      <c r="Z35" s="1812" t="str">
        <f t="shared" si="18"/>
        <v>建筑品质</v>
      </c>
      <c r="AA35" s="1809">
        <f t="shared" si="15"/>
        <v>1</v>
      </c>
      <c r="AB35" s="1809">
        <f t="shared" si="16"/>
        <v>1</v>
      </c>
      <c r="AC35" s="1809">
        <f t="shared" si="17"/>
        <v>1</v>
      </c>
    </row>
    <row r="36" spans="1:29" ht="15">
      <c r="A36" s="470"/>
      <c r="B36" s="420" t="s">
        <v>2562</v>
      </c>
      <c r="C36" s="2606" t="s">
        <v>3299</v>
      </c>
      <c r="D36" s="433">
        <v>100</v>
      </c>
      <c r="E36" s="2606" t="s">
        <v>3299</v>
      </c>
      <c r="F36" s="459">
        <f>SUMIF(109:109,E36,110:110)-SUMIF(109:109,C36,110:110)+100</f>
        <v>100</v>
      </c>
      <c r="G36" s="2606" t="s">
        <v>3299</v>
      </c>
      <c r="H36" s="433">
        <f>SUMIF(109:109,G36,110:110)-SUMIF(109:109,C36,110:110)+100</f>
        <v>100</v>
      </c>
      <c r="I36" s="2606" t="s">
        <v>3299</v>
      </c>
      <c r="J36" s="433">
        <f>SUMIF(109:109,I36,110:110)-SUMIF(109:109,C36,110:110)+100</f>
        <v>100</v>
      </c>
      <c r="K36" s="424">
        <v>2</v>
      </c>
      <c r="L36" s="1139"/>
      <c r="M36" s="1130"/>
      <c r="N36" s="1130"/>
      <c r="O36" s="1130"/>
      <c r="P36" s="3266"/>
      <c r="Q36" s="1808" t="str">
        <f t="shared" si="11"/>
        <v>公共部分装修</v>
      </c>
      <c r="R36" s="772" t="s">
        <v>21</v>
      </c>
      <c r="S36" s="773">
        <f t="shared" si="12"/>
        <v>100</v>
      </c>
      <c r="T36" s="772" t="s">
        <v>21</v>
      </c>
      <c r="U36" s="773">
        <f t="shared" si="13"/>
        <v>100</v>
      </c>
      <c r="V36" s="772" t="s">
        <v>21</v>
      </c>
      <c r="W36" s="773">
        <f t="shared" si="14"/>
        <v>100</v>
      </c>
      <c r="X36" s="1811"/>
      <c r="Y36" s="3250"/>
      <c r="Z36" s="1812" t="str">
        <f t="shared" si="18"/>
        <v>公共部分装修</v>
      </c>
      <c r="AA36" s="1809">
        <f t="shared" si="15"/>
        <v>1</v>
      </c>
      <c r="AB36" s="1809">
        <f t="shared" si="16"/>
        <v>1</v>
      </c>
      <c r="AC36" s="1809">
        <f t="shared" si="17"/>
        <v>1</v>
      </c>
    </row>
    <row r="37" spans="1:29" s="116"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266"/>
      <c r="Q37" s="1793" t="str">
        <f t="shared" si="11"/>
        <v>成新度</v>
      </c>
      <c r="R37" s="768" t="s">
        <v>21</v>
      </c>
      <c r="S37" s="769">
        <f t="shared" si="12"/>
        <v>100</v>
      </c>
      <c r="T37" s="768" t="s">
        <v>21</v>
      </c>
      <c r="U37" s="769">
        <f t="shared" si="13"/>
        <v>100</v>
      </c>
      <c r="V37" s="768" t="s">
        <v>21</v>
      </c>
      <c r="W37" s="769">
        <f t="shared" si="14"/>
        <v>100</v>
      </c>
      <c r="X37" s="770"/>
      <c r="Y37" s="3250"/>
      <c r="Z37" s="55" t="str">
        <f t="shared" si="18"/>
        <v>成新度</v>
      </c>
      <c r="AA37" s="771">
        <f t="shared" si="15"/>
        <v>1</v>
      </c>
      <c r="AB37" s="771">
        <f t="shared" si="16"/>
        <v>1</v>
      </c>
      <c r="AC37" s="771">
        <f t="shared" si="17"/>
        <v>1</v>
      </c>
    </row>
    <row r="38" spans="1:29" ht="15">
      <c r="A38" s="470"/>
      <c r="B38" s="420" t="s">
        <v>2564</v>
      </c>
      <c r="C38" s="2606" t="s">
        <v>3300</v>
      </c>
      <c r="D38" s="433">
        <v>100</v>
      </c>
      <c r="E38" s="2606" t="s">
        <v>3300</v>
      </c>
      <c r="F38" s="459">
        <f>SUMIF(114:114,E38,115:115)-SUMIF(114:114,C38,115:115)+100</f>
        <v>100</v>
      </c>
      <c r="G38" s="2606" t="s">
        <v>3300</v>
      </c>
      <c r="H38" s="433">
        <f>SUMIF(114:114,G38,115:115)-SUMIF(114:114,C38,115:115)+100</f>
        <v>100</v>
      </c>
      <c r="I38" s="2606" t="s">
        <v>3300</v>
      </c>
      <c r="J38" s="433">
        <f>SUMIF(114:114,I38,115:115)-SUMIF(114:114,C38,115:115)+100</f>
        <v>100</v>
      </c>
      <c r="K38" s="424">
        <v>2</v>
      </c>
      <c r="L38" s="1139"/>
      <c r="M38" s="1130"/>
      <c r="N38" s="1130"/>
      <c r="O38" s="1130"/>
      <c r="P38" s="3266" t="s">
        <v>2558</v>
      </c>
      <c r="Q38" s="1808" t="str">
        <f t="shared" si="11"/>
        <v>物业管理</v>
      </c>
      <c r="R38" s="772" t="s">
        <v>21</v>
      </c>
      <c r="S38" s="773">
        <f t="shared" si="12"/>
        <v>100</v>
      </c>
      <c r="T38" s="772" t="s">
        <v>21</v>
      </c>
      <c r="U38" s="773">
        <f t="shared" si="13"/>
        <v>100</v>
      </c>
      <c r="V38" s="772" t="s">
        <v>21</v>
      </c>
      <c r="W38" s="773">
        <f t="shared" si="14"/>
        <v>100</v>
      </c>
      <c r="X38" s="1811"/>
      <c r="Y38" s="3250" t="s">
        <v>2558</v>
      </c>
      <c r="Z38" s="1812" t="str">
        <f t="shared" si="18"/>
        <v>物业管理</v>
      </c>
      <c r="AA38" s="1809">
        <f t="shared" si="15"/>
        <v>1</v>
      </c>
      <c r="AB38" s="1809">
        <f t="shared" si="16"/>
        <v>1</v>
      </c>
      <c r="AC38" s="1809">
        <f t="shared" si="17"/>
        <v>1</v>
      </c>
    </row>
    <row r="39" spans="1:29" ht="15">
      <c r="A39" s="470"/>
      <c r="B39" s="420" t="s">
        <v>2565</v>
      </c>
      <c r="C39" s="2606" t="s">
        <v>3253</v>
      </c>
      <c r="D39" s="433">
        <v>100</v>
      </c>
      <c r="E39" s="2606" t="s">
        <v>3253</v>
      </c>
      <c r="F39" s="459">
        <f>SUMIF(116:116,E39,117:117)-SUMIF(116:116,C39,117:117)+100</f>
        <v>100</v>
      </c>
      <c r="G39" s="2606" t="s">
        <v>3253</v>
      </c>
      <c r="H39" s="433">
        <f>SUMIF(116:116,G39,117:117)-SUMIF(116:116,C39,117:117)+100</f>
        <v>100</v>
      </c>
      <c r="I39" s="2606" t="s">
        <v>3253</v>
      </c>
      <c r="J39" s="433">
        <f>SUMIF(116:116,I39,117:117)-SUMIF(116:116,C39,117:117)+100</f>
        <v>100</v>
      </c>
      <c r="K39" s="424">
        <v>1</v>
      </c>
      <c r="L39" s="1139"/>
      <c r="M39" s="1130"/>
      <c r="N39" s="1130"/>
      <c r="O39" s="1130"/>
      <c r="P39" s="3266"/>
      <c r="Q39" s="1808" t="str">
        <f t="shared" si="11"/>
        <v>市政基础设施</v>
      </c>
      <c r="R39" s="772" t="s">
        <v>21</v>
      </c>
      <c r="S39" s="773">
        <f t="shared" si="12"/>
        <v>100</v>
      </c>
      <c r="T39" s="772" t="s">
        <v>21</v>
      </c>
      <c r="U39" s="773">
        <f t="shared" si="13"/>
        <v>100</v>
      </c>
      <c r="V39" s="772" t="s">
        <v>21</v>
      </c>
      <c r="W39" s="773">
        <f t="shared" si="14"/>
        <v>100</v>
      </c>
      <c r="X39" s="1811"/>
      <c r="Y39" s="3250"/>
      <c r="Z39" s="1812" t="str">
        <f t="shared" si="18"/>
        <v>市政基础设施</v>
      </c>
      <c r="AA39" s="1809">
        <f t="shared" si="15"/>
        <v>1</v>
      </c>
      <c r="AB39" s="1809">
        <f t="shared" si="16"/>
        <v>1</v>
      </c>
      <c r="AC39" s="1809">
        <f t="shared" si="17"/>
        <v>1</v>
      </c>
    </row>
    <row r="40" spans="1:29" ht="15">
      <c r="A40" s="470"/>
      <c r="B40" s="420"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266"/>
      <c r="Q40" s="1808" t="str">
        <f t="shared" si="11"/>
        <v>房型</v>
      </c>
      <c r="R40" s="772" t="s">
        <v>21</v>
      </c>
      <c r="S40" s="773">
        <f t="shared" si="12"/>
        <v>100</v>
      </c>
      <c r="T40" s="772" t="s">
        <v>21</v>
      </c>
      <c r="U40" s="773">
        <f t="shared" si="13"/>
        <v>100</v>
      </c>
      <c r="V40" s="772" t="s">
        <v>21</v>
      </c>
      <c r="W40" s="773">
        <f t="shared" si="14"/>
        <v>100</v>
      </c>
      <c r="X40" s="1811"/>
      <c r="Y40" s="3250"/>
      <c r="Z40" s="1812" t="str">
        <f t="shared" si="18"/>
        <v>房型</v>
      </c>
      <c r="AA40" s="1809">
        <f t="shared" si="15"/>
        <v>1</v>
      </c>
      <c r="AB40" s="1809">
        <f t="shared" si="16"/>
        <v>1</v>
      </c>
      <c r="AC40" s="1809">
        <f t="shared" si="17"/>
        <v>1</v>
      </c>
    </row>
    <row r="41" spans="1:29" s="469" customFormat="1" ht="28.5">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266"/>
      <c r="Q41" s="774" t="str">
        <f t="shared" si="11"/>
        <v>单套/主力户型建筑面积</v>
      </c>
      <c r="R41" s="775" t="s">
        <v>21</v>
      </c>
      <c r="S41" s="776">
        <f t="shared" si="12"/>
        <v>100</v>
      </c>
      <c r="T41" s="775" t="s">
        <v>21</v>
      </c>
      <c r="U41" s="776">
        <f t="shared" si="13"/>
        <v>100</v>
      </c>
      <c r="V41" s="775" t="s">
        <v>21</v>
      </c>
      <c r="W41" s="776">
        <f t="shared" si="14"/>
        <v>100</v>
      </c>
      <c r="X41" s="777"/>
      <c r="Y41" s="3250"/>
      <c r="Z41" s="778" t="str">
        <f t="shared" si="18"/>
        <v>单套/主力户型建筑面积</v>
      </c>
      <c r="AA41" s="1809">
        <f t="shared" si="15"/>
        <v>1</v>
      </c>
      <c r="AB41" s="1809">
        <f t="shared" si="16"/>
        <v>1</v>
      </c>
      <c r="AC41" s="1809">
        <f t="shared" si="17"/>
        <v>1</v>
      </c>
    </row>
    <row r="42" spans="1:29" ht="15">
      <c r="A42" s="470"/>
      <c r="B42" s="420" t="s">
        <v>2568</v>
      </c>
      <c r="C42" s="2606" t="s">
        <v>3299</v>
      </c>
      <c r="D42" s="433">
        <v>100</v>
      </c>
      <c r="E42" s="2606" t="s">
        <v>3299</v>
      </c>
      <c r="F42" s="459">
        <f>SUMIF(122:122,E42,123:123)-SUMIF(122:122,C42,123:123)+100</f>
        <v>100</v>
      </c>
      <c r="G42" s="2606" t="s">
        <v>3299</v>
      </c>
      <c r="H42" s="433">
        <f>SUMIF(122:122,G42,123:123)-SUMIF(122:122,C42,123:123)+100</f>
        <v>100</v>
      </c>
      <c r="I42" s="2606" t="s">
        <v>3299</v>
      </c>
      <c r="J42" s="433">
        <f>SUMIF(122:122,I42,123:123)-SUMIF(122:122,C42,123:123)+100</f>
        <v>100</v>
      </c>
      <c r="K42" s="424">
        <v>2</v>
      </c>
      <c r="L42" s="1139"/>
      <c r="M42" s="1130"/>
      <c r="N42" s="1130"/>
      <c r="O42" s="1130"/>
      <c r="P42" s="3266"/>
      <c r="Q42" s="1808" t="str">
        <f t="shared" si="11"/>
        <v>内部装修</v>
      </c>
      <c r="R42" s="772" t="s">
        <v>21</v>
      </c>
      <c r="S42" s="773">
        <f t="shared" si="12"/>
        <v>100</v>
      </c>
      <c r="T42" s="772" t="s">
        <v>21</v>
      </c>
      <c r="U42" s="773">
        <f t="shared" si="13"/>
        <v>100</v>
      </c>
      <c r="V42" s="772" t="s">
        <v>21</v>
      </c>
      <c r="W42" s="773">
        <f t="shared" si="14"/>
        <v>100</v>
      </c>
      <c r="X42" s="1811"/>
      <c r="Y42" s="3250"/>
      <c r="Z42" s="1812" t="str">
        <f t="shared" si="18"/>
        <v>内部装修</v>
      </c>
      <c r="AA42" s="1809">
        <f t="shared" si="15"/>
        <v>1</v>
      </c>
      <c r="AB42" s="1809">
        <f t="shared" si="16"/>
        <v>1</v>
      </c>
      <c r="AC42" s="1809">
        <f t="shared" si="17"/>
        <v>1</v>
      </c>
    </row>
    <row r="43" spans="1:29" ht="15">
      <c r="A43" s="470"/>
      <c r="B43" s="420" t="s">
        <v>2569</v>
      </c>
      <c r="C43" s="2606" t="s">
        <v>3258</v>
      </c>
      <c r="D43" s="433">
        <v>100</v>
      </c>
      <c r="E43" s="2606" t="s">
        <v>3258</v>
      </c>
      <c r="F43" s="459">
        <f>SUMIF(124:124,E43,125:125)-SUMIF(124:124,C43,125:125)+100</f>
        <v>100</v>
      </c>
      <c r="G43" s="2606" t="s">
        <v>3258</v>
      </c>
      <c r="H43" s="433">
        <f>SUMIF(124:124,G43,125:125)-SUMIF(124:124,C43,125:125)+100</f>
        <v>100</v>
      </c>
      <c r="I43" s="2606" t="s">
        <v>3258</v>
      </c>
      <c r="J43" s="433">
        <f>SUMIF(124:124,I43,125:125)-SUMIF(124:124,C43,125:125)+100</f>
        <v>100</v>
      </c>
      <c r="K43" s="424">
        <v>2</v>
      </c>
      <c r="L43" s="1139"/>
      <c r="M43" s="1130"/>
      <c r="N43" s="1130"/>
      <c r="O43" s="1130"/>
      <c r="P43" s="3266"/>
      <c r="Q43" s="1808" t="str">
        <f t="shared" si="11"/>
        <v>内部装修维护情况</v>
      </c>
      <c r="R43" s="772" t="s">
        <v>21</v>
      </c>
      <c r="S43" s="773">
        <f t="shared" si="12"/>
        <v>100</v>
      </c>
      <c r="T43" s="772" t="s">
        <v>21</v>
      </c>
      <c r="U43" s="773">
        <f t="shared" si="13"/>
        <v>100</v>
      </c>
      <c r="V43" s="772" t="s">
        <v>21</v>
      </c>
      <c r="W43" s="773">
        <f t="shared" si="14"/>
        <v>100</v>
      </c>
      <c r="X43" s="1811"/>
      <c r="Y43" s="3250"/>
      <c r="Z43" s="1812" t="str">
        <f t="shared" si="18"/>
        <v>内部装修维护情况</v>
      </c>
      <c r="AA43" s="1809">
        <f t="shared" si="15"/>
        <v>1</v>
      </c>
      <c r="AB43" s="1809">
        <f t="shared" si="16"/>
        <v>1</v>
      </c>
      <c r="AC43" s="1809">
        <f t="shared" si="17"/>
        <v>1</v>
      </c>
    </row>
    <row r="44" spans="1:29" s="116"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266"/>
      <c r="Q44" s="1793">
        <f t="shared" si="11"/>
        <v>111</v>
      </c>
      <c r="R44" s="768" t="s">
        <v>21</v>
      </c>
      <c r="S44" s="769">
        <f t="shared" si="12"/>
        <v>100</v>
      </c>
      <c r="T44" s="768" t="s">
        <v>21</v>
      </c>
      <c r="U44" s="769">
        <f t="shared" si="13"/>
        <v>100</v>
      </c>
      <c r="V44" s="768" t="s">
        <v>21</v>
      </c>
      <c r="W44" s="769">
        <f t="shared" si="14"/>
        <v>100</v>
      </c>
      <c r="X44" s="770"/>
      <c r="Y44" s="3250"/>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266"/>
      <c r="Q45" s="1808">
        <f t="shared" si="11"/>
        <v>111</v>
      </c>
      <c r="R45" s="772" t="s">
        <v>21</v>
      </c>
      <c r="S45" s="773">
        <f t="shared" si="12"/>
        <v>100</v>
      </c>
      <c r="T45" s="772" t="s">
        <v>21</v>
      </c>
      <c r="U45" s="773">
        <f t="shared" si="13"/>
        <v>100</v>
      </c>
      <c r="V45" s="772" t="s">
        <v>21</v>
      </c>
      <c r="W45" s="773">
        <f t="shared" si="14"/>
        <v>100</v>
      </c>
      <c r="X45" s="1811"/>
      <c r="Y45" s="3250"/>
      <c r="Z45" s="1812">
        <f t="shared" si="18"/>
        <v>111</v>
      </c>
      <c r="AA45" s="1809">
        <f t="shared" si="15"/>
        <v>1</v>
      </c>
      <c r="AB45" s="1809">
        <f t="shared" si="16"/>
        <v>1</v>
      </c>
      <c r="AC45" s="1809">
        <f t="shared" si="17"/>
        <v>1</v>
      </c>
    </row>
    <row r="46" spans="1:29" ht="15.75" thickBot="1">
      <c r="A46" s="476"/>
      <c r="B46" s="2595">
        <v>0.97</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267"/>
      <c r="Q46" s="1808">
        <f t="shared" si="11"/>
        <v>0.97</v>
      </c>
      <c r="R46" s="772" t="s">
        <v>20</v>
      </c>
      <c r="S46" s="773">
        <f t="shared" si="12"/>
        <v>100</v>
      </c>
      <c r="T46" s="772" t="s">
        <v>20</v>
      </c>
      <c r="U46" s="773">
        <f t="shared" si="13"/>
        <v>100</v>
      </c>
      <c r="V46" s="772" t="s">
        <v>20</v>
      </c>
      <c r="W46" s="773">
        <f t="shared" si="14"/>
        <v>100</v>
      </c>
      <c r="X46" s="1811"/>
      <c r="Y46" s="3268"/>
      <c r="Z46" s="1812">
        <f t="shared" si="18"/>
        <v>0.97</v>
      </c>
      <c r="AA46" s="1809">
        <f t="shared" si="15"/>
        <v>1</v>
      </c>
      <c r="AB46" s="1809">
        <f t="shared" si="16"/>
        <v>1</v>
      </c>
      <c r="AC46" s="1809">
        <f t="shared" si="17"/>
        <v>1</v>
      </c>
    </row>
    <row r="47" spans="1:29" ht="15">
      <c r="A47" s="477" t="s">
        <v>2570</v>
      </c>
      <c r="B47" s="478"/>
      <c r="C47" s="1406" t="s">
        <v>19</v>
      </c>
      <c r="D47" s="1407"/>
      <c r="E47" s="1408">
        <f>ROUND(8300*B46,0)</f>
        <v>8051</v>
      </c>
      <c r="F47" s="1409"/>
      <c r="G47" s="1408">
        <f>ROUND(10000*B46,0)</f>
        <v>9700</v>
      </c>
      <c r="H47" s="1411"/>
      <c r="I47" s="1408">
        <f>ROUND(9500*B46,0)</f>
        <v>9215</v>
      </c>
      <c r="J47" s="1411"/>
      <c r="K47" s="2612"/>
      <c r="L47" s="1142"/>
      <c r="M47" s="1143"/>
      <c r="N47" s="1130"/>
      <c r="O47" s="1143"/>
      <c r="P47" s="3232" t="str">
        <f>A47</f>
        <v>成交单价（元/平方米）</v>
      </c>
      <c r="Q47" s="3232"/>
      <c r="R47" s="3264">
        <f>E47</f>
        <v>8051</v>
      </c>
      <c r="S47" s="3264"/>
      <c r="T47" s="3264">
        <f>G47</f>
        <v>9700</v>
      </c>
      <c r="U47" s="3264"/>
      <c r="V47" s="3264">
        <f>I47</f>
        <v>9215</v>
      </c>
      <c r="W47" s="3264"/>
      <c r="X47" s="757"/>
      <c r="Y47" s="779"/>
      <c r="Z47" s="757"/>
      <c r="AA47" s="757"/>
      <c r="AB47" s="757"/>
      <c r="AC47" s="757"/>
    </row>
    <row r="48" spans="1:29" ht="15.75" thickBot="1">
      <c r="A48" s="484" t="s">
        <v>2571</v>
      </c>
      <c r="B48" s="485"/>
      <c r="C48" s="1412">
        <f>R49</f>
        <v>9075</v>
      </c>
      <c r="D48" s="1413"/>
      <c r="E48" s="1414">
        <f>R48</f>
        <v>8298</v>
      </c>
      <c r="F48" s="1414"/>
      <c r="G48" s="1412">
        <f>T48</f>
        <v>9798</v>
      </c>
      <c r="H48" s="1413"/>
      <c r="I48" s="1414">
        <f>V48</f>
        <v>9129</v>
      </c>
      <c r="J48" s="1413"/>
      <c r="K48" s="2613"/>
      <c r="L48" s="1142"/>
      <c r="M48" s="1143"/>
      <c r="N48" s="1143"/>
      <c r="O48" s="1143"/>
      <c r="P48" s="3232" t="str">
        <f>A48</f>
        <v>比较价值（元/平方米）</v>
      </c>
      <c r="Q48" s="3232"/>
      <c r="R48" s="3264">
        <f>IF(F1="售价",ROUND(PRODUCT(R47,AA7:AA46),0),ROUND(PRODUCT(R47,AA7:AA46),1))</f>
        <v>8298</v>
      </c>
      <c r="S48" s="3264"/>
      <c r="T48" s="3264">
        <f>IF(F1="售价",ROUND(PRODUCT(T47,AB7:AB46),0),ROUND(PRODUCT(T47,AB7:AB46),1))</f>
        <v>9798</v>
      </c>
      <c r="U48" s="3264"/>
      <c r="V48" s="3264">
        <f>IF(F1="售价",ROUND(PRODUCT(V47,AC7:AC46),0),ROUND(PRODUCT(V47,AC7:AC46),1))</f>
        <v>9129</v>
      </c>
      <c r="W48" s="3264"/>
      <c r="X48" s="757"/>
      <c r="Y48" s="757"/>
      <c r="Z48" s="757"/>
      <c r="AA48" s="757"/>
      <c r="AB48" s="757"/>
      <c r="AC48" s="757"/>
    </row>
    <row r="49" spans="1:29" ht="15.75" thickBot="1">
      <c r="A49" s="490" t="s">
        <v>2572</v>
      </c>
      <c r="B49" s="491"/>
      <c r="C49" s="1415">
        <f>R49</f>
        <v>9075</v>
      </c>
      <c r="D49" s="1416"/>
      <c r="E49" s="1416"/>
      <c r="F49" s="1416"/>
      <c r="G49" s="1416"/>
      <c r="H49" s="1416"/>
      <c r="I49" s="1416"/>
      <c r="J49" s="1416"/>
      <c r="K49" s="2614"/>
      <c r="L49" s="1142"/>
      <c r="M49" s="1143"/>
      <c r="N49" s="1143"/>
      <c r="O49" s="1143"/>
      <c r="P49" s="3252" t="str">
        <f>A49</f>
        <v>估价对象XX用房的比较价值（楼面单价，元/平方米）</v>
      </c>
      <c r="Q49" s="3253"/>
      <c r="R49" s="3263">
        <f>IF(F1="售价",ROUND(AVERAGE(R48:V48),0),ROUND(AVERAGE(R48:V48),1))</f>
        <v>9075</v>
      </c>
      <c r="S49" s="3263"/>
      <c r="T49" s="3263"/>
      <c r="U49" s="3263"/>
      <c r="V49" s="3263"/>
      <c r="W49" s="3263"/>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3.067941870575086E-2</v>
      </c>
      <c r="F52" s="498" t="str">
        <f>IF(OR(E52&gt;=0.3,E52&lt;=-0.3),"超过30%","")</f>
        <v/>
      </c>
      <c r="G52" s="497">
        <f>IF(G47&lt;G48,G48/G47-1,G47/G48-1)</f>
        <v>1.0103092783505074E-2</v>
      </c>
      <c r="H52" s="498" t="str">
        <f>IF(OR(G52&gt;=0.3,G52&lt;=-0.3),"超过30%","")</f>
        <v/>
      </c>
      <c r="I52" s="497">
        <f>IF(I47&lt;I48,I48/I47-1,I47/I48-1)</f>
        <v>9.4205279877312975E-3</v>
      </c>
      <c r="J52" s="498" t="str">
        <f>IF(OR(I52&gt;=0.3,I52&lt;=-0.3),"超过30%","")</f>
        <v/>
      </c>
      <c r="K52" s="1104"/>
      <c r="L52" s="1105"/>
      <c r="M52" s="1143"/>
      <c r="N52" s="1143"/>
      <c r="O52" s="1143"/>
    </row>
    <row r="53" spans="1:29" ht="13.5" customHeight="1">
      <c r="A53" s="1143"/>
      <c r="B53" s="1143"/>
      <c r="C53" s="495" t="s">
        <v>2574</v>
      </c>
      <c r="D53" s="499"/>
      <c r="E53" s="497">
        <f>IF(E48&lt;G48,G48/E48-1,E48/G48-1)</f>
        <v>0.18076644974692702</v>
      </c>
      <c r="F53" s="498" t="str">
        <f>IF(OR(E53&gt;=0.2,E53&lt;=-0.2),"超过20%","")</f>
        <v/>
      </c>
      <c r="G53" s="497">
        <f>IF(G48&lt;I48,I48/G48-1,G48/I48-1)</f>
        <v>7.3282944462701227E-2</v>
      </c>
      <c r="H53" s="498" t="str">
        <f>IF(OR(G53&gt;=0.2,G53&lt;=-0.2),"超过20%","")</f>
        <v/>
      </c>
      <c r="I53" s="497">
        <f>IF(I48&lt;E48,E48/I48-1,I48/E48-1)</f>
        <v>0.10014461315979761</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0.20481927710843384</v>
      </c>
      <c r="F54" s="498" t="str">
        <f>IF(OR(E54&gt;=0.3,E54&lt;=-0.3),"超过30%","")</f>
        <v/>
      </c>
      <c r="G54" s="497">
        <f>IF(G47&lt;I47,I47/G47-1,G47/I47-1)</f>
        <v>5.2631578947368363E-2</v>
      </c>
      <c r="H54" s="498" t="str">
        <f>IF(OR(G54&gt;=0.3,G54&lt;=-0.3),"超过30%","")</f>
        <v/>
      </c>
      <c r="I54" s="497">
        <f>IF(I47&lt;E47,E47/I47-1,I47/E47-1)</f>
        <v>0.14457831325301207</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1" t="s">
        <v>2576</v>
      </c>
      <c r="B57" s="757"/>
      <c r="C57" s="762"/>
      <c r="D57" s="762"/>
      <c r="E57" s="762"/>
      <c r="F57" s="763"/>
      <c r="G57" s="763"/>
      <c r="H57" s="762"/>
      <c r="I57" s="762"/>
      <c r="J57" s="762"/>
      <c r="K57" s="1159"/>
      <c r="L57" s="1160"/>
      <c r="M57" s="1158"/>
      <c r="N57" s="1158"/>
      <c r="O57" s="1158"/>
      <c r="P57" s="2617"/>
      <c r="Q57" s="502"/>
    </row>
    <row r="58" spans="1:29" s="506" customFormat="1" ht="15">
      <c r="A58" s="503" t="s">
        <v>2577</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7"/>
      <c r="B59" s="2618"/>
      <c r="C59" s="1571">
        <v>100</v>
      </c>
      <c r="D59" s="509"/>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2579</v>
      </c>
      <c r="B61" s="508"/>
      <c r="C61" s="520" t="s">
        <v>2580</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t="str">
        <f>C9</f>
        <v>住宅</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ht="15">
      <c r="A68" s="532"/>
      <c r="B68" s="546"/>
      <c r="C68" s="547">
        <v>0</v>
      </c>
      <c r="D68" s="547">
        <v>1</v>
      </c>
      <c r="E68" s="547">
        <v>2</v>
      </c>
      <c r="F68" s="547">
        <v>3</v>
      </c>
      <c r="G68" s="547">
        <v>4</v>
      </c>
      <c r="H68" s="547">
        <v>5</v>
      </c>
      <c r="I68" s="547">
        <v>6</v>
      </c>
      <c r="J68" s="547"/>
      <c r="K68" s="548"/>
      <c r="L68" s="549"/>
      <c r="M68" s="550"/>
      <c r="N68" s="1151"/>
      <c r="O68" s="1151"/>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58"/>
      <c r="E73" s="558"/>
      <c r="F73" s="558"/>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7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75" thickTop="1">
      <c r="A86" s="577"/>
      <c r="B86" s="536" t="s">
        <v>2603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75" thickTop="1">
      <c r="A88" s="577"/>
      <c r="B88" s="536" t="s">
        <v>2604</v>
      </c>
      <c r="C88" s="552"/>
      <c r="D88" s="552"/>
      <c r="E88" s="552"/>
      <c r="F88" s="2626"/>
      <c r="G88" s="552"/>
      <c r="H88" s="552"/>
      <c r="I88" s="552"/>
      <c r="J88" s="552"/>
      <c r="K88" s="552"/>
      <c r="L88" s="552"/>
      <c r="M88" s="579"/>
      <c r="N88" s="1150"/>
      <c r="O88" s="1150"/>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75" thickTop="1">
      <c r="A90" s="551"/>
      <c r="B90" s="536" t="str">
        <f>B27</f>
        <v>道路级别</v>
      </c>
      <c r="C90" s="2985" t="s">
        <v>3281</v>
      </c>
      <c r="D90" s="2985" t="s">
        <v>3282</v>
      </c>
      <c r="E90" s="2985" t="s">
        <v>3283</v>
      </c>
      <c r="F90" s="2985" t="s">
        <v>3284</v>
      </c>
      <c r="G90" s="2985" t="s">
        <v>3285</v>
      </c>
      <c r="H90" s="553"/>
      <c r="I90" s="553"/>
      <c r="J90" s="553"/>
      <c r="K90" s="553"/>
      <c r="L90" s="554"/>
      <c r="M90" s="555"/>
      <c r="N90" s="1153"/>
      <c r="O90" s="1153"/>
      <c r="P90" s="2622"/>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5.75" thickTop="1">
      <c r="A92" s="532"/>
      <c r="B92" s="536">
        <f>B28</f>
        <v>111</v>
      </c>
      <c r="C92" s="552"/>
      <c r="D92" s="552"/>
      <c r="E92" s="552"/>
      <c r="F92" s="552"/>
      <c r="G92" s="581"/>
      <c r="H92" s="581"/>
      <c r="I92" s="581"/>
      <c r="J92" s="581"/>
      <c r="K92" s="582"/>
      <c r="L92" s="583"/>
      <c r="M92" s="584"/>
      <c r="N92" s="1151"/>
      <c r="O92" s="1151"/>
      <c r="P92" s="2621"/>
      <c r="Q92" s="502"/>
    </row>
    <row r="93" spans="1:17" ht="15.75" thickBot="1">
      <c r="A93" s="532"/>
      <c r="B93" s="541"/>
      <c r="C93" s="558"/>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58"/>
      <c r="E95" s="558"/>
      <c r="F95" s="558"/>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68"/>
      <c r="D97" s="568"/>
      <c r="E97" s="568"/>
      <c r="F97" s="568"/>
      <c r="G97" s="534"/>
      <c r="H97" s="534"/>
      <c r="I97" s="534"/>
      <c r="J97" s="534"/>
      <c r="K97" s="534"/>
      <c r="L97" s="534"/>
      <c r="M97" s="535"/>
      <c r="N97" s="1152"/>
      <c r="O97" s="1152"/>
      <c r="P97" s="2621"/>
      <c r="Q97" s="502"/>
    </row>
    <row r="98" spans="1:17" ht="15.75" thickTop="1">
      <c r="A98" s="532"/>
      <c r="B98" s="544">
        <f>B31</f>
        <v>111</v>
      </c>
      <c r="C98" s="585"/>
      <c r="D98" s="585"/>
      <c r="E98" s="585"/>
      <c r="F98" s="585"/>
      <c r="G98" s="585"/>
      <c r="H98" s="585"/>
      <c r="I98" s="585"/>
      <c r="J98" s="585"/>
      <c r="K98" s="586"/>
      <c r="L98" s="587"/>
      <c r="M98" s="588"/>
      <c r="N98" s="1151"/>
      <c r="O98" s="1151"/>
      <c r="P98" s="2621"/>
      <c r="Q98" s="502"/>
    </row>
    <row r="99" spans="1:17" ht="15.75" thickBot="1">
      <c r="A99" s="2627"/>
      <c r="B99" s="567"/>
      <c r="C99" s="589"/>
      <c r="D99" s="589"/>
      <c r="E99" s="589"/>
      <c r="F99" s="589"/>
      <c r="G99" s="589"/>
      <c r="H99" s="589"/>
      <c r="I99" s="589"/>
      <c r="J99" s="589"/>
      <c r="K99" s="589"/>
      <c r="L99" s="589"/>
      <c r="M99" s="590"/>
      <c r="N99" s="1152"/>
      <c r="O99" s="1152"/>
      <c r="P99" s="2621"/>
      <c r="Q99" s="502"/>
    </row>
    <row r="100" spans="1:17">
      <c r="A100" s="525" t="s">
        <v>2556</v>
      </c>
      <c r="B100" s="526" t="s">
        <v>2605</v>
      </c>
      <c r="C100" s="2984" t="s">
        <v>3278</v>
      </c>
      <c r="D100" s="2984" t="s">
        <v>3279</v>
      </c>
      <c r="E100" s="2984" t="s">
        <v>3280</v>
      </c>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7">C101-$K32</f>
        <v>97</v>
      </c>
      <c r="E101" s="542">
        <f t="shared" si="27"/>
        <v>94</v>
      </c>
      <c r="F101" s="542">
        <f t="shared" si="27"/>
        <v>91</v>
      </c>
      <c r="G101" s="542">
        <f t="shared" si="27"/>
        <v>88</v>
      </c>
      <c r="H101" s="542">
        <f t="shared" si="27"/>
        <v>85</v>
      </c>
      <c r="I101" s="542">
        <f t="shared" si="27"/>
        <v>82</v>
      </c>
      <c r="J101" s="542">
        <f t="shared" si="27"/>
        <v>79</v>
      </c>
      <c r="K101" s="542">
        <f t="shared" si="27"/>
        <v>76</v>
      </c>
      <c r="L101" s="542">
        <f t="shared" si="27"/>
        <v>73</v>
      </c>
      <c r="M101" s="542">
        <f t="shared" si="27"/>
        <v>70</v>
      </c>
      <c r="N101" s="1152"/>
      <c r="O101" s="1152"/>
      <c r="P101" s="2621"/>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3286</v>
      </c>
      <c r="D105" s="2985" t="s">
        <v>3287</v>
      </c>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3288</v>
      </c>
      <c r="D107" s="2986" t="s">
        <v>3289</v>
      </c>
      <c r="E107" s="581"/>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3290</v>
      </c>
      <c r="D109" s="2985" t="s">
        <v>3291</v>
      </c>
      <c r="E109" s="2985" t="s">
        <v>3292</v>
      </c>
      <c r="F109" s="2986" t="s">
        <v>3293</v>
      </c>
      <c r="G109" s="581"/>
      <c r="H109" s="581"/>
      <c r="I109" s="581"/>
      <c r="J109" s="581"/>
      <c r="K109" s="582"/>
      <c r="L109" s="583"/>
      <c r="M109" s="584"/>
      <c r="N109" s="1151"/>
      <c r="O109" s="1151"/>
      <c r="P109" s="2621"/>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3294</v>
      </c>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3253</v>
      </c>
      <c r="D116" s="552" t="s">
        <v>3254</v>
      </c>
      <c r="E116" s="552" t="s">
        <v>3255</v>
      </c>
      <c r="F116" s="552" t="s">
        <v>3256</v>
      </c>
      <c r="G116" s="552" t="s">
        <v>3257</v>
      </c>
      <c r="H116" s="581"/>
      <c r="I116" s="581"/>
      <c r="J116" s="581"/>
      <c r="K116" s="582"/>
      <c r="L116" s="583"/>
      <c r="M116" s="584"/>
      <c r="N116" s="1151"/>
      <c r="O116" s="1151"/>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8.5"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3290</v>
      </c>
      <c r="D122" s="2985" t="s">
        <v>3291</v>
      </c>
      <c r="E122" s="2985" t="s">
        <v>3292</v>
      </c>
      <c r="F122" s="2986" t="s">
        <v>3293</v>
      </c>
      <c r="G122" s="581"/>
      <c r="H122" s="581"/>
      <c r="I122" s="581"/>
      <c r="J122" s="581"/>
      <c r="K122" s="582"/>
      <c r="L122" s="583"/>
      <c r="M122" s="584"/>
      <c r="N122" s="1151"/>
      <c r="O122" s="1151"/>
      <c r="P122" s="2621"/>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111</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58"/>
      <c r="E129" s="558"/>
      <c r="F129" s="558"/>
      <c r="G129" s="534"/>
      <c r="H129" s="534"/>
      <c r="I129" s="534"/>
      <c r="J129" s="534"/>
      <c r="K129" s="534"/>
      <c r="L129" s="534"/>
      <c r="M129" s="535"/>
      <c r="N129" s="1152"/>
      <c r="O129" s="1152"/>
      <c r="P129" s="2621"/>
      <c r="Q129" s="502"/>
    </row>
    <row r="130" spans="1:17" ht="15" thickTop="1">
      <c r="A130" s="597"/>
      <c r="B130" s="544">
        <f>B46</f>
        <v>0.97</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5.75"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c r="B147" s="2628" t="s">
        <v>2633</v>
      </c>
    </row>
    <row r="148" spans="2:11">
      <c r="B148" s="2628"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35" sqref="M35"/>
    </sheetView>
  </sheetViews>
  <sheetFormatPr defaultColWidth="9" defaultRowHeight="14.25"/>
  <cols>
    <col min="1" max="1" width="10.5" style="401" customWidth="1"/>
    <col min="2" max="2" width="15.75" style="401" customWidth="1"/>
    <col min="3" max="3" width="19.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55450</v>
      </c>
      <c r="C2" s="2580" t="s">
        <v>70</v>
      </c>
      <c r="D2" s="1364" t="e">
        <f ca="1">SUMIF(INDIRECT("'"&amp;F2&amp;"'"&amp;"!A:A"),"承租人权益价值",INDIRECT("'"&amp;F2&amp;"'"&amp;"!c:c"))</f>
        <v>#REF!</v>
      </c>
      <c r="E2" s="2581" t="s">
        <v>2324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15634</v>
      </c>
      <c r="C3" s="398" t="s">
        <v>2527</v>
      </c>
      <c r="D3" s="397">
        <f>IF(D1="",'数据-汇总表'!E3,SUMIF('数据-汇总表'!$C19:$C33,D1,'数据-汇总表'!$E19:$E33))</f>
        <v>35467.870000000003</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399" t="s">
        <v>2528</v>
      </c>
      <c r="B4" s="400"/>
      <c r="C4" s="3233" t="s">
        <v>2529</v>
      </c>
      <c r="D4" s="3234"/>
      <c r="E4" s="3235" t="s">
        <v>2530</v>
      </c>
      <c r="F4" s="3236"/>
      <c r="G4" s="3233" t="s">
        <v>2531</v>
      </c>
      <c r="H4" s="3234"/>
      <c r="I4" s="3233" t="s">
        <v>2532</v>
      </c>
      <c r="J4" s="3234"/>
      <c r="K4" s="2590" t="s">
        <v>2533</v>
      </c>
      <c r="L4" s="1129"/>
      <c r="M4" s="1130"/>
      <c r="N4" s="1130"/>
      <c r="O4" s="1130"/>
      <c r="P4" s="3237" t="s">
        <v>2534</v>
      </c>
      <c r="Q4" s="3238"/>
      <c r="R4" s="3220" t="s">
        <v>2530</v>
      </c>
      <c r="S4" s="3221"/>
      <c r="T4" s="3220" t="s">
        <v>2531</v>
      </c>
      <c r="U4" s="3221"/>
      <c r="V4" s="3245" t="s">
        <v>2532</v>
      </c>
      <c r="W4" s="3245"/>
      <c r="X4" s="2938"/>
      <c r="Y4" s="3220" t="s">
        <v>2534</v>
      </c>
      <c r="Z4" s="3221"/>
      <c r="AA4" s="3215" t="s">
        <v>2530</v>
      </c>
      <c r="AB4" s="3215" t="s">
        <v>2531</v>
      </c>
      <c r="AC4" s="3215" t="s">
        <v>2532</v>
      </c>
    </row>
    <row r="5" spans="1:29" ht="15">
      <c r="A5" s="402"/>
      <c r="B5" s="403"/>
      <c r="C5" s="3226" t="s">
        <v>2535</v>
      </c>
      <c r="D5" s="3227"/>
      <c r="E5" s="3261" t="s">
        <v>3313</v>
      </c>
      <c r="F5" s="3225"/>
      <c r="G5" s="3262" t="s">
        <v>3317</v>
      </c>
      <c r="H5" s="3227"/>
      <c r="I5" s="3262" t="s">
        <v>3323</v>
      </c>
      <c r="J5" s="3227"/>
      <c r="K5" s="2591"/>
      <c r="L5" s="1129"/>
      <c r="M5" s="1130"/>
      <c r="N5" s="1130"/>
      <c r="O5" s="1130"/>
      <c r="P5" s="3239"/>
      <c r="Q5" s="3240"/>
      <c r="R5" s="3222"/>
      <c r="S5" s="3223"/>
      <c r="T5" s="3222"/>
      <c r="U5" s="3223"/>
      <c r="V5" s="3245"/>
      <c r="W5" s="3245"/>
      <c r="X5" s="2938"/>
      <c r="Y5" s="3222"/>
      <c r="Z5" s="3223"/>
      <c r="AA5" s="3216"/>
      <c r="AB5" s="3216"/>
      <c r="AC5" s="3216"/>
    </row>
    <row r="6" spans="1:29" ht="15.75" thickBot="1">
      <c r="A6" s="404"/>
      <c r="B6" s="405"/>
      <c r="C6" s="3228" t="s">
        <v>2539</v>
      </c>
      <c r="D6" s="3229"/>
      <c r="E6" s="3230" t="s">
        <v>2539</v>
      </c>
      <c r="F6" s="3231"/>
      <c r="G6" s="3228" t="s">
        <v>2539</v>
      </c>
      <c r="H6" s="3229"/>
      <c r="I6" s="3228" t="s">
        <v>2539</v>
      </c>
      <c r="J6" s="3229"/>
      <c r="K6" s="2591" t="s">
        <v>2540</v>
      </c>
      <c r="L6" s="1129"/>
      <c r="M6" s="1130"/>
      <c r="N6" s="1130"/>
      <c r="O6" s="1130"/>
      <c r="P6" s="3241"/>
      <c r="Q6" s="3242"/>
      <c r="R6" s="3222"/>
      <c r="S6" s="3223"/>
      <c r="T6" s="3243"/>
      <c r="U6" s="3244"/>
      <c r="V6" s="3245"/>
      <c r="W6" s="3245"/>
      <c r="X6" s="2938"/>
      <c r="Y6" s="3243"/>
      <c r="Z6" s="3244"/>
      <c r="AA6" s="3217"/>
      <c r="AB6" s="3217"/>
      <c r="AC6" s="3217"/>
    </row>
    <row r="7" spans="1:29" s="116" customFormat="1" ht="15.7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218" t="s">
        <v>2542</v>
      </c>
      <c r="Q7" s="3246"/>
      <c r="R7" s="768" t="s">
        <v>23</v>
      </c>
      <c r="S7" s="769">
        <f t="shared" ref="S7:S15" si="0">F7</f>
        <v>100</v>
      </c>
      <c r="T7" s="768" t="s">
        <v>23</v>
      </c>
      <c r="U7" s="769">
        <f t="shared" ref="U7:U15" si="1">H7</f>
        <v>100</v>
      </c>
      <c r="V7" s="768" t="s">
        <v>23</v>
      </c>
      <c r="W7" s="769">
        <f t="shared" ref="W7:W15" si="2">J7</f>
        <v>100</v>
      </c>
      <c r="X7" s="770"/>
      <c r="Y7" s="3218" t="s">
        <v>2542</v>
      </c>
      <c r="Z7" s="3219"/>
      <c r="AA7" s="771">
        <f>D7/F7</f>
        <v>1</v>
      </c>
      <c r="AB7" s="771">
        <f>D7/H7</f>
        <v>1</v>
      </c>
      <c r="AC7" s="771">
        <f>D7/J7</f>
        <v>1</v>
      </c>
    </row>
    <row r="8" spans="1:29" s="116"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218" t="s">
        <v>2545</v>
      </c>
      <c r="Q8" s="3219"/>
      <c r="R8" s="768" t="s">
        <v>23</v>
      </c>
      <c r="S8" s="769">
        <f t="shared" si="0"/>
        <v>100</v>
      </c>
      <c r="T8" s="768" t="s">
        <v>23</v>
      </c>
      <c r="U8" s="769">
        <f t="shared" si="1"/>
        <v>100</v>
      </c>
      <c r="V8" s="768" t="s">
        <v>23</v>
      </c>
      <c r="W8" s="769">
        <f t="shared" si="2"/>
        <v>100</v>
      </c>
      <c r="X8" s="770"/>
      <c r="Y8" s="3218" t="s">
        <v>2545</v>
      </c>
      <c r="Z8" s="3219"/>
      <c r="AA8" s="771">
        <f t="shared" ref="AA8:AA19" si="3">D8/F8</f>
        <v>1</v>
      </c>
      <c r="AB8" s="771">
        <f t="shared" ref="AB8:AB19" si="4">D8/H8</f>
        <v>1</v>
      </c>
      <c r="AC8" s="771">
        <f t="shared" ref="AC8:AC19" si="5">D8/J8</f>
        <v>1</v>
      </c>
    </row>
    <row r="9" spans="1:29" s="116" customFormat="1">
      <c r="A9" s="413" t="s">
        <v>2546</v>
      </c>
      <c r="B9" s="71" t="s">
        <v>2547</v>
      </c>
      <c r="C9" s="2987" t="s">
        <v>3302</v>
      </c>
      <c r="D9" s="133">
        <v>100</v>
      </c>
      <c r="E9" s="415" t="s">
        <v>3147</v>
      </c>
      <c r="F9" s="416">
        <f>SUMIF(63:63,E9,64:64)-SUMIF(63:63,C9,64:64)+100</f>
        <v>100</v>
      </c>
      <c r="G9" s="415" t="s">
        <v>3147</v>
      </c>
      <c r="H9" s="133">
        <f>SUMIF(63:63,G9,64:64)-SUMIF(63:63,C9,64:64)+100</f>
        <v>100</v>
      </c>
      <c r="I9" s="415" t="s">
        <v>3147</v>
      </c>
      <c r="J9" s="133">
        <f>SUMIF(63:63,I9,64:64)-SUMIF(63:63,C9,64:64)+100</f>
        <v>100</v>
      </c>
      <c r="K9" s="2592"/>
      <c r="L9" s="1131"/>
      <c r="M9" s="1132"/>
      <c r="N9" s="1132"/>
      <c r="O9" s="1132"/>
      <c r="P9" s="3256" t="s">
        <v>2548</v>
      </c>
      <c r="Q9" s="2933" t="str">
        <f t="shared" ref="Q9:Q15" si="6">B9</f>
        <v>用途</v>
      </c>
      <c r="R9" s="768" t="s">
        <v>17</v>
      </c>
      <c r="S9" s="769">
        <f t="shared" si="0"/>
        <v>100</v>
      </c>
      <c r="T9" s="768" t="s">
        <v>17</v>
      </c>
      <c r="U9" s="769">
        <f t="shared" si="1"/>
        <v>100</v>
      </c>
      <c r="V9" s="768" t="s">
        <v>17</v>
      </c>
      <c r="W9" s="769">
        <f t="shared" si="2"/>
        <v>100</v>
      </c>
      <c r="X9" s="770"/>
      <c r="Y9" s="3071" t="s">
        <v>2549</v>
      </c>
      <c r="Z9" s="2934" t="str">
        <f t="shared" ref="Z9:Z15" si="7">Q9</f>
        <v>用途</v>
      </c>
      <c r="AA9" s="771">
        <f t="shared" si="3"/>
        <v>1</v>
      </c>
      <c r="AB9" s="771">
        <f t="shared" si="4"/>
        <v>1</v>
      </c>
      <c r="AC9" s="771">
        <f t="shared" si="5"/>
        <v>1</v>
      </c>
    </row>
    <row r="10" spans="1:29" s="425" customFormat="1" ht="27">
      <c r="A10" s="419"/>
      <c r="B10" s="2935" t="s">
        <v>2550</v>
      </c>
      <c r="C10" s="421" t="s">
        <v>3301</v>
      </c>
      <c r="D10" s="134">
        <v>100</v>
      </c>
      <c r="E10" s="421" t="s">
        <v>3301</v>
      </c>
      <c r="F10" s="423">
        <f>SUMIF(65:65,E10,66:66)-SUMIF(65:65,C10,66:66)+100</f>
        <v>100</v>
      </c>
      <c r="G10" s="421" t="s">
        <v>3301</v>
      </c>
      <c r="H10" s="134">
        <f>SUMIF(65:65,G10,66:66)-SUMIF(65:65,C10,66:66)+100</f>
        <v>100</v>
      </c>
      <c r="I10" s="421" t="s">
        <v>3301</v>
      </c>
      <c r="J10" s="134">
        <f>SUMIF(65:65,I10,66:66)-SUMIF(65:65,C10,66:66)+100</f>
        <v>100</v>
      </c>
      <c r="K10" s="424">
        <v>1</v>
      </c>
      <c r="L10" s="1134"/>
      <c r="M10" s="1135"/>
      <c r="N10" s="1135"/>
      <c r="O10" s="1135"/>
      <c r="P10" s="3256"/>
      <c r="Q10" s="2933" t="str">
        <f t="shared" si="6"/>
        <v>土地使用年限（年）</v>
      </c>
      <c r="R10" s="768" t="s">
        <v>17</v>
      </c>
      <c r="S10" s="769">
        <f t="shared" si="0"/>
        <v>100</v>
      </c>
      <c r="T10" s="768" t="s">
        <v>17</v>
      </c>
      <c r="U10" s="769">
        <f t="shared" si="1"/>
        <v>100</v>
      </c>
      <c r="V10" s="768" t="s">
        <v>17</v>
      </c>
      <c r="W10" s="769">
        <f t="shared" si="2"/>
        <v>100</v>
      </c>
      <c r="X10" s="770"/>
      <c r="Y10" s="3071"/>
      <c r="Z10" s="2934" t="str">
        <f t="shared" si="7"/>
        <v>土地使用年限（年）</v>
      </c>
      <c r="AA10" s="771">
        <f t="shared" si="3"/>
        <v>1</v>
      </c>
      <c r="AB10" s="771">
        <f t="shared" si="4"/>
        <v>1</v>
      </c>
      <c r="AC10" s="771">
        <f t="shared" si="5"/>
        <v>1</v>
      </c>
    </row>
    <row r="11" spans="1:29" ht="15">
      <c r="A11" s="426"/>
      <c r="B11" s="2935" t="s">
        <v>2551</v>
      </c>
      <c r="C11" s="427">
        <f>'土地比较法-住宅、综合'!C11</f>
        <v>1.8</v>
      </c>
      <c r="D11" s="134">
        <v>100</v>
      </c>
      <c r="E11" s="428">
        <v>0.65</v>
      </c>
      <c r="F11" s="423">
        <f>LOOKUP(E11,68:68,69:69)-LOOKUP(C11,68:68,69:69)+100</f>
        <v>101</v>
      </c>
      <c r="G11" s="427">
        <v>1.69</v>
      </c>
      <c r="H11" s="134">
        <f>LOOKUP(G11,68:68,69:69)-LOOKUP(C11,68:68,69:69)+100</f>
        <v>100</v>
      </c>
      <c r="I11" s="427">
        <v>2.42</v>
      </c>
      <c r="J11" s="134">
        <f>LOOKUP(I11,68:68,69:69)-LOOKUP(C11,68:68,69:69)+100</f>
        <v>99</v>
      </c>
      <c r="K11" s="424">
        <f>'土地比较法-住宅、综合'!K11</f>
        <v>1</v>
      </c>
      <c r="L11" s="1137"/>
      <c r="M11" s="1130"/>
      <c r="N11" s="1130"/>
      <c r="O11" s="1130"/>
      <c r="P11" s="3256"/>
      <c r="Q11" s="2933" t="str">
        <f t="shared" si="6"/>
        <v>容积率</v>
      </c>
      <c r="R11" s="768" t="s">
        <v>21</v>
      </c>
      <c r="S11" s="769">
        <f t="shared" si="0"/>
        <v>101</v>
      </c>
      <c r="T11" s="768" t="s">
        <v>21</v>
      </c>
      <c r="U11" s="769">
        <f t="shared" si="1"/>
        <v>100</v>
      </c>
      <c r="V11" s="768" t="s">
        <v>21</v>
      </c>
      <c r="W11" s="769">
        <f t="shared" si="2"/>
        <v>99</v>
      </c>
      <c r="X11" s="770"/>
      <c r="Y11" s="3071"/>
      <c r="Z11" s="2934" t="str">
        <f t="shared" si="7"/>
        <v>容积率</v>
      </c>
      <c r="AA11" s="771">
        <f t="shared" si="3"/>
        <v>0.99009900990099009</v>
      </c>
      <c r="AB11" s="771">
        <f t="shared" si="4"/>
        <v>1</v>
      </c>
      <c r="AC11" s="771">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256"/>
      <c r="Q12" s="2933">
        <f t="shared" si="6"/>
        <v>111</v>
      </c>
      <c r="R12" s="768" t="s">
        <v>21</v>
      </c>
      <c r="S12" s="769">
        <f t="shared" si="0"/>
        <v>100</v>
      </c>
      <c r="T12" s="768" t="s">
        <v>21</v>
      </c>
      <c r="U12" s="769">
        <f t="shared" si="1"/>
        <v>100</v>
      </c>
      <c r="V12" s="768" t="s">
        <v>21</v>
      </c>
      <c r="W12" s="769">
        <f t="shared" si="2"/>
        <v>100</v>
      </c>
      <c r="X12" s="770"/>
      <c r="Y12" s="3071"/>
      <c r="Z12" s="293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256"/>
      <c r="Q13" s="2933">
        <f t="shared" si="6"/>
        <v>111</v>
      </c>
      <c r="R13" s="768" t="s">
        <v>21</v>
      </c>
      <c r="S13" s="769">
        <f t="shared" si="0"/>
        <v>100</v>
      </c>
      <c r="T13" s="768" t="s">
        <v>21</v>
      </c>
      <c r="U13" s="769">
        <f t="shared" si="1"/>
        <v>100</v>
      </c>
      <c r="V13" s="768" t="s">
        <v>21</v>
      </c>
      <c r="W13" s="769">
        <f t="shared" si="2"/>
        <v>100</v>
      </c>
      <c r="X13" s="770"/>
      <c r="Y13" s="3071"/>
      <c r="Z13" s="293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256"/>
      <c r="Q14" s="2933">
        <f t="shared" si="6"/>
        <v>111</v>
      </c>
      <c r="R14" s="768" t="s">
        <v>21</v>
      </c>
      <c r="S14" s="769">
        <f t="shared" si="0"/>
        <v>100</v>
      </c>
      <c r="T14" s="768" t="s">
        <v>21</v>
      </c>
      <c r="U14" s="769">
        <f t="shared" si="1"/>
        <v>100</v>
      </c>
      <c r="V14" s="768" t="s">
        <v>21</v>
      </c>
      <c r="W14" s="769">
        <f t="shared" si="2"/>
        <v>100</v>
      </c>
      <c r="X14" s="770"/>
      <c r="Y14" s="3071"/>
      <c r="Z14" s="2934">
        <f t="shared" si="7"/>
        <v>111</v>
      </c>
      <c r="AA14" s="771">
        <f t="shared" si="3"/>
        <v>1</v>
      </c>
      <c r="AB14" s="771">
        <f t="shared" si="4"/>
        <v>1</v>
      </c>
      <c r="AC14" s="771">
        <f t="shared" si="5"/>
        <v>1</v>
      </c>
    </row>
    <row r="15" spans="1:29" ht="99.75">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0" t="s">
        <v>3314</v>
      </c>
      <c r="F15" s="439">
        <f>SUMIF(76:76,E16,77:77)-SUMIF(76:76,C16,77:77)+100</f>
        <v>100</v>
      </c>
      <c r="G15" s="440" t="s">
        <v>3318</v>
      </c>
      <c r="H15" s="439">
        <f>SUMIF(76:76,G16,77:77)-SUMIF(76:76,C16,77:77)+100</f>
        <v>103</v>
      </c>
      <c r="I15" s="440" t="s">
        <v>3324</v>
      </c>
      <c r="J15" s="439">
        <f>SUMIF(76:76,I16,77:77)-SUMIF(76:76,C16,77:77)+100</f>
        <v>103</v>
      </c>
      <c r="K15" s="443">
        <f>'土地比较法-住宅、综合'!K15</f>
        <v>3</v>
      </c>
      <c r="L15" s="1139"/>
      <c r="M15" s="1130"/>
      <c r="N15" s="1130"/>
      <c r="O15" s="1130"/>
      <c r="P15" s="3269" t="s">
        <v>2553</v>
      </c>
      <c r="Q15" s="2936" t="str">
        <f t="shared" si="6"/>
        <v>居住社区成熟度</v>
      </c>
      <c r="R15" s="772" t="s">
        <v>21</v>
      </c>
      <c r="S15" s="773">
        <f t="shared" si="0"/>
        <v>100</v>
      </c>
      <c r="T15" s="772" t="s">
        <v>21</v>
      </c>
      <c r="U15" s="773">
        <f t="shared" si="1"/>
        <v>103</v>
      </c>
      <c r="V15" s="772" t="s">
        <v>21</v>
      </c>
      <c r="W15" s="773">
        <f t="shared" si="2"/>
        <v>103</v>
      </c>
      <c r="X15" s="2938"/>
      <c r="Y15" s="3247" t="s">
        <v>2553</v>
      </c>
      <c r="Z15" s="2939" t="str">
        <f t="shared" si="7"/>
        <v>居住社区成熟度</v>
      </c>
      <c r="AA15" s="2937">
        <f t="shared" si="3"/>
        <v>1</v>
      </c>
      <c r="AB15" s="2937">
        <f t="shared" si="4"/>
        <v>0.970873786407767</v>
      </c>
      <c r="AC15" s="2937">
        <f t="shared" si="5"/>
        <v>0.970873786407767</v>
      </c>
    </row>
    <row r="16" spans="1:29" ht="15">
      <c r="A16" s="426"/>
      <c r="B16" s="444"/>
      <c r="C16" s="445" t="s">
        <v>3251</v>
      </c>
      <c r="D16" s="446"/>
      <c r="E16" s="2597" t="s">
        <v>3251</v>
      </c>
      <c r="F16" s="446"/>
      <c r="G16" s="2598" t="s">
        <v>3258</v>
      </c>
      <c r="H16" s="448"/>
      <c r="I16" s="2598" t="s">
        <v>3258</v>
      </c>
      <c r="J16" s="446"/>
      <c r="K16" s="2599"/>
      <c r="L16" s="1139"/>
      <c r="M16" s="1130"/>
      <c r="N16" s="1130"/>
      <c r="O16" s="1130"/>
      <c r="P16" s="3270"/>
      <c r="Q16" s="2936"/>
      <c r="R16" s="772"/>
      <c r="S16" s="773"/>
      <c r="T16" s="772"/>
      <c r="U16" s="773"/>
      <c r="V16" s="772"/>
      <c r="W16" s="773"/>
      <c r="X16" s="2938"/>
      <c r="Y16" s="3248"/>
      <c r="Z16" s="2939"/>
      <c r="AA16" s="2937">
        <v>1</v>
      </c>
      <c r="AB16" s="2937">
        <v>1</v>
      </c>
      <c r="AC16" s="2937">
        <v>1</v>
      </c>
    </row>
    <row r="17" spans="1:29" ht="57">
      <c r="A17" s="426"/>
      <c r="B17" s="449" t="s">
        <v>2092</v>
      </c>
      <c r="C17" s="2600" t="str">
        <f>估价对象房地状况!C6</f>
        <v>估价对象周边有326、泾阳9、泾阳16等公交线路，综合评价交通便捷度较差</v>
      </c>
      <c r="D17" s="448">
        <v>100</v>
      </c>
      <c r="E17" s="452" t="s">
        <v>3315</v>
      </c>
      <c r="F17" s="448">
        <f>SUMIF(78:78,E18,79:79)-SUMIF(78:78,C18,79:79)+100</f>
        <v>100</v>
      </c>
      <c r="G17" s="450"/>
      <c r="H17" s="453">
        <f>SUMIF(78:78,G18,79:79)-SUMIF(78:78,C18,79:79)+100</f>
        <v>100</v>
      </c>
      <c r="I17" s="450" t="s">
        <v>3325</v>
      </c>
      <c r="J17" s="453">
        <f>SUMIF(78:78,I18,79:79)-SUMIF(78:78,C18,79:79)+100</f>
        <v>102</v>
      </c>
      <c r="K17" s="443">
        <f>'土地比较法-住宅、综合'!K21</f>
        <v>2</v>
      </c>
      <c r="L17" s="1139"/>
      <c r="M17" s="1130"/>
      <c r="N17" s="1130"/>
      <c r="O17" s="1130"/>
      <c r="P17" s="3270"/>
      <c r="Q17" s="2936" t="str">
        <f>B17</f>
        <v>交通便捷度</v>
      </c>
      <c r="R17" s="772" t="s">
        <v>21</v>
      </c>
      <c r="S17" s="773">
        <f>F17</f>
        <v>100</v>
      </c>
      <c r="T17" s="772" t="s">
        <v>21</v>
      </c>
      <c r="U17" s="773">
        <f>H17</f>
        <v>100</v>
      </c>
      <c r="V17" s="772" t="s">
        <v>21</v>
      </c>
      <c r="W17" s="773">
        <f>J17</f>
        <v>102</v>
      </c>
      <c r="X17" s="2938"/>
      <c r="Y17" s="3248"/>
      <c r="Z17" s="2939" t="str">
        <f>Q17</f>
        <v>交通便捷度</v>
      </c>
      <c r="AA17" s="2937">
        <f t="shared" si="3"/>
        <v>1</v>
      </c>
      <c r="AB17" s="2937">
        <f t="shared" si="4"/>
        <v>1</v>
      </c>
      <c r="AC17" s="2937">
        <f t="shared" si="5"/>
        <v>0.98039215686274506</v>
      </c>
    </row>
    <row r="18" spans="1:29" ht="15">
      <c r="A18" s="426"/>
      <c r="B18" s="454"/>
      <c r="C18" s="2601" t="s">
        <v>3265</v>
      </c>
      <c r="D18" s="448"/>
      <c r="E18" s="2602" t="s">
        <v>3265</v>
      </c>
      <c r="F18" s="448"/>
      <c r="G18" s="2602" t="s">
        <v>3265</v>
      </c>
      <c r="H18" s="446"/>
      <c r="I18" s="2603" t="s">
        <v>3251</v>
      </c>
      <c r="J18" s="446"/>
      <c r="K18" s="2599"/>
      <c r="L18" s="1139"/>
      <c r="M18" s="1130"/>
      <c r="N18" s="1130"/>
      <c r="O18" s="1130"/>
      <c r="P18" s="3270"/>
      <c r="Q18" s="2936"/>
      <c r="R18" s="772"/>
      <c r="S18" s="773"/>
      <c r="T18" s="772"/>
      <c r="U18" s="773"/>
      <c r="V18" s="772"/>
      <c r="W18" s="773"/>
      <c r="X18" s="2938"/>
      <c r="Y18" s="3248"/>
      <c r="Z18" s="2939"/>
      <c r="AA18" s="2937">
        <v>1</v>
      </c>
      <c r="AB18" s="2937">
        <v>1</v>
      </c>
      <c r="AC18" s="2937">
        <v>1</v>
      </c>
    </row>
    <row r="19" spans="1:29" ht="28.5">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102</v>
      </c>
      <c r="K19" s="443">
        <f>'土地比较法-住宅、综合'!K27</f>
        <v>2</v>
      </c>
      <c r="L19" s="1139"/>
      <c r="M19" s="1130"/>
      <c r="N19" s="1130"/>
      <c r="O19" s="1130"/>
      <c r="P19" s="3270"/>
      <c r="Q19" s="2936" t="str">
        <f>B19</f>
        <v>公共配套设施</v>
      </c>
      <c r="R19" s="772" t="s">
        <v>21</v>
      </c>
      <c r="S19" s="773">
        <f>F19</f>
        <v>100</v>
      </c>
      <c r="T19" s="772" t="s">
        <v>21</v>
      </c>
      <c r="U19" s="773">
        <f>H19</f>
        <v>100</v>
      </c>
      <c r="V19" s="772" t="s">
        <v>21</v>
      </c>
      <c r="W19" s="773">
        <f>J19</f>
        <v>102</v>
      </c>
      <c r="X19" s="2938"/>
      <c r="Y19" s="3248"/>
      <c r="Z19" s="2939" t="str">
        <f>Q19</f>
        <v>公共配套设施</v>
      </c>
      <c r="AA19" s="2937">
        <f t="shared" si="3"/>
        <v>1</v>
      </c>
      <c r="AB19" s="2937">
        <f t="shared" si="4"/>
        <v>1</v>
      </c>
      <c r="AC19" s="2937">
        <f t="shared" si="5"/>
        <v>0.98039215686274506</v>
      </c>
    </row>
    <row r="20" spans="1:29" ht="15">
      <c r="A20" s="426"/>
      <c r="B20" s="454"/>
      <c r="C20" s="445" t="s">
        <v>3265</v>
      </c>
      <c r="D20" s="446"/>
      <c r="E20" s="2597" t="s">
        <v>3265</v>
      </c>
      <c r="F20" s="446"/>
      <c r="G20" s="2597" t="s">
        <v>3265</v>
      </c>
      <c r="H20" s="446"/>
      <c r="I20" s="2598" t="s">
        <v>3251</v>
      </c>
      <c r="J20" s="446"/>
      <c r="K20" s="2599"/>
      <c r="L20" s="1139"/>
      <c r="M20" s="1130"/>
      <c r="N20" s="1130"/>
      <c r="O20" s="1130"/>
      <c r="P20" s="3270"/>
      <c r="Q20" s="2936"/>
      <c r="R20" s="772"/>
      <c r="S20" s="773"/>
      <c r="T20" s="772"/>
      <c r="U20" s="773"/>
      <c r="V20" s="772"/>
      <c r="W20" s="773"/>
      <c r="X20" s="2938"/>
      <c r="Y20" s="3248"/>
      <c r="Z20" s="2939"/>
      <c r="AA20" s="2937">
        <v>1</v>
      </c>
      <c r="AB20" s="2937">
        <v>1</v>
      </c>
      <c r="AC20" s="2937">
        <v>1</v>
      </c>
    </row>
    <row r="21" spans="1:29" ht="28.5">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270"/>
      <c r="Q21" s="2936" t="str">
        <f>B21</f>
        <v>基础设施水平</v>
      </c>
      <c r="R21" s="772" t="s">
        <v>17</v>
      </c>
      <c r="S21" s="773">
        <f>F21</f>
        <v>100</v>
      </c>
      <c r="T21" s="772" t="s">
        <v>17</v>
      </c>
      <c r="U21" s="773">
        <f>H21</f>
        <v>100</v>
      </c>
      <c r="V21" s="772" t="s">
        <v>17</v>
      </c>
      <c r="W21" s="773">
        <f>J21</f>
        <v>100</v>
      </c>
      <c r="X21" s="2938"/>
      <c r="Y21" s="3248"/>
      <c r="Z21" s="2939" t="str">
        <f>Q21</f>
        <v>基础设施水平</v>
      </c>
      <c r="AA21" s="2937">
        <f t="shared" ref="AA21" si="8">D21/F21</f>
        <v>1</v>
      </c>
      <c r="AB21" s="2937">
        <f t="shared" ref="AB21" si="9">D21/H21</f>
        <v>1</v>
      </c>
      <c r="AC21" s="2937">
        <f t="shared" ref="AC21" si="10">D21/J21</f>
        <v>1</v>
      </c>
    </row>
    <row r="22" spans="1:29" ht="15">
      <c r="A22" s="426"/>
      <c r="B22" s="1383"/>
      <c r="C22" s="2601" t="s">
        <v>3253</v>
      </c>
      <c r="D22" s="446"/>
      <c r="E22" s="445" t="s">
        <v>3253</v>
      </c>
      <c r="F22" s="446"/>
      <c r="G22" s="445" t="s">
        <v>3253</v>
      </c>
      <c r="H22" s="446"/>
      <c r="I22" s="445" t="s">
        <v>3253</v>
      </c>
      <c r="J22" s="446"/>
      <c r="K22" s="2605"/>
      <c r="L22" s="1139"/>
      <c r="M22" s="1130"/>
      <c r="N22" s="1130"/>
      <c r="O22" s="1130"/>
      <c r="P22" s="3270"/>
      <c r="Q22" s="2936"/>
      <c r="R22" s="772"/>
      <c r="S22" s="773"/>
      <c r="T22" s="772"/>
      <c r="U22" s="773"/>
      <c r="V22" s="772"/>
      <c r="W22" s="773"/>
      <c r="X22" s="2938"/>
      <c r="Y22" s="3248"/>
      <c r="Z22" s="2939"/>
      <c r="AA22" s="2937">
        <v>1</v>
      </c>
      <c r="AB22" s="2937">
        <v>1</v>
      </c>
      <c r="AC22" s="2937">
        <v>1</v>
      </c>
    </row>
    <row r="23" spans="1:29" ht="28.5">
      <c r="A23" s="426"/>
      <c r="B23" s="449" t="s">
        <v>2097</v>
      </c>
      <c r="C23" s="2600" t="str">
        <f>估价对象房地状况!C9</f>
        <v>周边1公里有泾河，综合评价环境状况一般</v>
      </c>
      <c r="D23" s="448">
        <v>100</v>
      </c>
      <c r="E23" s="452" t="s">
        <v>3270</v>
      </c>
      <c r="F23" s="448">
        <f>SUMIF(84:84,E24,85:85)-SUMIF(84:84,C24,85:85)+100</f>
        <v>100</v>
      </c>
      <c r="G23" s="2988" t="s">
        <v>3305</v>
      </c>
      <c r="H23" s="448">
        <f>SUMIF(84:84,G24,85:85)-SUMIF(84:84,C24,85:85)+100</f>
        <v>100</v>
      </c>
      <c r="I23" s="2989" t="s">
        <v>3326</v>
      </c>
      <c r="J23" s="448">
        <f>SUMIF(84:84,I24,85:85)-SUMIF(84:84,C24,85:85)+100</f>
        <v>102</v>
      </c>
      <c r="K23" s="443">
        <f>'土地比较法-住宅、综合'!K25</f>
        <v>2</v>
      </c>
      <c r="L23" s="1139"/>
      <c r="M23" s="1130"/>
      <c r="N23" s="1130"/>
      <c r="O23" s="1130"/>
      <c r="P23" s="3270"/>
      <c r="Q23" s="2936" t="str">
        <f>B23</f>
        <v>自然及人文环境</v>
      </c>
      <c r="R23" s="772" t="s">
        <v>21</v>
      </c>
      <c r="S23" s="773">
        <f>F23</f>
        <v>100</v>
      </c>
      <c r="T23" s="772" t="s">
        <v>21</v>
      </c>
      <c r="U23" s="773">
        <f>H23</f>
        <v>100</v>
      </c>
      <c r="V23" s="772" t="s">
        <v>21</v>
      </c>
      <c r="W23" s="773">
        <f>J23</f>
        <v>102</v>
      </c>
      <c r="X23" s="2938"/>
      <c r="Y23" s="3248"/>
      <c r="Z23" s="2939" t="str">
        <f>Q23</f>
        <v>自然及人文环境</v>
      </c>
      <c r="AA23" s="2937">
        <f>D23/F23</f>
        <v>1</v>
      </c>
      <c r="AB23" s="2937">
        <f>D23/H23</f>
        <v>1</v>
      </c>
      <c r="AC23" s="2937">
        <f>D23/J23</f>
        <v>0.98039215686274506</v>
      </c>
    </row>
    <row r="24" spans="1:29" ht="15">
      <c r="A24" s="426"/>
      <c r="B24" s="454"/>
      <c r="C24" s="445" t="s">
        <v>3251</v>
      </c>
      <c r="D24" s="446"/>
      <c r="E24" s="2597" t="s">
        <v>3251</v>
      </c>
      <c r="F24" s="446"/>
      <c r="G24" s="2597" t="s">
        <v>3251</v>
      </c>
      <c r="H24" s="446"/>
      <c r="I24" s="2598" t="s">
        <v>3258</v>
      </c>
      <c r="J24" s="446"/>
      <c r="K24" s="2599"/>
      <c r="L24" s="1139"/>
      <c r="M24" s="1130"/>
      <c r="N24" s="1130"/>
      <c r="O24" s="1130"/>
      <c r="P24" s="3270"/>
      <c r="Q24" s="2936"/>
      <c r="R24" s="772"/>
      <c r="S24" s="773"/>
      <c r="T24" s="772"/>
      <c r="U24" s="773"/>
      <c r="V24" s="772"/>
      <c r="W24" s="773"/>
      <c r="X24" s="2938"/>
      <c r="Y24" s="3248"/>
      <c r="Z24" s="2939"/>
      <c r="AA24" s="2937">
        <v>1</v>
      </c>
      <c r="AB24" s="2937">
        <v>1</v>
      </c>
      <c r="AC24" s="2937">
        <v>1</v>
      </c>
    </row>
    <row r="25" spans="1:29" ht="15">
      <c r="A25" s="426"/>
      <c r="B25" s="2935"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270"/>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248"/>
      <c r="Z25" s="2939" t="str">
        <f>Q25</f>
        <v>楼层-1</v>
      </c>
      <c r="AA25" s="2937">
        <f t="shared" ref="AA25:AA46" si="15">D25/F25</f>
        <v>1</v>
      </c>
      <c r="AB25" s="2937">
        <f t="shared" ref="AB25:AB46" si="16">D25/H25</f>
        <v>1</v>
      </c>
      <c r="AC25" s="2937">
        <f t="shared" ref="AC25:AC46" si="17">D25/J25</f>
        <v>1</v>
      </c>
    </row>
    <row r="26" spans="1:29" ht="15">
      <c r="A26" s="426"/>
      <c r="B26" s="2935"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270"/>
      <c r="Q26" s="2936" t="str">
        <f t="shared" si="11"/>
        <v>朝向</v>
      </c>
      <c r="R26" s="772" t="s">
        <v>21</v>
      </c>
      <c r="S26" s="773">
        <f t="shared" si="12"/>
        <v>100</v>
      </c>
      <c r="T26" s="772" t="s">
        <v>21</v>
      </c>
      <c r="U26" s="773">
        <f t="shared" si="13"/>
        <v>100</v>
      </c>
      <c r="V26" s="772" t="s">
        <v>21</v>
      </c>
      <c r="W26" s="773">
        <f t="shared" si="14"/>
        <v>100</v>
      </c>
      <c r="X26" s="2938"/>
      <c r="Y26" s="3248"/>
      <c r="Z26" s="2939" t="str">
        <f>Q26</f>
        <v>朝向</v>
      </c>
      <c r="AA26" s="2937">
        <f t="shared" si="15"/>
        <v>1</v>
      </c>
      <c r="AB26" s="2937">
        <f t="shared" si="16"/>
        <v>1</v>
      </c>
      <c r="AC26" s="2937">
        <f t="shared" si="17"/>
        <v>1</v>
      </c>
    </row>
    <row r="27" spans="1:29" s="116" customFormat="1" ht="15">
      <c r="A27" s="429"/>
      <c r="B27" s="511" t="s">
        <v>3295</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270"/>
      <c r="Q27" s="2933" t="str">
        <f t="shared" si="11"/>
        <v>道路级别</v>
      </c>
      <c r="R27" s="768" t="s">
        <v>21</v>
      </c>
      <c r="S27" s="769">
        <f t="shared" si="12"/>
        <v>100</v>
      </c>
      <c r="T27" s="768" t="s">
        <v>21</v>
      </c>
      <c r="U27" s="769">
        <f t="shared" si="13"/>
        <v>100</v>
      </c>
      <c r="V27" s="768" t="s">
        <v>21</v>
      </c>
      <c r="W27" s="769">
        <f t="shared" si="14"/>
        <v>100</v>
      </c>
      <c r="X27" s="770"/>
      <c r="Y27" s="3248"/>
      <c r="Z27" s="2934" t="str">
        <f>Q27</f>
        <v>道路级别</v>
      </c>
      <c r="AA27" s="2937">
        <f t="shared" si="15"/>
        <v>1</v>
      </c>
      <c r="AB27" s="2937">
        <f t="shared" si="16"/>
        <v>1</v>
      </c>
      <c r="AC27" s="2937">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270"/>
      <c r="Q28" s="2936">
        <f t="shared" si="11"/>
        <v>111</v>
      </c>
      <c r="R28" s="772" t="s">
        <v>21</v>
      </c>
      <c r="S28" s="773">
        <f t="shared" si="12"/>
        <v>100</v>
      </c>
      <c r="T28" s="772" t="s">
        <v>21</v>
      </c>
      <c r="U28" s="773">
        <f t="shared" si="13"/>
        <v>100</v>
      </c>
      <c r="V28" s="772" t="s">
        <v>21</v>
      </c>
      <c r="W28" s="773">
        <f t="shared" si="14"/>
        <v>100</v>
      </c>
      <c r="X28" s="2938"/>
      <c r="Y28" s="3248"/>
      <c r="Z28" s="2939">
        <f t="shared" ref="Z28:Z46" si="18">Q28</f>
        <v>111</v>
      </c>
      <c r="AA28" s="2937">
        <f t="shared" si="15"/>
        <v>1</v>
      </c>
      <c r="AB28" s="2937">
        <f t="shared" si="16"/>
        <v>1</v>
      </c>
      <c r="AC28" s="2937">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270"/>
      <c r="Q29" s="2936">
        <f t="shared" si="11"/>
        <v>111</v>
      </c>
      <c r="R29" s="772" t="s">
        <v>21</v>
      </c>
      <c r="S29" s="773">
        <f t="shared" si="12"/>
        <v>100</v>
      </c>
      <c r="T29" s="772" t="s">
        <v>21</v>
      </c>
      <c r="U29" s="773">
        <f t="shared" si="13"/>
        <v>100</v>
      </c>
      <c r="V29" s="772" t="s">
        <v>21</v>
      </c>
      <c r="W29" s="773">
        <f t="shared" si="14"/>
        <v>100</v>
      </c>
      <c r="X29" s="2938"/>
      <c r="Y29" s="3248"/>
      <c r="Z29" s="2939">
        <f t="shared" si="18"/>
        <v>111</v>
      </c>
      <c r="AA29" s="2937">
        <f t="shared" si="15"/>
        <v>1</v>
      </c>
      <c r="AB29" s="2937">
        <f t="shared" si="16"/>
        <v>1</v>
      </c>
      <c r="AC29" s="2937">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270"/>
      <c r="Q30" s="2936">
        <f t="shared" si="11"/>
        <v>111</v>
      </c>
      <c r="R30" s="772" t="s">
        <v>21</v>
      </c>
      <c r="S30" s="773">
        <f t="shared" si="12"/>
        <v>100</v>
      </c>
      <c r="T30" s="772" t="s">
        <v>21</v>
      </c>
      <c r="U30" s="773">
        <f t="shared" si="13"/>
        <v>100</v>
      </c>
      <c r="V30" s="772" t="s">
        <v>21</v>
      </c>
      <c r="W30" s="773">
        <f t="shared" si="14"/>
        <v>100</v>
      </c>
      <c r="X30" s="2938"/>
      <c r="Y30" s="3248"/>
      <c r="Z30" s="2939">
        <f t="shared" si="18"/>
        <v>111</v>
      </c>
      <c r="AA30" s="2937">
        <f t="shared" si="15"/>
        <v>1</v>
      </c>
      <c r="AB30" s="2937">
        <f t="shared" si="16"/>
        <v>1</v>
      </c>
      <c r="AC30" s="2937">
        <f t="shared" si="17"/>
        <v>1</v>
      </c>
    </row>
    <row r="31" spans="1:29" ht="15.75"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270"/>
      <c r="Q31" s="2936">
        <f t="shared" si="11"/>
        <v>111</v>
      </c>
      <c r="R31" s="772" t="s">
        <v>21</v>
      </c>
      <c r="S31" s="773">
        <f t="shared" si="12"/>
        <v>100</v>
      </c>
      <c r="T31" s="772" t="s">
        <v>21</v>
      </c>
      <c r="U31" s="773">
        <f t="shared" si="13"/>
        <v>100</v>
      </c>
      <c r="V31" s="772" t="s">
        <v>21</v>
      </c>
      <c r="W31" s="773">
        <f t="shared" si="14"/>
        <v>100</v>
      </c>
      <c r="X31" s="2938"/>
      <c r="Y31" s="3248"/>
      <c r="Z31" s="2939">
        <f t="shared" si="18"/>
        <v>111</v>
      </c>
      <c r="AA31" s="2937">
        <f t="shared" si="15"/>
        <v>1</v>
      </c>
      <c r="AB31" s="2937">
        <f t="shared" si="16"/>
        <v>1</v>
      </c>
      <c r="AC31" s="2937">
        <f t="shared" si="17"/>
        <v>1</v>
      </c>
    </row>
    <row r="32" spans="1:29" ht="15">
      <c r="A32" s="438" t="s">
        <v>2556</v>
      </c>
      <c r="B32" s="71" t="s">
        <v>2557</v>
      </c>
      <c r="C32" s="2610" t="s">
        <v>3310</v>
      </c>
      <c r="D32" s="465">
        <v>100</v>
      </c>
      <c r="E32" s="2610" t="s">
        <v>3321</v>
      </c>
      <c r="F32" s="459">
        <f>SUMIF(100:100,E32,101:101)-SUMIF(100:100,C32,101:101)+100</f>
        <v>105</v>
      </c>
      <c r="G32" s="2610" t="s">
        <v>3319</v>
      </c>
      <c r="H32" s="465">
        <f>SUMIF(100:100,G32,101:101)-SUMIF(100:100,C32,101:101)+100</f>
        <v>95</v>
      </c>
      <c r="I32" s="2610" t="s">
        <v>3319</v>
      </c>
      <c r="J32" s="433">
        <f>SUMIF(100:100,I32,101:101)-SUMIF(100:100,C32,101:101)+100</f>
        <v>95</v>
      </c>
      <c r="K32" s="424">
        <v>5</v>
      </c>
      <c r="L32" s="1139"/>
      <c r="M32" s="1130"/>
      <c r="N32" s="1130"/>
      <c r="O32" s="1130"/>
      <c r="P32" s="3265" t="s">
        <v>2558</v>
      </c>
      <c r="Q32" s="2936" t="str">
        <f t="shared" si="11"/>
        <v>建筑类型</v>
      </c>
      <c r="R32" s="772" t="s">
        <v>21</v>
      </c>
      <c r="S32" s="773">
        <f t="shared" si="12"/>
        <v>105</v>
      </c>
      <c r="T32" s="772" t="s">
        <v>21</v>
      </c>
      <c r="U32" s="773">
        <f t="shared" si="13"/>
        <v>95</v>
      </c>
      <c r="V32" s="772" t="s">
        <v>21</v>
      </c>
      <c r="W32" s="773">
        <f t="shared" si="14"/>
        <v>95</v>
      </c>
      <c r="X32" s="2938"/>
      <c r="Y32" s="3250" t="s">
        <v>2558</v>
      </c>
      <c r="Z32" s="2939" t="str">
        <f t="shared" si="18"/>
        <v>建筑类型</v>
      </c>
      <c r="AA32" s="2937">
        <f t="shared" si="15"/>
        <v>0.95238095238095233</v>
      </c>
      <c r="AB32" s="2937">
        <f t="shared" si="16"/>
        <v>1.0526315789473684</v>
      </c>
      <c r="AC32" s="2937">
        <f t="shared" si="17"/>
        <v>1.0526315789473684</v>
      </c>
    </row>
    <row r="33" spans="1:29" s="469" customFormat="1" ht="15">
      <c r="A33" s="466"/>
      <c r="B33" s="2935"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266"/>
      <c r="Q33" s="774" t="str">
        <f t="shared" si="11"/>
        <v>项目建筑规模</v>
      </c>
      <c r="R33" s="775" t="s">
        <v>21</v>
      </c>
      <c r="S33" s="776">
        <f t="shared" si="12"/>
        <v>100</v>
      </c>
      <c r="T33" s="775" t="s">
        <v>21</v>
      </c>
      <c r="U33" s="776">
        <f t="shared" si="13"/>
        <v>100</v>
      </c>
      <c r="V33" s="775" t="s">
        <v>21</v>
      </c>
      <c r="W33" s="776">
        <f t="shared" si="14"/>
        <v>100</v>
      </c>
      <c r="X33" s="777"/>
      <c r="Y33" s="3250"/>
      <c r="Z33" s="778" t="str">
        <f t="shared" si="18"/>
        <v>项目建筑规模</v>
      </c>
      <c r="AA33" s="2937">
        <f t="shared" si="15"/>
        <v>1</v>
      </c>
      <c r="AB33" s="2937">
        <f t="shared" si="16"/>
        <v>1</v>
      </c>
      <c r="AC33" s="2937">
        <f t="shared" si="17"/>
        <v>1</v>
      </c>
    </row>
    <row r="34" spans="1:29" ht="15">
      <c r="A34" s="470"/>
      <c r="B34" s="2935" t="s">
        <v>2560</v>
      </c>
      <c r="C34" s="2611" t="s">
        <v>3297</v>
      </c>
      <c r="D34" s="433">
        <v>100</v>
      </c>
      <c r="E34" s="2611" t="s">
        <v>3297</v>
      </c>
      <c r="F34" s="459">
        <f>SUMIF(105:105,E34,106:106)-SUMIF(105:105,C34,106:106)+100</f>
        <v>100</v>
      </c>
      <c r="G34" s="2611" t="s">
        <v>3297</v>
      </c>
      <c r="H34" s="433">
        <f>SUMIF(105:105,G34,106:106)-SUMIF(105:105,C34,106:106)+100</f>
        <v>100</v>
      </c>
      <c r="I34" s="2611" t="s">
        <v>3297</v>
      </c>
      <c r="J34" s="433">
        <f>SUMIF(105:105,I34,106:106)-SUMIF(105:105,C34,106:106)+100</f>
        <v>100</v>
      </c>
      <c r="K34" s="424">
        <v>2</v>
      </c>
      <c r="L34" s="1139"/>
      <c r="M34" s="1130"/>
      <c r="N34" s="1130"/>
      <c r="O34" s="1130"/>
      <c r="P34" s="3266"/>
      <c r="Q34" s="2936" t="str">
        <f t="shared" si="11"/>
        <v>建筑结构</v>
      </c>
      <c r="R34" s="772" t="s">
        <v>21</v>
      </c>
      <c r="S34" s="773">
        <f t="shared" si="12"/>
        <v>100</v>
      </c>
      <c r="T34" s="772" t="s">
        <v>21</v>
      </c>
      <c r="U34" s="773">
        <f t="shared" si="13"/>
        <v>100</v>
      </c>
      <c r="V34" s="772" t="s">
        <v>21</v>
      </c>
      <c r="W34" s="773">
        <f t="shared" si="14"/>
        <v>100</v>
      </c>
      <c r="X34" s="2938"/>
      <c r="Y34" s="3250"/>
      <c r="Z34" s="2939" t="str">
        <f t="shared" si="18"/>
        <v>建筑结构</v>
      </c>
      <c r="AA34" s="2937">
        <f t="shared" si="15"/>
        <v>1</v>
      </c>
      <c r="AB34" s="2937">
        <f t="shared" si="16"/>
        <v>1</v>
      </c>
      <c r="AC34" s="2937">
        <f t="shared" si="17"/>
        <v>1</v>
      </c>
    </row>
    <row r="35" spans="1:29" ht="15">
      <c r="A35" s="470"/>
      <c r="B35" s="2935" t="s">
        <v>2561</v>
      </c>
      <c r="C35" s="2606" t="s">
        <v>3316</v>
      </c>
      <c r="D35" s="433">
        <v>100</v>
      </c>
      <c r="E35" s="2606" t="s">
        <v>3316</v>
      </c>
      <c r="F35" s="459">
        <f>SUMIF(107:107,E35,108:108)-SUMIF(107:107,C35,108:108)+100</f>
        <v>100</v>
      </c>
      <c r="G35" s="2606" t="s">
        <v>3316</v>
      </c>
      <c r="H35" s="433">
        <f>SUMIF(107:107,G35,108:108)-SUMIF(107:107,C35,108:108)+100</f>
        <v>100</v>
      </c>
      <c r="I35" s="2606" t="s">
        <v>3316</v>
      </c>
      <c r="J35" s="433">
        <f>SUMIF(107:107,I35,108:108)-SUMIF(107:107,C35,108:108)+100</f>
        <v>100</v>
      </c>
      <c r="K35" s="424">
        <v>2</v>
      </c>
      <c r="L35" s="1139"/>
      <c r="M35" s="1130"/>
      <c r="N35" s="1130"/>
      <c r="O35" s="1130"/>
      <c r="P35" s="3266"/>
      <c r="Q35" s="2936" t="str">
        <f t="shared" si="11"/>
        <v>建筑品质</v>
      </c>
      <c r="R35" s="772" t="s">
        <v>21</v>
      </c>
      <c r="S35" s="773">
        <f t="shared" si="12"/>
        <v>100</v>
      </c>
      <c r="T35" s="772" t="s">
        <v>21</v>
      </c>
      <c r="U35" s="773">
        <f t="shared" si="13"/>
        <v>100</v>
      </c>
      <c r="V35" s="772" t="s">
        <v>21</v>
      </c>
      <c r="W35" s="773">
        <f t="shared" si="14"/>
        <v>100</v>
      </c>
      <c r="X35" s="2938"/>
      <c r="Y35" s="3250"/>
      <c r="Z35" s="2939" t="str">
        <f t="shared" si="18"/>
        <v>建筑品质</v>
      </c>
      <c r="AA35" s="2937">
        <f t="shared" si="15"/>
        <v>1</v>
      </c>
      <c r="AB35" s="2937">
        <f t="shared" si="16"/>
        <v>1</v>
      </c>
      <c r="AC35" s="2937">
        <f t="shared" si="17"/>
        <v>1</v>
      </c>
    </row>
    <row r="36" spans="1:29" ht="15">
      <c r="A36" s="470"/>
      <c r="B36" s="2935" t="s">
        <v>2562</v>
      </c>
      <c r="C36" s="2606" t="s">
        <v>3299</v>
      </c>
      <c r="D36" s="433">
        <v>100</v>
      </c>
      <c r="E36" s="2606" t="s">
        <v>3299</v>
      </c>
      <c r="F36" s="459">
        <f>SUMIF(109:109,E36,110:110)-SUMIF(109:109,C36,110:110)+100</f>
        <v>100</v>
      </c>
      <c r="G36" s="2606" t="s">
        <v>3299</v>
      </c>
      <c r="H36" s="433">
        <f>SUMIF(109:109,G36,110:110)-SUMIF(109:109,C36,110:110)+100</f>
        <v>100</v>
      </c>
      <c r="I36" s="2606" t="s">
        <v>3299</v>
      </c>
      <c r="J36" s="433">
        <f>SUMIF(109:109,I36,110:110)-SUMIF(109:109,C36,110:110)+100</f>
        <v>100</v>
      </c>
      <c r="K36" s="424">
        <v>2</v>
      </c>
      <c r="L36" s="1139"/>
      <c r="M36" s="1130"/>
      <c r="N36" s="1130"/>
      <c r="O36" s="1130"/>
      <c r="P36" s="3266"/>
      <c r="Q36" s="2936" t="str">
        <f t="shared" si="11"/>
        <v>公共部分装修</v>
      </c>
      <c r="R36" s="772" t="s">
        <v>21</v>
      </c>
      <c r="S36" s="773">
        <f t="shared" si="12"/>
        <v>100</v>
      </c>
      <c r="T36" s="772" t="s">
        <v>21</v>
      </c>
      <c r="U36" s="773">
        <f t="shared" si="13"/>
        <v>100</v>
      </c>
      <c r="V36" s="772" t="s">
        <v>21</v>
      </c>
      <c r="W36" s="773">
        <f t="shared" si="14"/>
        <v>100</v>
      </c>
      <c r="X36" s="2938"/>
      <c r="Y36" s="3250"/>
      <c r="Z36" s="2939" t="str">
        <f t="shared" si="18"/>
        <v>公共部分装修</v>
      </c>
      <c r="AA36" s="2937">
        <f t="shared" si="15"/>
        <v>1</v>
      </c>
      <c r="AB36" s="2937">
        <f t="shared" si="16"/>
        <v>1</v>
      </c>
      <c r="AC36" s="2937">
        <f t="shared" si="17"/>
        <v>1</v>
      </c>
    </row>
    <row r="37" spans="1:29" s="116" customFormat="1" ht="15">
      <c r="A37" s="471"/>
      <c r="B37" s="2935"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266"/>
      <c r="Q37" s="2933" t="str">
        <f t="shared" si="11"/>
        <v>成新度</v>
      </c>
      <c r="R37" s="768" t="s">
        <v>21</v>
      </c>
      <c r="S37" s="769">
        <f t="shared" si="12"/>
        <v>100</v>
      </c>
      <c r="T37" s="768" t="s">
        <v>21</v>
      </c>
      <c r="U37" s="769">
        <f t="shared" si="13"/>
        <v>100</v>
      </c>
      <c r="V37" s="768" t="s">
        <v>21</v>
      </c>
      <c r="W37" s="769">
        <f t="shared" si="14"/>
        <v>100</v>
      </c>
      <c r="X37" s="770"/>
      <c r="Y37" s="3250"/>
      <c r="Z37" s="2934" t="str">
        <f t="shared" si="18"/>
        <v>成新度</v>
      </c>
      <c r="AA37" s="771">
        <f t="shared" si="15"/>
        <v>1</v>
      </c>
      <c r="AB37" s="771">
        <f t="shared" si="16"/>
        <v>1</v>
      </c>
      <c r="AC37" s="771">
        <f t="shared" si="17"/>
        <v>1</v>
      </c>
    </row>
    <row r="38" spans="1:29" ht="15">
      <c r="A38" s="470"/>
      <c r="B38" s="2935" t="s">
        <v>2564</v>
      </c>
      <c r="C38" s="2606" t="s">
        <v>3300</v>
      </c>
      <c r="D38" s="433">
        <v>100</v>
      </c>
      <c r="E38" s="2606" t="s">
        <v>3300</v>
      </c>
      <c r="F38" s="459">
        <f>SUMIF(114:114,E38,115:115)-SUMIF(114:114,C38,115:115)+100</f>
        <v>100</v>
      </c>
      <c r="G38" s="2606" t="s">
        <v>3300</v>
      </c>
      <c r="H38" s="433">
        <f>SUMIF(114:114,G38,115:115)-SUMIF(114:114,C38,115:115)+100</f>
        <v>100</v>
      </c>
      <c r="I38" s="2606" t="s">
        <v>3300</v>
      </c>
      <c r="J38" s="433">
        <f>SUMIF(114:114,I38,115:115)-SUMIF(114:114,C38,115:115)+100</f>
        <v>100</v>
      </c>
      <c r="K38" s="424">
        <v>2</v>
      </c>
      <c r="L38" s="1139"/>
      <c r="M38" s="1130"/>
      <c r="N38" s="1130"/>
      <c r="O38" s="1130"/>
      <c r="P38" s="3266" t="s">
        <v>2558</v>
      </c>
      <c r="Q38" s="2936" t="str">
        <f t="shared" si="11"/>
        <v>物业管理</v>
      </c>
      <c r="R38" s="772" t="s">
        <v>21</v>
      </c>
      <c r="S38" s="773">
        <f t="shared" si="12"/>
        <v>100</v>
      </c>
      <c r="T38" s="772" t="s">
        <v>21</v>
      </c>
      <c r="U38" s="773">
        <f t="shared" si="13"/>
        <v>100</v>
      </c>
      <c r="V38" s="772" t="s">
        <v>21</v>
      </c>
      <c r="W38" s="773">
        <f t="shared" si="14"/>
        <v>100</v>
      </c>
      <c r="X38" s="2938"/>
      <c r="Y38" s="3250" t="s">
        <v>2558</v>
      </c>
      <c r="Z38" s="2939" t="str">
        <f t="shared" si="18"/>
        <v>物业管理</v>
      </c>
      <c r="AA38" s="2937">
        <f t="shared" si="15"/>
        <v>1</v>
      </c>
      <c r="AB38" s="2937">
        <f t="shared" si="16"/>
        <v>1</v>
      </c>
      <c r="AC38" s="2937">
        <f t="shared" si="17"/>
        <v>1</v>
      </c>
    </row>
    <row r="39" spans="1:29" ht="15">
      <c r="A39" s="470"/>
      <c r="B39" s="2935" t="s">
        <v>2565</v>
      </c>
      <c r="C39" s="2606" t="s">
        <v>3253</v>
      </c>
      <c r="D39" s="433">
        <v>100</v>
      </c>
      <c r="E39" s="2606" t="s">
        <v>3253</v>
      </c>
      <c r="F39" s="459">
        <f>SUMIF(116:116,E39,117:117)-SUMIF(116:116,C39,117:117)+100</f>
        <v>100</v>
      </c>
      <c r="G39" s="2606" t="s">
        <v>3253</v>
      </c>
      <c r="H39" s="433">
        <f>SUMIF(116:116,G39,117:117)-SUMIF(116:116,C39,117:117)+100</f>
        <v>100</v>
      </c>
      <c r="I39" s="2606" t="s">
        <v>3253</v>
      </c>
      <c r="J39" s="433">
        <f>SUMIF(116:116,I39,117:117)-SUMIF(116:116,C39,117:117)+100</f>
        <v>100</v>
      </c>
      <c r="K39" s="424">
        <v>1</v>
      </c>
      <c r="L39" s="1139"/>
      <c r="M39" s="1130"/>
      <c r="N39" s="1130"/>
      <c r="O39" s="1130"/>
      <c r="P39" s="3266"/>
      <c r="Q39" s="2936" t="str">
        <f t="shared" si="11"/>
        <v>市政基础设施</v>
      </c>
      <c r="R39" s="772" t="s">
        <v>21</v>
      </c>
      <c r="S39" s="773">
        <f t="shared" si="12"/>
        <v>100</v>
      </c>
      <c r="T39" s="772" t="s">
        <v>21</v>
      </c>
      <c r="U39" s="773">
        <f t="shared" si="13"/>
        <v>100</v>
      </c>
      <c r="V39" s="772" t="s">
        <v>21</v>
      </c>
      <c r="W39" s="773">
        <f t="shared" si="14"/>
        <v>100</v>
      </c>
      <c r="X39" s="2938"/>
      <c r="Y39" s="3250"/>
      <c r="Z39" s="2939" t="str">
        <f t="shared" si="18"/>
        <v>市政基础设施</v>
      </c>
      <c r="AA39" s="2937">
        <f t="shared" si="15"/>
        <v>1</v>
      </c>
      <c r="AB39" s="2937">
        <f t="shared" si="16"/>
        <v>1</v>
      </c>
      <c r="AC39" s="2937">
        <f t="shared" si="17"/>
        <v>1</v>
      </c>
    </row>
    <row r="40" spans="1:29" ht="15">
      <c r="A40" s="470"/>
      <c r="B40" s="2935"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266"/>
      <c r="Q40" s="2936" t="str">
        <f t="shared" si="11"/>
        <v>房型</v>
      </c>
      <c r="R40" s="772" t="s">
        <v>21</v>
      </c>
      <c r="S40" s="773">
        <f t="shared" si="12"/>
        <v>100</v>
      </c>
      <c r="T40" s="772" t="s">
        <v>21</v>
      </c>
      <c r="U40" s="773">
        <f t="shared" si="13"/>
        <v>100</v>
      </c>
      <c r="V40" s="772" t="s">
        <v>21</v>
      </c>
      <c r="W40" s="773">
        <f t="shared" si="14"/>
        <v>100</v>
      </c>
      <c r="X40" s="2938"/>
      <c r="Y40" s="3250"/>
      <c r="Z40" s="2939" t="str">
        <f t="shared" si="18"/>
        <v>房型</v>
      </c>
      <c r="AA40" s="2937">
        <f t="shared" si="15"/>
        <v>1</v>
      </c>
      <c r="AB40" s="2937">
        <f t="shared" si="16"/>
        <v>1</v>
      </c>
      <c r="AC40" s="2937">
        <f t="shared" si="17"/>
        <v>1</v>
      </c>
    </row>
    <row r="41" spans="1:29" s="469" customFormat="1" ht="28.5">
      <c r="A41" s="466"/>
      <c r="B41" s="2935"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266"/>
      <c r="Q41" s="774" t="str">
        <f t="shared" si="11"/>
        <v>单套/主力户型建筑面积</v>
      </c>
      <c r="R41" s="775" t="s">
        <v>21</v>
      </c>
      <c r="S41" s="776">
        <f t="shared" si="12"/>
        <v>100</v>
      </c>
      <c r="T41" s="775" t="s">
        <v>21</v>
      </c>
      <c r="U41" s="776">
        <f t="shared" si="13"/>
        <v>100</v>
      </c>
      <c r="V41" s="775" t="s">
        <v>21</v>
      </c>
      <c r="W41" s="776">
        <f t="shared" si="14"/>
        <v>100</v>
      </c>
      <c r="X41" s="777"/>
      <c r="Y41" s="3250"/>
      <c r="Z41" s="778" t="str">
        <f t="shared" si="18"/>
        <v>单套/主力户型建筑面积</v>
      </c>
      <c r="AA41" s="2937">
        <f t="shared" si="15"/>
        <v>1</v>
      </c>
      <c r="AB41" s="2937">
        <f t="shared" si="16"/>
        <v>1</v>
      </c>
      <c r="AC41" s="2937">
        <f t="shared" si="17"/>
        <v>1</v>
      </c>
    </row>
    <row r="42" spans="1:29" ht="15">
      <c r="A42" s="470"/>
      <c r="B42" s="2935" t="s">
        <v>2568</v>
      </c>
      <c r="C42" s="2606" t="s">
        <v>3312</v>
      </c>
      <c r="D42" s="433">
        <v>100</v>
      </c>
      <c r="E42" s="2606" t="s">
        <v>3312</v>
      </c>
      <c r="F42" s="459">
        <f>SUMIF(122:122,E42,123:123)-SUMIF(122:122,C42,123:123)+100</f>
        <v>100</v>
      </c>
      <c r="G42" s="2606" t="s">
        <v>3312</v>
      </c>
      <c r="H42" s="433">
        <f>SUMIF(122:122,G42,123:123)-SUMIF(122:122,C42,123:123)+100</f>
        <v>100</v>
      </c>
      <c r="I42" s="2606" t="s">
        <v>3312</v>
      </c>
      <c r="J42" s="433">
        <f>SUMIF(122:122,I42,123:123)-SUMIF(122:122,C42,123:123)+100</f>
        <v>100</v>
      </c>
      <c r="K42" s="424">
        <v>2</v>
      </c>
      <c r="L42" s="1139"/>
      <c r="M42" s="1130"/>
      <c r="N42" s="1130"/>
      <c r="O42" s="1130"/>
      <c r="P42" s="3266"/>
      <c r="Q42" s="2936" t="str">
        <f t="shared" si="11"/>
        <v>内部装修</v>
      </c>
      <c r="R42" s="772" t="s">
        <v>21</v>
      </c>
      <c r="S42" s="773">
        <f t="shared" si="12"/>
        <v>100</v>
      </c>
      <c r="T42" s="772" t="s">
        <v>21</v>
      </c>
      <c r="U42" s="773">
        <f t="shared" si="13"/>
        <v>100</v>
      </c>
      <c r="V42" s="772" t="s">
        <v>21</v>
      </c>
      <c r="W42" s="773">
        <f t="shared" si="14"/>
        <v>100</v>
      </c>
      <c r="X42" s="2938"/>
      <c r="Y42" s="3250"/>
      <c r="Z42" s="2939" t="str">
        <f t="shared" si="18"/>
        <v>内部装修</v>
      </c>
      <c r="AA42" s="2937">
        <f t="shared" si="15"/>
        <v>1</v>
      </c>
      <c r="AB42" s="2937">
        <f t="shared" si="16"/>
        <v>1</v>
      </c>
      <c r="AC42" s="2937">
        <f t="shared" si="17"/>
        <v>1</v>
      </c>
    </row>
    <row r="43" spans="1:29" ht="15">
      <c r="A43" s="470"/>
      <c r="B43" s="2935" t="s">
        <v>2569</v>
      </c>
      <c r="C43" s="2606" t="s">
        <v>3258</v>
      </c>
      <c r="D43" s="433">
        <v>100</v>
      </c>
      <c r="E43" s="2606" t="s">
        <v>3258</v>
      </c>
      <c r="F43" s="459">
        <f>SUMIF(124:124,E43,125:125)-SUMIF(124:124,C43,125:125)+100</f>
        <v>100</v>
      </c>
      <c r="G43" s="2606" t="s">
        <v>3258</v>
      </c>
      <c r="H43" s="433">
        <f>SUMIF(124:124,G43,125:125)-SUMIF(124:124,C43,125:125)+100</f>
        <v>100</v>
      </c>
      <c r="I43" s="2606" t="s">
        <v>3258</v>
      </c>
      <c r="J43" s="433">
        <f>SUMIF(124:124,I43,125:125)-SUMIF(124:124,C43,125:125)+100</f>
        <v>100</v>
      </c>
      <c r="K43" s="424">
        <v>2</v>
      </c>
      <c r="L43" s="1139"/>
      <c r="M43" s="1130"/>
      <c r="N43" s="1130"/>
      <c r="O43" s="1130"/>
      <c r="P43" s="3266"/>
      <c r="Q43" s="2936" t="str">
        <f t="shared" si="11"/>
        <v>内部装修维护情况</v>
      </c>
      <c r="R43" s="772" t="s">
        <v>21</v>
      </c>
      <c r="S43" s="773">
        <f t="shared" si="12"/>
        <v>100</v>
      </c>
      <c r="T43" s="772" t="s">
        <v>21</v>
      </c>
      <c r="U43" s="773">
        <f t="shared" si="13"/>
        <v>100</v>
      </c>
      <c r="V43" s="772" t="s">
        <v>21</v>
      </c>
      <c r="W43" s="773">
        <f t="shared" si="14"/>
        <v>100</v>
      </c>
      <c r="X43" s="2938"/>
      <c r="Y43" s="3250"/>
      <c r="Z43" s="2939" t="str">
        <f t="shared" si="18"/>
        <v>内部装修维护情况</v>
      </c>
      <c r="AA43" s="2937">
        <f t="shared" si="15"/>
        <v>1</v>
      </c>
      <c r="AB43" s="2937">
        <f t="shared" si="16"/>
        <v>1</v>
      </c>
      <c r="AC43" s="2937">
        <f t="shared" si="17"/>
        <v>1</v>
      </c>
    </row>
    <row r="44" spans="1:29" s="116" customFormat="1" ht="15">
      <c r="A44" s="471"/>
      <c r="B44" s="1385"/>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266"/>
      <c r="Q44" s="2933">
        <f t="shared" si="11"/>
        <v>0</v>
      </c>
      <c r="R44" s="768" t="s">
        <v>21</v>
      </c>
      <c r="S44" s="769">
        <f t="shared" si="12"/>
        <v>100</v>
      </c>
      <c r="T44" s="768" t="s">
        <v>21</v>
      </c>
      <c r="U44" s="769">
        <f t="shared" si="13"/>
        <v>100</v>
      </c>
      <c r="V44" s="768" t="s">
        <v>21</v>
      </c>
      <c r="W44" s="769">
        <f t="shared" si="14"/>
        <v>100</v>
      </c>
      <c r="X44" s="770"/>
      <c r="Y44" s="3250"/>
      <c r="Z44" s="2934">
        <f t="shared" si="18"/>
        <v>0</v>
      </c>
      <c r="AA44" s="771">
        <f t="shared" si="15"/>
        <v>1</v>
      </c>
      <c r="AB44" s="771">
        <f t="shared" si="16"/>
        <v>1</v>
      </c>
      <c r="AC44" s="771">
        <f t="shared" si="17"/>
        <v>1</v>
      </c>
    </row>
    <row r="45" spans="1:29" ht="15">
      <c r="A45" s="470"/>
      <c r="B45" s="1385"/>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266"/>
      <c r="Q45" s="2936">
        <f t="shared" si="11"/>
        <v>0</v>
      </c>
      <c r="R45" s="772" t="s">
        <v>21</v>
      </c>
      <c r="S45" s="773">
        <f t="shared" si="12"/>
        <v>100</v>
      </c>
      <c r="T45" s="772" t="s">
        <v>21</v>
      </c>
      <c r="U45" s="773">
        <f t="shared" si="13"/>
        <v>100</v>
      </c>
      <c r="V45" s="772" t="s">
        <v>21</v>
      </c>
      <c r="W45" s="773">
        <f t="shared" si="14"/>
        <v>100</v>
      </c>
      <c r="X45" s="2938"/>
      <c r="Y45" s="3250"/>
      <c r="Z45" s="2939">
        <f t="shared" si="18"/>
        <v>0</v>
      </c>
      <c r="AA45" s="2937">
        <f t="shared" si="15"/>
        <v>1</v>
      </c>
      <c r="AB45" s="2937">
        <f t="shared" si="16"/>
        <v>1</v>
      </c>
      <c r="AC45" s="2937">
        <f t="shared" si="17"/>
        <v>1</v>
      </c>
    </row>
    <row r="46" spans="1:29" ht="15.75" thickBot="1">
      <c r="A46" s="476"/>
      <c r="B46" s="2595">
        <f>'比较法-住宅'!B46</f>
        <v>0.97</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267"/>
      <c r="Q46" s="2936">
        <f t="shared" si="11"/>
        <v>0.97</v>
      </c>
      <c r="R46" s="772" t="s">
        <v>20</v>
      </c>
      <c r="S46" s="773">
        <f t="shared" si="12"/>
        <v>100</v>
      </c>
      <c r="T46" s="772" t="s">
        <v>20</v>
      </c>
      <c r="U46" s="773">
        <f t="shared" si="13"/>
        <v>100</v>
      </c>
      <c r="V46" s="772" t="s">
        <v>20</v>
      </c>
      <c r="W46" s="773">
        <f t="shared" si="14"/>
        <v>100</v>
      </c>
      <c r="X46" s="2938"/>
      <c r="Y46" s="3268"/>
      <c r="Z46" s="2939">
        <f t="shared" si="18"/>
        <v>0.97</v>
      </c>
      <c r="AA46" s="2937">
        <f t="shared" si="15"/>
        <v>1</v>
      </c>
      <c r="AB46" s="2937">
        <f t="shared" si="16"/>
        <v>1</v>
      </c>
      <c r="AC46" s="2937">
        <f t="shared" si="17"/>
        <v>1</v>
      </c>
    </row>
    <row r="47" spans="1:29" ht="15">
      <c r="A47" s="477" t="s">
        <v>2570</v>
      </c>
      <c r="B47" s="478"/>
      <c r="C47" s="1406" t="s">
        <v>19</v>
      </c>
      <c r="D47" s="1407"/>
      <c r="E47" s="1408">
        <f>ROUND(18000*B46,0)</f>
        <v>17460</v>
      </c>
      <c r="F47" s="1409"/>
      <c r="G47" s="1408">
        <f>ROUND(15000*B46,0)</f>
        <v>14550</v>
      </c>
      <c r="H47" s="1411"/>
      <c r="I47" s="1408">
        <f>ROUND(16500*B46,0)</f>
        <v>16005</v>
      </c>
      <c r="J47" s="1411"/>
      <c r="K47" s="2612"/>
      <c r="L47" s="1142"/>
      <c r="M47" s="1143"/>
      <c r="N47" s="1130"/>
      <c r="O47" s="1143"/>
      <c r="P47" s="3232" t="str">
        <f>A47</f>
        <v>成交单价（元/平方米）</v>
      </c>
      <c r="Q47" s="3232"/>
      <c r="R47" s="3264">
        <f>E47</f>
        <v>17460</v>
      </c>
      <c r="S47" s="3264"/>
      <c r="T47" s="3264">
        <f>G47</f>
        <v>14550</v>
      </c>
      <c r="U47" s="3264"/>
      <c r="V47" s="3264">
        <f>I47</f>
        <v>16005</v>
      </c>
      <c r="W47" s="3264"/>
      <c r="X47" s="757"/>
      <c r="Y47" s="779"/>
      <c r="Z47" s="757"/>
      <c r="AA47" s="757"/>
      <c r="AB47" s="757"/>
      <c r="AC47" s="757"/>
    </row>
    <row r="48" spans="1:29" ht="15.75" thickBot="1">
      <c r="A48" s="484" t="s">
        <v>2571</v>
      </c>
      <c r="B48" s="485"/>
      <c r="C48" s="1412">
        <f>R49</f>
        <v>15634</v>
      </c>
      <c r="D48" s="1413"/>
      <c r="E48" s="1414">
        <f>R48</f>
        <v>16464</v>
      </c>
      <c r="F48" s="1414"/>
      <c r="G48" s="1412">
        <f>T48</f>
        <v>14870</v>
      </c>
      <c r="H48" s="1413"/>
      <c r="I48" s="1414">
        <f>V48</f>
        <v>15569</v>
      </c>
      <c r="J48" s="1413"/>
      <c r="K48" s="2613"/>
      <c r="L48" s="1142"/>
      <c r="M48" s="1143"/>
      <c r="N48" s="1143"/>
      <c r="O48" s="1143"/>
      <c r="P48" s="3232" t="str">
        <f>A48</f>
        <v>比较价值（元/平方米）</v>
      </c>
      <c r="Q48" s="3232"/>
      <c r="R48" s="3264">
        <f>IF(F1="售价",ROUND(PRODUCT(R47,AA7:AA46),0),ROUND(PRODUCT(R47,AA7:AA46),1))</f>
        <v>16464</v>
      </c>
      <c r="S48" s="3264"/>
      <c r="T48" s="3264">
        <f>IF(F1="售价",ROUND(PRODUCT(T47,AB7:AB46),0),ROUND(PRODUCT(T47,AB7:AB46),1))</f>
        <v>14870</v>
      </c>
      <c r="U48" s="3264"/>
      <c r="V48" s="3264">
        <f>IF(F1="售价",ROUND(PRODUCT(V47,AC7:AC46),0),ROUND(PRODUCT(V47,AC7:AC46),1))</f>
        <v>15569</v>
      </c>
      <c r="W48" s="3264"/>
      <c r="X48" s="757"/>
      <c r="Y48" s="757"/>
      <c r="Z48" s="757"/>
      <c r="AA48" s="757"/>
      <c r="AB48" s="757"/>
      <c r="AC48" s="757"/>
    </row>
    <row r="49" spans="1:29" ht="15.75" thickBot="1">
      <c r="A49" s="490" t="s">
        <v>2572</v>
      </c>
      <c r="B49" s="491"/>
      <c r="C49" s="1415">
        <f>R49</f>
        <v>15634</v>
      </c>
      <c r="D49" s="1416"/>
      <c r="E49" s="1416"/>
      <c r="F49" s="1416"/>
      <c r="G49" s="1416"/>
      <c r="H49" s="1416"/>
      <c r="I49" s="1416"/>
      <c r="J49" s="1416"/>
      <c r="K49" s="2614"/>
      <c r="L49" s="1142"/>
      <c r="M49" s="1143"/>
      <c r="N49" s="1143"/>
      <c r="O49" s="1143"/>
      <c r="P49" s="3252" t="str">
        <f>A49</f>
        <v>估价对象XX用房的比较价值（楼面单价，元/平方米）</v>
      </c>
      <c r="Q49" s="3253"/>
      <c r="R49" s="3263">
        <f>IF(F1="售价",ROUND(AVERAGE(R48:V48),0),ROUND(AVERAGE(R48:V48),1))</f>
        <v>15634</v>
      </c>
      <c r="S49" s="3263"/>
      <c r="T49" s="3263"/>
      <c r="U49" s="3263"/>
      <c r="V49" s="3263"/>
      <c r="W49" s="3263"/>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6.0495626822157478E-2</v>
      </c>
      <c r="F52" s="498" t="str">
        <f>IF(OR(E52&gt;=0.3,E52&lt;=-0.3),"超过30%","")</f>
        <v/>
      </c>
      <c r="G52" s="497">
        <f>IF(G47&lt;G48,G48/G47-1,G47/G48-1)</f>
        <v>2.1993127147766245E-2</v>
      </c>
      <c r="H52" s="498" t="str">
        <f>IF(OR(G52&gt;=0.3,G52&lt;=-0.3),"超过30%","")</f>
        <v/>
      </c>
      <c r="I52" s="497">
        <f>IF(I47&lt;I48,I48/I47-1,I47/I48-1)</f>
        <v>2.8004367653670759E-2</v>
      </c>
      <c r="J52" s="498" t="str">
        <f>IF(OR(I52&gt;=0.3,I52&lt;=-0.3),"超过30%","")</f>
        <v/>
      </c>
      <c r="K52" s="1104"/>
      <c r="L52" s="1105"/>
      <c r="M52" s="1143"/>
      <c r="N52" s="1143"/>
      <c r="O52" s="1143"/>
    </row>
    <row r="53" spans="1:29" ht="13.5" customHeight="1">
      <c r="A53" s="1143"/>
      <c r="B53" s="1143"/>
      <c r="C53" s="495" t="s">
        <v>2574</v>
      </c>
      <c r="D53" s="499"/>
      <c r="E53" s="497">
        <f>IF(E48&lt;G48,G48/E48-1,E48/G48-1)</f>
        <v>0.10719569603227974</v>
      </c>
      <c r="F53" s="498" t="str">
        <f>IF(OR(E53&gt;=0.2,E53&lt;=-0.2),"超过20%","")</f>
        <v/>
      </c>
      <c r="G53" s="497">
        <f>IF(G48&lt;I48,I48/G48-1,G48/I48-1)</f>
        <v>4.7007397444519095E-2</v>
      </c>
      <c r="H53" s="498" t="str">
        <f>IF(OR(G53&gt;=0.2,G53&lt;=-0.2),"超过20%","")</f>
        <v/>
      </c>
      <c r="I53" s="497">
        <f>IF(I48&lt;E48,E48/I48-1,I48/E48-1)</f>
        <v>5.7486029931273608E-2</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0.19999999999999996</v>
      </c>
      <c r="F54" s="498" t="str">
        <f>IF(OR(E54&gt;=0.3,E54&lt;=-0.3),"超过30%","")</f>
        <v/>
      </c>
      <c r="G54" s="497">
        <f>IF(G47&lt;I47,I47/G47-1,G47/I47-1)</f>
        <v>0.10000000000000009</v>
      </c>
      <c r="H54" s="498" t="str">
        <f>IF(OR(G54&gt;=0.3,G54&lt;=-0.3),"超过30%","")</f>
        <v/>
      </c>
      <c r="I54" s="497">
        <f>IF(I47&lt;E47,E47/I47-1,I47/E47-1)</f>
        <v>9.0909090909090828E-2</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61" t="s">
        <v>2576</v>
      </c>
      <c r="B57" s="757"/>
      <c r="C57" s="762"/>
      <c r="D57" s="762"/>
      <c r="E57" s="762"/>
      <c r="F57" s="763"/>
      <c r="G57" s="763"/>
      <c r="H57" s="762"/>
      <c r="I57" s="762"/>
      <c r="J57" s="762"/>
      <c r="K57" s="1159"/>
      <c r="L57" s="1160"/>
      <c r="M57" s="1158"/>
      <c r="N57" s="1158"/>
      <c r="O57" s="1158"/>
      <c r="P57" s="2617"/>
      <c r="Q57" s="502"/>
    </row>
    <row r="58" spans="1:29" s="506" customFormat="1" ht="15">
      <c r="A58" s="503" t="s">
        <v>2541</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7"/>
      <c r="B59" s="2618"/>
      <c r="C59" s="1571">
        <v>100</v>
      </c>
      <c r="D59" s="509"/>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2543</v>
      </c>
      <c r="B61" s="508"/>
      <c r="C61" s="520" t="s">
        <v>2580</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t="str">
        <f>C9</f>
        <v>住宅</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7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ht="15">
      <c r="A68" s="532"/>
      <c r="B68" s="546"/>
      <c r="C68" s="547">
        <v>0</v>
      </c>
      <c r="D68" s="547">
        <v>1</v>
      </c>
      <c r="E68" s="547">
        <v>2</v>
      </c>
      <c r="F68" s="547">
        <v>3</v>
      </c>
      <c r="G68" s="547">
        <v>4</v>
      </c>
      <c r="H68" s="547">
        <v>5</v>
      </c>
      <c r="I68" s="547">
        <v>6</v>
      </c>
      <c r="J68" s="547"/>
      <c r="K68" s="548"/>
      <c r="L68" s="549"/>
      <c r="M68" s="550"/>
      <c r="N68" s="1151"/>
      <c r="O68" s="1151"/>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58"/>
      <c r="E73" s="558"/>
      <c r="F73" s="558"/>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7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75" thickTop="1">
      <c r="A86" s="577"/>
      <c r="B86" s="536" t="s">
        <v>2603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75" thickTop="1">
      <c r="A88" s="577"/>
      <c r="B88" s="536" t="s">
        <v>2604</v>
      </c>
      <c r="C88" s="552"/>
      <c r="D88" s="552"/>
      <c r="E88" s="552"/>
      <c r="F88" s="2626"/>
      <c r="G88" s="552"/>
      <c r="H88" s="552"/>
      <c r="I88" s="552"/>
      <c r="J88" s="552"/>
      <c r="K88" s="552"/>
      <c r="L88" s="552"/>
      <c r="M88" s="579"/>
      <c r="N88" s="1150"/>
      <c r="O88" s="1150"/>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75" thickTop="1">
      <c r="A90" s="551"/>
      <c r="B90" s="536" t="str">
        <f>B27</f>
        <v>道路级别</v>
      </c>
      <c r="C90" s="2985" t="s">
        <v>3281</v>
      </c>
      <c r="D90" s="2985" t="s">
        <v>3282</v>
      </c>
      <c r="E90" s="2985" t="s">
        <v>3283</v>
      </c>
      <c r="F90" s="2985" t="s">
        <v>3284</v>
      </c>
      <c r="G90" s="2985" t="s">
        <v>3285</v>
      </c>
      <c r="H90" s="553"/>
      <c r="I90" s="553"/>
      <c r="J90" s="553"/>
      <c r="K90" s="553"/>
      <c r="L90" s="554"/>
      <c r="M90" s="555"/>
      <c r="N90" s="1153"/>
      <c r="O90" s="1153"/>
      <c r="P90" s="2622"/>
      <c r="Q90" s="557"/>
    </row>
    <row r="91" spans="1:17" s="469" customFormat="1" ht="15.75"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5.75" thickTop="1">
      <c r="A92" s="532"/>
      <c r="B92" s="536">
        <f>B28</f>
        <v>111</v>
      </c>
      <c r="C92" s="552"/>
      <c r="D92" s="552"/>
      <c r="E92" s="552"/>
      <c r="F92" s="552"/>
      <c r="G92" s="581"/>
      <c r="H92" s="581"/>
      <c r="I92" s="581"/>
      <c r="J92" s="581"/>
      <c r="K92" s="582"/>
      <c r="L92" s="583"/>
      <c r="M92" s="584"/>
      <c r="N92" s="1151"/>
      <c r="O92" s="1151"/>
      <c r="P92" s="2621"/>
      <c r="Q92" s="502"/>
    </row>
    <row r="93" spans="1:17" ht="15.75" thickBot="1">
      <c r="A93" s="532"/>
      <c r="B93" s="541"/>
      <c r="C93" s="558"/>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58"/>
      <c r="E95" s="558"/>
      <c r="F95" s="558"/>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68"/>
      <c r="D97" s="568"/>
      <c r="E97" s="568"/>
      <c r="F97" s="568"/>
      <c r="G97" s="534"/>
      <c r="H97" s="534"/>
      <c r="I97" s="534"/>
      <c r="J97" s="534"/>
      <c r="K97" s="534"/>
      <c r="L97" s="534"/>
      <c r="M97" s="535"/>
      <c r="N97" s="1152"/>
      <c r="O97" s="1152"/>
      <c r="P97" s="2621"/>
      <c r="Q97" s="502"/>
    </row>
    <row r="98" spans="1:17" ht="15.75" thickTop="1">
      <c r="A98" s="532"/>
      <c r="B98" s="544">
        <f>B31</f>
        <v>111</v>
      </c>
      <c r="C98" s="585"/>
      <c r="D98" s="585"/>
      <c r="E98" s="585"/>
      <c r="F98" s="585"/>
      <c r="G98" s="585"/>
      <c r="H98" s="585"/>
      <c r="I98" s="585"/>
      <c r="J98" s="585"/>
      <c r="K98" s="586"/>
      <c r="L98" s="587"/>
      <c r="M98" s="588"/>
      <c r="N98" s="1151"/>
      <c r="O98" s="1151"/>
      <c r="P98" s="2621"/>
      <c r="Q98" s="502"/>
    </row>
    <row r="99" spans="1:17" ht="15.75" thickBot="1">
      <c r="A99" s="2627"/>
      <c r="B99" s="567"/>
      <c r="C99" s="589"/>
      <c r="D99" s="589"/>
      <c r="E99" s="589"/>
      <c r="F99" s="589"/>
      <c r="G99" s="589"/>
      <c r="H99" s="589"/>
      <c r="I99" s="589"/>
      <c r="J99" s="589"/>
      <c r="K99" s="589"/>
      <c r="L99" s="589"/>
      <c r="M99" s="590"/>
      <c r="N99" s="1152"/>
      <c r="O99" s="1152"/>
      <c r="P99" s="2621"/>
      <c r="Q99" s="502"/>
    </row>
    <row r="100" spans="1:17">
      <c r="A100" s="525" t="s">
        <v>2556</v>
      </c>
      <c r="B100" s="526" t="s">
        <v>2605</v>
      </c>
      <c r="C100" s="2984" t="s">
        <v>3322</v>
      </c>
      <c r="D100" s="2984" t="s">
        <v>3311</v>
      </c>
      <c r="E100" s="2984" t="s">
        <v>3320</v>
      </c>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7">C101-$K32</f>
        <v>95</v>
      </c>
      <c r="E101" s="542">
        <f t="shared" si="27"/>
        <v>90</v>
      </c>
      <c r="F101" s="542">
        <f t="shared" si="27"/>
        <v>85</v>
      </c>
      <c r="G101" s="542">
        <f t="shared" si="27"/>
        <v>80</v>
      </c>
      <c r="H101" s="542">
        <f t="shared" si="27"/>
        <v>75</v>
      </c>
      <c r="I101" s="542">
        <f t="shared" si="27"/>
        <v>70</v>
      </c>
      <c r="J101" s="542">
        <f t="shared" si="27"/>
        <v>65</v>
      </c>
      <c r="K101" s="542">
        <f t="shared" si="27"/>
        <v>60</v>
      </c>
      <c r="L101" s="542">
        <f t="shared" si="27"/>
        <v>55</v>
      </c>
      <c r="M101" s="542">
        <f t="shared" si="27"/>
        <v>50</v>
      </c>
      <c r="N101" s="1152"/>
      <c r="O101" s="1152"/>
      <c r="P101" s="2621"/>
      <c r="Q101" s="502"/>
    </row>
    <row r="102" spans="1:17" ht="29.25"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5.75"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3286</v>
      </c>
      <c r="D105" s="2985" t="s">
        <v>3287</v>
      </c>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3288</v>
      </c>
      <c r="D107" s="2986" t="s">
        <v>3289</v>
      </c>
      <c r="E107" s="581"/>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3290</v>
      </c>
      <c r="D109" s="2985" t="s">
        <v>3291</v>
      </c>
      <c r="E109" s="2985" t="s">
        <v>3292</v>
      </c>
      <c r="F109" s="2986" t="s">
        <v>3293</v>
      </c>
      <c r="G109" s="581"/>
      <c r="H109" s="581"/>
      <c r="I109" s="581"/>
      <c r="J109" s="581"/>
      <c r="K109" s="582"/>
      <c r="L109" s="583"/>
      <c r="M109" s="584"/>
      <c r="N109" s="1151"/>
      <c r="O109" s="1151"/>
      <c r="P109" s="2621"/>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3294</v>
      </c>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3253</v>
      </c>
      <c r="D116" s="552" t="s">
        <v>3254</v>
      </c>
      <c r="E116" s="552" t="s">
        <v>3255</v>
      </c>
      <c r="F116" s="552" t="s">
        <v>3256</v>
      </c>
      <c r="G116" s="552" t="s">
        <v>3257</v>
      </c>
      <c r="H116" s="581"/>
      <c r="I116" s="581"/>
      <c r="J116" s="581"/>
      <c r="K116" s="582"/>
      <c r="L116" s="583"/>
      <c r="M116" s="584"/>
      <c r="N116" s="1151"/>
      <c r="O116" s="1151"/>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8.5"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3290</v>
      </c>
      <c r="D122" s="2985" t="s">
        <v>3291</v>
      </c>
      <c r="E122" s="2985" t="s">
        <v>3292</v>
      </c>
      <c r="F122" s="2986" t="s">
        <v>3293</v>
      </c>
      <c r="G122" s="581"/>
      <c r="H122" s="581"/>
      <c r="I122" s="581"/>
      <c r="J122" s="581"/>
      <c r="K122" s="582"/>
      <c r="L122" s="583"/>
      <c r="M122" s="584"/>
      <c r="N122" s="1151"/>
      <c r="O122" s="1151"/>
      <c r="P122" s="2621"/>
      <c r="Q122" s="502"/>
    </row>
    <row r="123" spans="1:17" ht="15.75"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5" thickTop="1">
      <c r="A126" s="591"/>
      <c r="B126" s="536">
        <f>B44</f>
        <v>0</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0</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58"/>
      <c r="E129" s="558"/>
      <c r="F129" s="558"/>
      <c r="G129" s="534"/>
      <c r="H129" s="534"/>
      <c r="I129" s="534"/>
      <c r="J129" s="534"/>
      <c r="K129" s="534"/>
      <c r="L129" s="534"/>
      <c r="M129" s="535"/>
      <c r="N129" s="1152"/>
      <c r="O129" s="1152"/>
      <c r="P129" s="2621"/>
      <c r="Q129" s="502"/>
    </row>
    <row r="130" spans="1:17" ht="15" thickTop="1">
      <c r="A130" s="597"/>
      <c r="B130" s="544">
        <f>B46</f>
        <v>0.97</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5.75"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c r="B147" s="2628" t="s">
        <v>2633</v>
      </c>
    </row>
    <row r="148" spans="2:11">
      <c r="B148" s="2628" t="s">
        <v>2634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C40" sqref="C40"/>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1372</v>
      </c>
      <c r="D1" s="1818" t="s">
        <v>3341</v>
      </c>
      <c r="E1" s="1819" t="s">
        <v>1382</v>
      </c>
      <c r="F1" s="1282">
        <f ca="1">J53</f>
        <v>33.04</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3646</v>
      </c>
      <c r="C2" s="1843" t="s">
        <v>1511</v>
      </c>
      <c r="D2" s="1843"/>
      <c r="E2" s="1844"/>
      <c r="F2" s="1845"/>
      <c r="G2" s="1846"/>
      <c r="H2" s="1838"/>
      <c r="I2" s="1838"/>
      <c r="J2" s="1838"/>
      <c r="K2" s="1839"/>
      <c r="L2" s="1838"/>
      <c r="M2" s="1838"/>
    </row>
    <row r="3" spans="1:37" ht="18" customHeight="1" thickBot="1">
      <c r="A3" s="1847" t="s">
        <v>1512</v>
      </c>
      <c r="B3" s="1848">
        <f ca="1">IF(ISERROR(B2*10000/F43),0,ROUND(B2*10000/F43,0))</f>
        <v>11594</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244</v>
      </c>
      <c r="D5" s="1820" t="s">
        <v>1397</v>
      </c>
      <c r="E5" s="1292"/>
      <c r="F5" s="1293"/>
      <c r="G5" s="1849"/>
      <c r="H5" s="342">
        <v>1</v>
      </c>
      <c r="I5" s="343" t="s">
        <v>1396</v>
      </c>
      <c r="J5" s="1291">
        <f ca="1">J6+J10+J12</f>
        <v>0</v>
      </c>
      <c r="K5" s="1820" t="s">
        <v>1397</v>
      </c>
      <c r="L5" s="1292"/>
      <c r="M5" s="1293"/>
    </row>
    <row r="6" spans="1:37" ht="18" customHeight="1">
      <c r="A6" s="1290" t="s">
        <v>1032</v>
      </c>
      <c r="B6" s="3273" t="s">
        <v>1398</v>
      </c>
      <c r="C6" s="1295">
        <f ca="1">ROUND(F6*F8*F7*(1-F9)/10000,0)</f>
        <v>244</v>
      </c>
      <c r="D6" s="162" t="s">
        <v>3027</v>
      </c>
      <c r="E6" s="345" t="s">
        <v>1400</v>
      </c>
      <c r="F6" s="346">
        <f ca="1">INDIRECT("'数据-取费表'!u"&amp;$G$1)</f>
        <v>2.5</v>
      </c>
      <c r="G6" s="1849"/>
      <c r="H6" s="1290" t="s">
        <v>1032</v>
      </c>
      <c r="I6" s="3273" t="s">
        <v>1398</v>
      </c>
      <c r="J6" s="344">
        <f ca="1">ROUND(M6*M8*M7*(1-M9)/10000,0)</f>
        <v>0</v>
      </c>
      <c r="K6" s="162" t="s">
        <v>3026</v>
      </c>
      <c r="L6" s="345" t="s">
        <v>1400</v>
      </c>
      <c r="M6" s="346">
        <f ca="1">INDIRECT("'数据-取费表'!z"&amp;$G$1)</f>
        <v>0</v>
      </c>
    </row>
    <row r="7" spans="1:37" ht="18" customHeight="1">
      <c r="A7" s="1294"/>
      <c r="B7" s="3274"/>
      <c r="C7" s="1296"/>
      <c r="D7" s="350"/>
      <c r="E7" s="1297" t="s">
        <v>1401</v>
      </c>
      <c r="F7" s="346">
        <f ca="1">IF(INDIRECT("'数据-取费表'!ah"&amp;$G$1)="",INDIRECT("'数据-取费表'!k"&amp;$G$1),INDIRECT("'数据-取费表'!ah"&amp;$G$1))</f>
        <v>3144.63</v>
      </c>
      <c r="G7" s="1849"/>
      <c r="H7" s="347"/>
      <c r="I7" s="3274"/>
      <c r="J7" s="349"/>
      <c r="K7" s="350"/>
      <c r="L7" s="345" t="s">
        <v>1401</v>
      </c>
      <c r="M7" s="346">
        <f ca="1">F7</f>
        <v>3144.63</v>
      </c>
    </row>
    <row r="8" spans="1:37" ht="18" customHeight="1">
      <c r="A8" s="347"/>
      <c r="B8" s="3274"/>
      <c r="C8" s="349"/>
      <c r="D8" s="350"/>
      <c r="E8" s="345" t="s">
        <v>1402</v>
      </c>
      <c r="F8" s="346">
        <f ca="1">INDIRECT("'数据-取费表'!ai"&amp;$G$1)</f>
        <v>365</v>
      </c>
      <c r="G8" s="1849"/>
      <c r="H8" s="347"/>
      <c r="I8" s="3274"/>
      <c r="J8" s="349"/>
      <c r="K8" s="350"/>
      <c r="L8" s="345" t="s">
        <v>1402</v>
      </c>
      <c r="M8" s="346">
        <f ca="1">INDIRECT("'数据-取费表'!ai"&amp;$G$1)</f>
        <v>365</v>
      </c>
    </row>
    <row r="9" spans="1:37" ht="18" customHeight="1">
      <c r="A9" s="347"/>
      <c r="B9" s="3275"/>
      <c r="C9" s="349"/>
      <c r="D9" s="350"/>
      <c r="E9" s="345" t="s">
        <v>1403</v>
      </c>
      <c r="F9" s="355">
        <f ca="1">INDIRECT("'数据-取费表'!w"&amp;$G$1)</f>
        <v>0.15</v>
      </c>
      <c r="G9" s="1849"/>
      <c r="H9" s="347"/>
      <c r="I9" s="3275"/>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3036</v>
      </c>
      <c r="E10" s="356" t="s">
        <v>1405</v>
      </c>
      <c r="F10" s="1365" t="s">
        <v>3342</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1077</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729</v>
      </c>
      <c r="D14" s="1798" t="s">
        <v>1413</v>
      </c>
      <c r="E14" s="1792"/>
      <c r="F14" s="362"/>
      <c r="G14" s="1849"/>
      <c r="H14" s="1200" t="s">
        <v>1032</v>
      </c>
      <c r="I14" s="345" t="s">
        <v>1414</v>
      </c>
      <c r="J14" s="24">
        <f ca="1">C29</f>
        <v>1077</v>
      </c>
      <c r="K14" s="15"/>
      <c r="L14" s="978"/>
      <c r="M14" s="979"/>
    </row>
    <row r="15" spans="1:37" s="1856" customFormat="1" ht="18" customHeight="1" thickBot="1">
      <c r="A15" s="1200" t="s">
        <v>1033</v>
      </c>
      <c r="B15" s="345" t="s">
        <v>1415</v>
      </c>
      <c r="C15" s="24">
        <f ca="1">ROUND(C14*F15,0)</f>
        <v>22</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26</v>
      </c>
      <c r="K16" s="1336" t="s">
        <v>1420</v>
      </c>
      <c r="L16" s="1337"/>
      <c r="M16" s="1293"/>
    </row>
    <row r="17" spans="1:37" s="1856" customFormat="1" ht="18" customHeight="1">
      <c r="A17" s="1200" t="s">
        <v>1385</v>
      </c>
      <c r="B17" s="345" t="s">
        <v>1421</v>
      </c>
      <c r="C17" s="24">
        <f ca="1">ROUND(F17*(F43+INDIRECT("'数据-取费表'!S"&amp;$G$1))/10000,0)</f>
        <v>73</v>
      </c>
      <c r="D17" s="345" t="s">
        <v>1422</v>
      </c>
      <c r="E17" s="345" t="s">
        <v>1423</v>
      </c>
      <c r="F17" s="26">
        <f>'数据-取费表'!B35</f>
        <v>200</v>
      </c>
      <c r="G17" s="1852"/>
      <c r="H17" s="1200" t="s">
        <v>1032</v>
      </c>
      <c r="I17" s="345" t="s">
        <v>1424</v>
      </c>
      <c r="J17" s="24">
        <f ca="1">ROUND(IF(项目基本情况!B11="自然人",J5*M17,J18+J19+J20),1)</f>
        <v>9.6999999999999993</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11</v>
      </c>
      <c r="D18" s="345" t="s">
        <v>1416</v>
      </c>
      <c r="E18" s="345" t="s">
        <v>1417</v>
      </c>
      <c r="F18" s="365">
        <f>'数据-取费表'!B36</f>
        <v>1.4999999999999999E-2</v>
      </c>
      <c r="G18" s="1852"/>
      <c r="H18" s="1200" t="s">
        <v>1031</v>
      </c>
      <c r="I18" s="345" t="s">
        <v>1428</v>
      </c>
      <c r="J18" s="24">
        <f ca="1">ROUND(J5*M18/(1+'数据-取费表'!C42),2)</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835</v>
      </c>
      <c r="D19" s="138" t="s">
        <v>1431</v>
      </c>
      <c r="E19" s="1816"/>
      <c r="F19" s="26"/>
      <c r="G19" s="1849"/>
      <c r="H19" s="1200" t="s">
        <v>1033</v>
      </c>
      <c r="I19" s="345" t="s">
        <v>1432</v>
      </c>
      <c r="J19" s="24">
        <f ca="1">IF(K19="按租金收入计税",ROUND(J5*M19,2),ROUND(C29*M19*0.7,2))</f>
        <v>9.0500000000000007</v>
      </c>
      <c r="K19" s="1826" t="s">
        <v>1433</v>
      </c>
      <c r="L19" s="345" t="s">
        <v>1417</v>
      </c>
      <c r="M19" s="365">
        <f>IF(K19="按租金收入计税",'数据-取费表'!B51,'数据-取费表'!B50)</f>
        <v>1.2E-2</v>
      </c>
    </row>
    <row r="20" spans="1:37" s="1856" customFormat="1" ht="18" customHeight="1">
      <c r="A20" s="1200" t="s">
        <v>1036</v>
      </c>
      <c r="B20" s="345" t="s">
        <v>1434</v>
      </c>
      <c r="C20" s="24">
        <f ca="1">ROUND(C19*F20,0)</f>
        <v>17</v>
      </c>
      <c r="D20" s="367" t="s">
        <v>1435</v>
      </c>
      <c r="E20" s="345" t="s">
        <v>1417</v>
      </c>
      <c r="F20" s="365">
        <f>'数据-取费表'!B37</f>
        <v>0.02</v>
      </c>
      <c r="G20" s="1852"/>
      <c r="H20" s="1200" t="s">
        <v>1384</v>
      </c>
      <c r="I20" s="162" t="s">
        <v>1436</v>
      </c>
      <c r="J20" s="25">
        <f ca="1">ROUND(M20*M21/10000,2)</f>
        <v>0.69</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1383.75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ROUND(J14*M22,1)</f>
        <v>16.2</v>
      </c>
      <c r="K22" s="1796"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41</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1796" t="s">
        <v>1449</v>
      </c>
      <c r="L23" s="345" t="s">
        <v>1450</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ROUND(J5*M24,1)</f>
        <v>0</v>
      </c>
      <c r="K24" s="1341" t="s">
        <v>1454</v>
      </c>
      <c r="L24" s="1339" t="s">
        <v>1450</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1816"/>
      <c r="F25" s="26"/>
      <c r="G25" s="1849"/>
      <c r="H25" s="1328" t="s">
        <v>1028</v>
      </c>
      <c r="I25" s="1343" t="s">
        <v>1458</v>
      </c>
      <c r="J25" s="353">
        <f ca="1">J5-J16</f>
        <v>-26</v>
      </c>
      <c r="K25" s="1344" t="s">
        <v>1459</v>
      </c>
      <c r="L25" s="1345"/>
      <c r="M25" s="1346"/>
    </row>
    <row r="26" spans="1:37">
      <c r="A26" s="1200" t="s">
        <v>1031</v>
      </c>
      <c r="B26" s="345" t="s">
        <v>1460</v>
      </c>
      <c r="C26" s="24">
        <f ca="1">ROUND((C19+C20)*F26,0)</f>
        <v>102</v>
      </c>
      <c r="D26" s="367" t="s">
        <v>1461</v>
      </c>
      <c r="E26" s="356" t="s">
        <v>1462</v>
      </c>
      <c r="F26" s="355">
        <f ca="1">INDIRECT("'数据-取费表'!q"&amp;$G$1)</f>
        <v>0.12</v>
      </c>
      <c r="G26" s="1849"/>
      <c r="H26" s="342" t="s">
        <v>1029</v>
      </c>
      <c r="I26" s="343" t="s">
        <v>1463</v>
      </c>
      <c r="J26" s="344">
        <f ca="1">IF(J5&lt;&gt;0,ROUND(J25*(1-((1+M28)/(1+M26))^M27)/(M26-M28),0),0)</f>
        <v>0</v>
      </c>
      <c r="K26" s="368" t="s">
        <v>1464</v>
      </c>
      <c r="L26" s="345" t="s">
        <v>1465</v>
      </c>
      <c r="M26" s="355">
        <f ca="1">INDIRECT("'数据-取费表'!I"&amp;$G$1)</f>
        <v>5.5E-2</v>
      </c>
    </row>
    <row r="27" spans="1:37" ht="18" customHeight="1">
      <c r="A27" s="1200" t="s">
        <v>1033</v>
      </c>
      <c r="B27" s="345" t="s">
        <v>1466</v>
      </c>
      <c r="C27" s="24">
        <f ca="1">ROUND(F21*F26,4)</f>
        <v>2.3999999999999998E-3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1077</v>
      </c>
      <c r="D29" s="1341"/>
      <c r="E29" s="1339"/>
      <c r="F29" s="1342"/>
      <c r="G29" s="1852"/>
      <c r="H29" s="378" t="s">
        <v>1030</v>
      </c>
      <c r="I29" s="379" t="s">
        <v>1474</v>
      </c>
      <c r="J29" s="380">
        <f ca="1">ROUND(J26/(1+F40)^F41,0)</f>
        <v>0</v>
      </c>
      <c r="K29" s="381" t="s">
        <v>1475</v>
      </c>
      <c r="L29" s="382"/>
      <c r="M29" s="383">
        <f ca="1">INDIRECT("'数据-取费表'!k"&amp;$G$1)</f>
        <v>3144.63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66</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ROUND(IF(项目基本情况!B11="自然人",C5*F31,C32+C33+C34),1)</f>
        <v>42.8</v>
      </c>
      <c r="D31" s="1798" t="s">
        <v>1425</v>
      </c>
      <c r="E31" s="1796"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12.78</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29.28</v>
      </c>
      <c r="D33" s="1826" t="s">
        <v>3344</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0.69</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1383.75</v>
      </c>
      <c r="G35" s="1849"/>
      <c r="H35" s="743"/>
      <c r="I35" s="1858"/>
      <c r="J35" s="1859"/>
      <c r="K35" s="1860"/>
      <c r="L35" s="1857"/>
      <c r="M35" s="1857"/>
    </row>
    <row r="36" spans="1:18" ht="18" customHeight="1">
      <c r="A36" s="1351" t="s">
        <v>1036</v>
      </c>
      <c r="B36" s="345" t="s">
        <v>1444</v>
      </c>
      <c r="C36" s="24">
        <f ca="1">ROUND(C29*F36,1)</f>
        <v>16.2</v>
      </c>
      <c r="D36" s="1796"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1.6</v>
      </c>
      <c r="D37" s="1796" t="s">
        <v>1449</v>
      </c>
      <c r="E37" s="345" t="s">
        <v>1450</v>
      </c>
      <c r="F37" s="374">
        <f ca="1">INDIRECT("'数据-取费表'!Al"&amp;$G$1)</f>
        <v>1.5E-3</v>
      </c>
      <c r="G37" s="1849"/>
      <c r="H37" s="1857"/>
      <c r="I37" s="1858"/>
      <c r="J37" s="1859"/>
      <c r="K37" s="749"/>
      <c r="L37" s="1857"/>
      <c r="M37" s="1857"/>
    </row>
    <row r="38" spans="1:18" ht="18" customHeight="1" thickBot="1">
      <c r="A38" s="1338" t="s">
        <v>1388</v>
      </c>
      <c r="B38" s="1339" t="s">
        <v>1434</v>
      </c>
      <c r="C38" s="1340">
        <f ca="1">ROUND(C5*F38,1)</f>
        <v>4.9000000000000004</v>
      </c>
      <c r="D38" s="1341" t="s">
        <v>1454</v>
      </c>
      <c r="E38" s="1339" t="s">
        <v>1450</v>
      </c>
      <c r="F38" s="1335">
        <f ca="1">INDIRECT("'数据-取费表'!Am"&amp;$G$1)</f>
        <v>0.02</v>
      </c>
      <c r="G38" s="1849"/>
      <c r="H38" s="1857"/>
      <c r="I38" s="1858"/>
      <c r="J38" s="1859"/>
      <c r="K38" s="1863"/>
      <c r="L38" s="1857"/>
      <c r="M38" s="1857"/>
    </row>
    <row r="39" spans="1:18" ht="24.6" customHeight="1" thickTop="1">
      <c r="A39" s="1328" t="s">
        <v>1028</v>
      </c>
      <c r="B39" s="1343" t="s">
        <v>1478</v>
      </c>
      <c r="C39" s="353">
        <f ca="1">C5-C30</f>
        <v>178</v>
      </c>
      <c r="D39" s="1344" t="s">
        <v>1479</v>
      </c>
      <c r="E39" s="1345"/>
      <c r="F39" s="1346"/>
      <c r="G39" s="1849"/>
      <c r="H39" s="1857"/>
      <c r="I39" s="1858"/>
      <c r="J39" s="1859"/>
      <c r="K39" s="1863"/>
      <c r="L39" s="1857"/>
      <c r="M39" s="1857"/>
    </row>
    <row r="40" spans="1:18" ht="18" customHeight="1">
      <c r="A40" s="342" t="s">
        <v>1029</v>
      </c>
      <c r="B40" s="343" t="s">
        <v>1480</v>
      </c>
      <c r="C40" s="344">
        <f ca="1">ROUND(C39*(1-((1+F42)/(1+F40))^F41)/(F40-F42),0)</f>
        <v>3646</v>
      </c>
      <c r="D40" s="368" t="s">
        <v>1464</v>
      </c>
      <c r="E40" s="345" t="s">
        <v>1465</v>
      </c>
      <c r="F40" s="355">
        <f ca="1">INDIRECT("'数据-取费表'!I"&amp;$G$1)</f>
        <v>5.5E-2</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33.04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11594</v>
      </c>
      <c r="D43" s="381" t="s">
        <v>1483</v>
      </c>
      <c r="E43" s="382" t="s">
        <v>1484</v>
      </c>
      <c r="F43" s="383">
        <f ca="1">INDIRECT("'数据-取费表'!k"&amp;$G$1)</f>
        <v>3144.63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-5290</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0"/>
      <c r="I47" s="1878" t="s">
        <v>1521</v>
      </c>
      <c r="J47" s="1879" t="s">
        <v>3297</v>
      </c>
      <c r="K47" s="1880" t="s">
        <v>1522</v>
      </c>
      <c r="L47" s="1881">
        <f ca="1">INDIRECT("'数据-取费表'!d"&amp;$G$1)</f>
        <v>40</v>
      </c>
      <c r="M47" s="1836" t="str">
        <f>IF(ISNUMBER(FIND("住宅",C1)),"住宅","非住宅")</f>
        <v>非住宅</v>
      </c>
      <c r="O47" s="1882" t="s">
        <v>1037</v>
      </c>
      <c r="P47" s="1883" t="s">
        <v>1523</v>
      </c>
      <c r="Q47" s="1884">
        <f ca="1">C40+J29</f>
        <v>3646</v>
      </c>
      <c r="R47" s="1884" t="s">
        <v>1524</v>
      </c>
    </row>
    <row r="48" spans="1:18" s="1840" customFormat="1" ht="28.5" thickBot="1">
      <c r="A48" s="1359" t="s">
        <v>1132</v>
      </c>
      <c r="B48" s="343" t="s">
        <v>1396</v>
      </c>
      <c r="C48" s="1815">
        <f ca="1">C49+C53+C55</f>
        <v>0</v>
      </c>
      <c r="D48" s="1361"/>
      <c r="E48" s="1362"/>
      <c r="F48" s="1180"/>
      <c r="G48" s="790"/>
      <c r="H48" s="791"/>
      <c r="I48" s="1885" t="s">
        <v>1525</v>
      </c>
      <c r="J48" s="1886" t="s">
        <v>3343</v>
      </c>
      <c r="K48" s="1887" t="s">
        <v>1526</v>
      </c>
      <c r="L48" s="1888">
        <f ca="1">INDIRECT("'数据-取费表'!f"&amp;$G$1)</f>
        <v>34.94</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3028</v>
      </c>
      <c r="E49" s="1828" t="s">
        <v>1486</v>
      </c>
      <c r="F49" s="1280"/>
      <c r="G49" s="1889"/>
      <c r="H49" s="791"/>
      <c r="I49" s="1885" t="s">
        <v>1529</v>
      </c>
      <c r="J49" s="1890">
        <v>2010</v>
      </c>
      <c r="K49" s="1887" t="s">
        <v>1530</v>
      </c>
      <c r="L49" s="1891"/>
      <c r="O49" s="1892" t="s">
        <v>1039</v>
      </c>
      <c r="P49" s="1883" t="s">
        <v>1531</v>
      </c>
      <c r="Q49" s="1884">
        <f ca="1">C29</f>
        <v>1077</v>
      </c>
      <c r="R49" s="1884" t="s">
        <v>1524</v>
      </c>
    </row>
    <row r="50" spans="1:18" s="1840" customFormat="1" ht="13.5" thickBot="1">
      <c r="A50" s="1194"/>
      <c r="B50" s="1197"/>
      <c r="C50" s="1367"/>
      <c r="D50" s="1171"/>
      <c r="E50" s="1276" t="s">
        <v>1401</v>
      </c>
      <c r="F50" s="1277">
        <f ca="1">F7</f>
        <v>3144.63</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1503</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33.04</v>
      </c>
      <c r="R52" s="1884" t="s">
        <v>1541</v>
      </c>
    </row>
    <row r="53" spans="1:18" s="1840" customFormat="1" ht="24.75"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33.04</v>
      </c>
      <c r="K53" s="3271" t="s">
        <v>1543</v>
      </c>
      <c r="L53" s="3272"/>
      <c r="O53" s="1882" t="s">
        <v>1043</v>
      </c>
      <c r="P53" s="1883" t="s">
        <v>1544</v>
      </c>
      <c r="Q53" s="1884">
        <f ca="1">Q47+Q48</f>
        <v>3646</v>
      </c>
      <c r="R53" s="1884" t="s">
        <v>1044</v>
      </c>
    </row>
    <row r="54" spans="1:18" s="1840" customFormat="1" ht="13.5"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4">
        <f ca="1">C13</f>
        <v>1077</v>
      </c>
      <c r="D56" s="1912"/>
      <c r="E56" s="1913"/>
      <c r="F56" s="1905"/>
      <c r="I56" s="1914" t="s">
        <v>1549</v>
      </c>
      <c r="J56" s="1915" t="s">
        <v>3163</v>
      </c>
      <c r="K56" s="1885" t="s">
        <v>1550</v>
      </c>
      <c r="L56" s="1888" t="str">
        <f ca="1">IF(L48&lt;J51,"——",L48-J53)</f>
        <v>——</v>
      </c>
      <c r="O56" s="1882" t="s">
        <v>1037</v>
      </c>
      <c r="P56" s="1883" t="s">
        <v>1523</v>
      </c>
      <c r="Q56" s="1884">
        <f ca="1">C40+J29</f>
        <v>3646</v>
      </c>
      <c r="R56" s="1884" t="s">
        <v>1524</v>
      </c>
    </row>
    <row r="57" spans="1:18" s="1840" customFormat="1" ht="24.75" thickBot="1">
      <c r="A57" s="1916"/>
      <c r="B57" s="1168" t="s">
        <v>1473</v>
      </c>
      <c r="C57" s="280">
        <f ca="1">C29</f>
        <v>1077</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6" t="s">
        <v>1419</v>
      </c>
      <c r="C58" s="359">
        <f ca="1">ROUND(C59+C64+C65+C66,0)</f>
        <v>109</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91.2</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90.47</v>
      </c>
      <c r="D61" s="1826" t="s">
        <v>1433</v>
      </c>
      <c r="E61" s="1168" t="s">
        <v>1489</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0.69</v>
      </c>
      <c r="D62" s="1183" t="s">
        <v>1492</v>
      </c>
      <c r="E62" s="1168" t="s">
        <v>1493</v>
      </c>
      <c r="F62" s="369">
        <f t="shared" si="0"/>
        <v>5</v>
      </c>
      <c r="I62" s="1927" t="s">
        <v>1565</v>
      </c>
      <c r="J62" s="1928" t="s">
        <v>1566</v>
      </c>
      <c r="K62" s="1928" t="s">
        <v>1567</v>
      </c>
      <c r="L62" s="1928" t="s">
        <v>1568</v>
      </c>
      <c r="M62" s="1929" t="s">
        <v>1569</v>
      </c>
      <c r="O62" s="1882" t="s">
        <v>1043</v>
      </c>
      <c r="P62" s="1883" t="s">
        <v>1570</v>
      </c>
      <c r="Q62" s="1884">
        <f ca="1">Q56+Q57</f>
        <v>3646</v>
      </c>
      <c r="R62" s="1884" t="s">
        <v>1044</v>
      </c>
    </row>
    <row r="63" spans="1:18" s="1840" customFormat="1" ht="13.5" thickBot="1">
      <c r="A63" s="370"/>
      <c r="B63" s="1174"/>
      <c r="C63" s="29"/>
      <c r="D63" s="1184"/>
      <c r="E63" s="1168" t="s">
        <v>1494</v>
      </c>
      <c r="F63" s="346">
        <f t="shared" ca="1" si="0"/>
        <v>1383.75</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16.2</v>
      </c>
      <c r="D64" s="1182" t="s">
        <v>1497</v>
      </c>
      <c r="E64" s="1168" t="s">
        <v>1489</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1.6</v>
      </c>
      <c r="D65" s="1182" t="s">
        <v>1449</v>
      </c>
      <c r="E65" s="1168" t="s">
        <v>1450</v>
      </c>
      <c r="F65" s="374">
        <f t="shared" ca="1" si="0"/>
        <v>1.5E-3</v>
      </c>
      <c r="I65" s="1927" t="s">
        <v>1574</v>
      </c>
      <c r="J65" s="1928">
        <v>40</v>
      </c>
      <c r="K65" s="1928">
        <v>30</v>
      </c>
      <c r="L65" s="1928">
        <v>50</v>
      </c>
      <c r="M65" s="1930">
        <v>0.02</v>
      </c>
      <c r="O65" s="1882" t="s">
        <v>1037</v>
      </c>
      <c r="P65" s="1883" t="s">
        <v>1575</v>
      </c>
      <c r="Q65" s="1884">
        <f ca="1">C40+J29</f>
        <v>3646</v>
      </c>
      <c r="R65" s="1884" t="s">
        <v>1524</v>
      </c>
    </row>
    <row r="66" spans="1:18" s="1840" customFormat="1" ht="16.5" thickBot="1">
      <c r="A66" s="1200" t="s">
        <v>1499</v>
      </c>
      <c r="B66" s="1168" t="s">
        <v>1434</v>
      </c>
      <c r="C66" s="24">
        <f ca="1">ROUND(C48*F66,1)</f>
        <v>0</v>
      </c>
      <c r="D66" s="1182" t="s">
        <v>1500</v>
      </c>
      <c r="E66" s="1168" t="s">
        <v>1417</v>
      </c>
      <c r="F66" s="355">
        <f t="shared" ca="1" si="0"/>
        <v>0.02</v>
      </c>
      <c r="O66" s="1882" t="s">
        <v>1038</v>
      </c>
      <c r="P66" s="1883" t="s">
        <v>1553</v>
      </c>
      <c r="Q66" s="1884">
        <f ca="1">L60</f>
        <v>0</v>
      </c>
      <c r="R66" s="1884" t="s">
        <v>1576</v>
      </c>
    </row>
    <row r="67" spans="1:18" s="1840" customFormat="1" ht="16.5" thickBot="1">
      <c r="A67" s="1175" t="s">
        <v>1028</v>
      </c>
      <c r="B67" s="1185" t="s">
        <v>1458</v>
      </c>
      <c r="C67" s="359">
        <f ca="1">C48-C58</f>
        <v>-109</v>
      </c>
      <c r="D67" s="1181" t="s">
        <v>1459</v>
      </c>
      <c r="E67" s="1186"/>
      <c r="F67" s="1187"/>
      <c r="O67" s="1892" t="s">
        <v>1039</v>
      </c>
      <c r="P67" s="1883" t="s">
        <v>1557</v>
      </c>
      <c r="Q67" s="1931">
        <f ca="1">L51</f>
        <v>1503</v>
      </c>
      <c r="R67" s="1884" t="s">
        <v>1577</v>
      </c>
    </row>
    <row r="68" spans="1:18" s="1840" customFormat="1" ht="16.5" thickBot="1">
      <c r="A68" s="1165" t="s">
        <v>1029</v>
      </c>
      <c r="B68" s="1166" t="s">
        <v>1480</v>
      </c>
      <c r="C68" s="344">
        <f ca="1">ROUND(C67*(1-((1+F70)/(1+F68))^F69)/(F68-F70),0)</f>
        <v>-1644</v>
      </c>
      <c r="D68" s="1183" t="s">
        <v>1464</v>
      </c>
      <c r="E68" s="1168" t="s">
        <v>1465</v>
      </c>
      <c r="F68" s="355">
        <f ca="1">F40</f>
        <v>5.5E-2</v>
      </c>
      <c r="O68" s="1892" t="s">
        <v>1040</v>
      </c>
      <c r="P68" s="1932" t="s">
        <v>1578</v>
      </c>
      <c r="Q68" s="1884">
        <f ca="1">ROUND(Q69-Q70*Q71,0)</f>
        <v>92</v>
      </c>
      <c r="R68" s="1884" t="s">
        <v>1048</v>
      </c>
    </row>
    <row r="69" spans="1:18" s="1840" customFormat="1" ht="13.5" thickBot="1">
      <c r="A69" s="1169"/>
      <c r="B69" s="1170"/>
      <c r="C69" s="349"/>
      <c r="D69" s="1188" t="s">
        <v>1468</v>
      </c>
      <c r="E69" s="1168" t="s">
        <v>1469</v>
      </c>
      <c r="F69" s="377">
        <f ca="1">F41</f>
        <v>33.04</v>
      </c>
      <c r="O69" s="1892" t="s">
        <v>1045</v>
      </c>
      <c r="P69" s="1932" t="s">
        <v>1579</v>
      </c>
      <c r="Q69" s="1884">
        <f ca="1">C39</f>
        <v>178</v>
      </c>
      <c r="R69" s="1884" t="s">
        <v>1524</v>
      </c>
    </row>
    <row r="70" spans="1:18" s="1840" customFormat="1" ht="13.5" thickBot="1">
      <c r="A70" s="1172"/>
      <c r="B70" s="1173"/>
      <c r="C70" s="353"/>
      <c r="D70" s="1184"/>
      <c r="E70" s="1168" t="s">
        <v>1472</v>
      </c>
      <c r="F70" s="1274"/>
      <c r="O70" s="1892" t="s">
        <v>1046</v>
      </c>
      <c r="P70" s="1932" t="s">
        <v>1580</v>
      </c>
      <c r="Q70" s="1884">
        <f ca="1">C13</f>
        <v>1077</v>
      </c>
      <c r="R70" s="1884" t="s">
        <v>1524</v>
      </c>
    </row>
    <row r="71" spans="1:18" s="1840" customFormat="1" ht="13.5" thickBot="1">
      <c r="A71" s="1189" t="s">
        <v>1030</v>
      </c>
      <c r="B71" s="1190" t="s">
        <v>1482</v>
      </c>
      <c r="C71" s="380">
        <f ca="1">ROUND(C68*10000/F71,0)</f>
        <v>-5228</v>
      </c>
      <c r="D71" s="1191" t="s">
        <v>1483</v>
      </c>
      <c r="E71" s="1192" t="s">
        <v>1484</v>
      </c>
      <c r="F71" s="383">
        <f ca="1">F43</f>
        <v>3144.63</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4" t="s">
        <v>1501</v>
      </c>
      <c r="C75" s="385">
        <f ca="1">ROUND(C13*C76,0)</f>
        <v>86</v>
      </c>
      <c r="D75" s="1840"/>
      <c r="E75" s="1840"/>
      <c r="F75" s="1840"/>
      <c r="K75" s="1866"/>
      <c r="L75" s="1840"/>
      <c r="O75" s="1882" t="s">
        <v>1043</v>
      </c>
      <c r="P75" s="1883" t="s">
        <v>1544</v>
      </c>
      <c r="Q75" s="1884">
        <f ca="1">Q65+Q66</f>
        <v>3646</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0.51700000000000002</v>
      </c>
    </row>
    <row r="80" spans="1:18">
      <c r="B80" s="384" t="s">
        <v>1506</v>
      </c>
      <c r="C80" s="316">
        <f ca="1">ROUND(C75/C39,3)</f>
        <v>0.48299999999999998</v>
      </c>
    </row>
    <row r="81" spans="2:3">
      <c r="B81" s="312" t="s">
        <v>1507</v>
      </c>
      <c r="C81" s="280"/>
    </row>
    <row r="82" spans="2:3">
      <c r="B82" s="315" t="s">
        <v>1508</v>
      </c>
      <c r="C82" s="317">
        <f ca="1">1-C83</f>
        <v>0.70500000000000007</v>
      </c>
    </row>
    <row r="83" spans="2:3">
      <c r="B83" s="315" t="s">
        <v>1509</v>
      </c>
      <c r="C83" s="316">
        <f ca="1">ROUND(C13/C40,3)</f>
        <v>0.29499999999999998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c r="D1" s="1818"/>
      <c r="E1" s="1819" t="s">
        <v>1382</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6"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1">
        <f ca="1">C6+C10+C12</f>
        <v>0</v>
      </c>
      <c r="D5" s="1820" t="s">
        <v>1596</v>
      </c>
      <c r="E5" s="1292"/>
      <c r="F5" s="1293"/>
      <c r="G5" s="1849"/>
      <c r="H5" s="342">
        <v>1</v>
      </c>
      <c r="I5" s="343" t="s">
        <v>1595</v>
      </c>
      <c r="J5" s="1291">
        <f ca="1">J6+J10+J12</f>
        <v>0</v>
      </c>
      <c r="K5" s="1820" t="s">
        <v>1596</v>
      </c>
      <c r="L5" s="1292"/>
      <c r="M5" s="1293"/>
    </row>
    <row r="6" spans="1:37" ht="18" customHeight="1">
      <c r="A6" s="1290" t="s">
        <v>1032</v>
      </c>
      <c r="B6" s="3273" t="s">
        <v>1398</v>
      </c>
      <c r="C6" s="1295">
        <f ca="1">ROUND(F6*F8*F7*(1-F9),0)</f>
        <v>0</v>
      </c>
      <c r="D6" s="162" t="s">
        <v>3024</v>
      </c>
      <c r="E6" s="345" t="s">
        <v>1400</v>
      </c>
      <c r="F6" s="346">
        <f ca="1">INDIRECT("'数据-取费表'!u"&amp;$G$1)</f>
        <v>0</v>
      </c>
      <c r="G6" s="1849"/>
      <c r="H6" s="1290" t="s">
        <v>1032</v>
      </c>
      <c r="I6" s="3273" t="s">
        <v>1398</v>
      </c>
      <c r="J6" s="344">
        <f ca="1">ROUND(M6*M8*M7*(1-M9),0)</f>
        <v>0</v>
      </c>
      <c r="K6" s="1832" t="s">
        <v>3025</v>
      </c>
      <c r="L6" s="345" t="s">
        <v>1400</v>
      </c>
      <c r="M6" s="346">
        <f ca="1">INDIRECT("'数据-取费表'!z"&amp;$G$1)</f>
        <v>0</v>
      </c>
    </row>
    <row r="7" spans="1:37" ht="18" customHeight="1">
      <c r="A7" s="1294"/>
      <c r="B7" s="3274"/>
      <c r="C7" s="1296"/>
      <c r="D7" s="350"/>
      <c r="E7" s="1297" t="s">
        <v>1401</v>
      </c>
      <c r="F7" s="346">
        <f ca="1">IF(INDIRECT("'数据-取费表'!ah"&amp;$G$1)="",INDIRECT("'数据-取费表'!k"&amp;$G$1),INDIRECT("'数据-取费表'!ah"&amp;$G$1))</f>
        <v>0</v>
      </c>
      <c r="G7" s="1849"/>
      <c r="H7" s="347"/>
      <c r="I7" s="3274"/>
      <c r="J7" s="349"/>
      <c r="K7" s="350"/>
      <c r="L7" s="345" t="s">
        <v>1401</v>
      </c>
      <c r="M7" s="346">
        <f ca="1">F7</f>
        <v>0</v>
      </c>
    </row>
    <row r="8" spans="1:37" ht="18" customHeight="1">
      <c r="A8" s="347"/>
      <c r="B8" s="3274"/>
      <c r="C8" s="349"/>
      <c r="D8" s="350"/>
      <c r="E8" s="345" t="s">
        <v>1402</v>
      </c>
      <c r="F8" s="346">
        <f ca="1">INDIRECT("'数据-取费表'!ai"&amp;$G$1)</f>
        <v>0</v>
      </c>
      <c r="G8" s="1849"/>
      <c r="H8" s="347"/>
      <c r="I8" s="3274"/>
      <c r="J8" s="349"/>
      <c r="K8" s="350"/>
      <c r="L8" s="345" t="s">
        <v>1402</v>
      </c>
      <c r="M8" s="346">
        <f ca="1">INDIRECT("'数据-取费表'!ai"&amp;$G$1)</f>
        <v>0</v>
      </c>
    </row>
    <row r="9" spans="1:37" ht="18" customHeight="1">
      <c r="A9" s="347"/>
      <c r="B9" s="3275"/>
      <c r="C9" s="349"/>
      <c r="D9" s="350"/>
      <c r="E9" s="345" t="s">
        <v>1403</v>
      </c>
      <c r="F9" s="355">
        <f ca="1">INDIRECT("'数据-取费表'!w"&amp;$G$1)</f>
        <v>0</v>
      </c>
      <c r="G9" s="1849"/>
      <c r="H9" s="347"/>
      <c r="I9" s="3275"/>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c r="G10" s="1849"/>
      <c r="H10" s="1290" t="s">
        <v>1036</v>
      </c>
      <c r="I10" s="1821" t="s">
        <v>1404</v>
      </c>
      <c r="J10" s="344">
        <f ca="1">ROUND(IF(M10="押一",J6/12*M11,IF(M10="押二",J6/12*2*M11,IF(M10="押三",J6/12*3*M11,J11*M11))),0)</f>
        <v>0</v>
      </c>
      <c r="K10" s="1833" t="s">
        <v>3037</v>
      </c>
      <c r="L10" s="356" t="s">
        <v>1405</v>
      </c>
      <c r="M10" s="1365"/>
    </row>
    <row r="11" spans="1:37" ht="18" customHeight="1">
      <c r="A11" s="351"/>
      <c r="B11" s="1823" t="s">
        <v>1597</v>
      </c>
      <c r="C11" s="1177"/>
      <c r="D11" s="350"/>
      <c r="E11" s="356" t="s">
        <v>1407</v>
      </c>
      <c r="F11" s="357">
        <f ca="1">'数据-取费表'!B39</f>
        <v>1.4999999999999999E-2</v>
      </c>
      <c r="G11" s="1849"/>
      <c r="H11" s="1298"/>
      <c r="I11" s="1823" t="s">
        <v>1598</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5" t="s">
        <v>1412</v>
      </c>
      <c r="C14" s="361">
        <f ca="1">ROUND(INDIRECT("'数据-取费表'!l"&amp;$G$1)*F43+'数据-取费表'!L14*INDIRECT("'数据-取费表'!S"&amp;$G$1),0)</f>
        <v>0</v>
      </c>
      <c r="D14" s="1798" t="s">
        <v>1413</v>
      </c>
      <c r="E14" s="1792"/>
      <c r="F14" s="362"/>
      <c r="G14" s="1849"/>
      <c r="H14" s="1200" t="s">
        <v>1032</v>
      </c>
      <c r="I14" s="345" t="s">
        <v>1414</v>
      </c>
      <c r="J14" s="24">
        <f ca="1">C29</f>
        <v>0</v>
      </c>
      <c r="K14" s="15"/>
      <c r="L14" s="978"/>
      <c r="M14" s="979"/>
    </row>
    <row r="15" spans="1:37" s="1856" customFormat="1" ht="18" customHeight="1" thickBot="1">
      <c r="A15" s="1200" t="s">
        <v>1033</v>
      </c>
      <c r="B15" s="345" t="s">
        <v>1415</v>
      </c>
      <c r="C15" s="24">
        <f ca="1">ROUND(C14*F15,0)</f>
        <v>0</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ROUND(INDIRECT("'数据-取费表'!l"&amp;$G$1)*F43*F16,0)</f>
        <v>0</v>
      </c>
      <c r="D16" s="345" t="s">
        <v>1416</v>
      </c>
      <c r="E16" s="345" t="s">
        <v>1417</v>
      </c>
      <c r="F16" s="365">
        <f ca="1">IF(INDIRECT("'数据-取费表'!c"&amp;$G$1)="住宅",'数据-取费表'!B34,0)</f>
        <v>0</v>
      </c>
      <c r="G16" s="1849"/>
      <c r="H16" s="1328" t="s">
        <v>1027</v>
      </c>
      <c r="I16" s="1329" t="s">
        <v>1419</v>
      </c>
      <c r="J16" s="353">
        <f ca="1">ROUND(J17+J22+J23+J24,0)</f>
        <v>0</v>
      </c>
      <c r="K16" s="1336" t="s">
        <v>1420</v>
      </c>
      <c r="L16" s="1337"/>
      <c r="M16" s="1293"/>
    </row>
    <row r="17" spans="1:37" s="1856" customFormat="1" ht="18" customHeight="1">
      <c r="A17" s="1200" t="s">
        <v>1385</v>
      </c>
      <c r="B17" s="345" t="s">
        <v>1421</v>
      </c>
      <c r="C17" s="24">
        <f ca="1">ROUND(F17*(F43+INDIRECT("'数据-取费表'!S"&amp;$G$1)),0)</f>
        <v>0</v>
      </c>
      <c r="D17" s="345" t="s">
        <v>1422</v>
      </c>
      <c r="E17" s="345" t="s">
        <v>1423</v>
      </c>
      <c r="F17" s="26">
        <f>'数据-取费表'!B35</f>
        <v>200</v>
      </c>
      <c r="G17" s="1852"/>
      <c r="H17" s="1200" t="s">
        <v>1032</v>
      </c>
      <c r="I17" s="345" t="s">
        <v>1424</v>
      </c>
      <c r="J17" s="24">
        <f ca="1">ROUND(IF(项目基本情况!B11="自然人",J5*M17,J18+J19+J20),0)</f>
        <v>0</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0</v>
      </c>
      <c r="D18" s="345" t="s">
        <v>1416</v>
      </c>
      <c r="E18" s="345" t="s">
        <v>1417</v>
      </c>
      <c r="F18" s="365">
        <f>'数据-取费表'!B36</f>
        <v>1.4999999999999999E-2</v>
      </c>
      <c r="G18" s="1852"/>
      <c r="H18" s="1200" t="s">
        <v>1031</v>
      </c>
      <c r="I18" s="345" t="s">
        <v>1428</v>
      </c>
      <c r="J18" s="24">
        <f ca="1">ROUND(J5*M18/(1+'数据-取费表'!C42),0)</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0</v>
      </c>
      <c r="D19" s="138" t="s">
        <v>1431</v>
      </c>
      <c r="E19" s="1816"/>
      <c r="F19" s="26"/>
      <c r="G19" s="1849"/>
      <c r="H19" s="1200" t="s">
        <v>1033</v>
      </c>
      <c r="I19" s="345" t="s">
        <v>1432</v>
      </c>
      <c r="J19" s="24">
        <f ca="1">IF(K19="按租金收入计税",ROUND(J5*M19,0),ROUND(C29*M19*0.7,0))</f>
        <v>0</v>
      </c>
      <c r="K19" s="1826" t="s">
        <v>1433</v>
      </c>
      <c r="L19" s="345" t="s">
        <v>1417</v>
      </c>
      <c r="M19" s="365">
        <f>IF(K19="按租金收入计税",'数据-取费表'!B51,'数据-取费表'!B50)</f>
        <v>1.2E-2</v>
      </c>
    </row>
    <row r="20" spans="1:37" s="1856" customFormat="1" ht="18" customHeight="1">
      <c r="A20" s="1200" t="s">
        <v>1036</v>
      </c>
      <c r="B20" s="345" t="s">
        <v>1434</v>
      </c>
      <c r="C20" s="24">
        <f ca="1">ROUND(C19*F20,0)</f>
        <v>0</v>
      </c>
      <c r="D20" s="367" t="s">
        <v>1435</v>
      </c>
      <c r="E20" s="345" t="s">
        <v>1417</v>
      </c>
      <c r="F20" s="365">
        <f>'数据-取费表'!B37</f>
        <v>0.02</v>
      </c>
      <c r="G20" s="1852"/>
      <c r="H20" s="1200" t="s">
        <v>1384</v>
      </c>
      <c r="I20" s="162" t="s">
        <v>1436</v>
      </c>
      <c r="J20" s="25">
        <f ca="1">ROUND(M20*M21,0)</f>
        <v>0</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ROUND(J14*M22,0)</f>
        <v>0</v>
      </c>
      <c r="K22" s="1796" t="s">
        <v>1445</v>
      </c>
      <c r="L22" s="345" t="s">
        <v>1417</v>
      </c>
      <c r="M22" s="372">
        <f ca="1">INDIRECT("'数据-取费表'!Ak"&amp;$G$1)</f>
        <v>0</v>
      </c>
    </row>
    <row r="23" spans="1:37" s="1856" customFormat="1" ht="18" customHeight="1">
      <c r="A23" s="1200"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5" t="s">
        <v>1456</v>
      </c>
      <c r="C25" s="24"/>
      <c r="D25" s="138" t="s">
        <v>1457</v>
      </c>
      <c r="E25" s="1816"/>
      <c r="F25" s="26"/>
      <c r="G25" s="1849"/>
      <c r="H25" s="1328" t="s">
        <v>1028</v>
      </c>
      <c r="I25" s="1343" t="s">
        <v>1458</v>
      </c>
      <c r="J25" s="353">
        <f ca="1">J5-J16</f>
        <v>0</v>
      </c>
      <c r="K25" s="1344" t="s">
        <v>1459</v>
      </c>
      <c r="L25" s="1345"/>
      <c r="M25" s="1346"/>
    </row>
    <row r="26" spans="1:37" ht="18" customHeight="1">
      <c r="A26" s="1200"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200"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0</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ROUND(IF(项目基本情况!B11="自然人",C5*F31,C32+C33+C34),0)</f>
        <v>0</v>
      </c>
      <c r="D31" s="1798" t="s">
        <v>1425</v>
      </c>
      <c r="E31" s="1796" t="s">
        <v>1476</v>
      </c>
      <c r="F31" s="366">
        <f ca="1">IF(项目基本情况!B11="企业","",IF(INDIRECT("'数据-取费表'!c"&amp;$G$1)="住宅",5%,IF(F6*F7*F8/12/(1+'数据-取费表'!C42)&gt;20000,12%,7%)))</f>
        <v>7.0000000000000007E-2</v>
      </c>
      <c r="G31" s="1849"/>
      <c r="H31" s="743"/>
      <c r="I31" s="744"/>
      <c r="J31" s="745"/>
      <c r="K31" s="746"/>
      <c r="L31" s="747"/>
      <c r="M31" s="748"/>
    </row>
    <row r="32" spans="1:37" ht="18" customHeight="1">
      <c r="A32" s="1200" t="s">
        <v>1031</v>
      </c>
      <c r="B32" s="345" t="s">
        <v>1428</v>
      </c>
      <c r="C32" s="24">
        <f ca="1">IF(项目基本情况!B11="自然人","——",ROUND(C5*F32/(1+'数据-取费表'!C42),0))</f>
        <v>0</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90" t="s">
        <v>1384</v>
      </c>
      <c r="B34" s="162" t="s">
        <v>1436</v>
      </c>
      <c r="C34" s="25">
        <f ca="1">IF(项目基本情况!B11="自然人","——",ROUND(F34*F35,))</f>
        <v>0</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0</v>
      </c>
      <c r="G35" s="1849"/>
      <c r="H35" s="743"/>
      <c r="I35" s="1858"/>
      <c r="J35" s="1859"/>
      <c r="K35" s="1860"/>
      <c r="L35" s="1857"/>
      <c r="M35" s="1857"/>
    </row>
    <row r="36" spans="1:18" ht="18" customHeight="1">
      <c r="A36" s="1351"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200"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3">
        <f ca="1">C5-C30</f>
        <v>0</v>
      </c>
      <c r="D39" s="1344" t="s">
        <v>1479</v>
      </c>
      <c r="E39" s="1345"/>
      <c r="F39" s="1346"/>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3" t="s">
        <v>1396</v>
      </c>
      <c r="C48" s="1815">
        <f ca="1">C49+C53+C55</f>
        <v>0</v>
      </c>
      <c r="D48" s="1361"/>
      <c r="E48" s="1362"/>
      <c r="F48" s="1180"/>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1"/>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30.75" customHeight="1" thickBot="1">
      <c r="A53" s="1360" t="s">
        <v>1134</v>
      </c>
      <c r="B53" s="367" t="s">
        <v>1404</v>
      </c>
      <c r="C53" s="359">
        <f ca="1">ROUND(IF(F53="押一",C49/12*F11,IF(F53="押二",C49/12*2*F11,IF(F53="押三",C49/12*3*F11,C54*F11))),0)</f>
        <v>0</v>
      </c>
      <c r="D53" s="1822" t="s">
        <v>3038</v>
      </c>
      <c r="E53" s="356"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271" t="s">
        <v>1543</v>
      </c>
      <c r="L53" s="3272"/>
      <c r="O53" s="1882" t="s">
        <v>1043</v>
      </c>
      <c r="P53" s="1883" t="s">
        <v>1544</v>
      </c>
      <c r="Q53" s="1884" t="e">
        <f ca="1">Q47+Q48</f>
        <v>#DIV/0!</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#DIV/0!</v>
      </c>
      <c r="K55" s="1910" t="s">
        <v>1547</v>
      </c>
      <c r="L55" s="1911"/>
      <c r="O55" s="1875" t="s">
        <v>1517</v>
      </c>
      <c r="P55" s="1876" t="s">
        <v>1518</v>
      </c>
      <c r="Q55" s="1877" t="s">
        <v>1519</v>
      </c>
      <c r="R55" s="1877" t="s">
        <v>1520</v>
      </c>
    </row>
    <row r="56" spans="1:18" s="1840" customFormat="1" ht="36" customHeight="1" thickTop="1" thickBot="1">
      <c r="A56" s="1175">
        <v>2</v>
      </c>
      <c r="B56" s="1176" t="s">
        <v>1409</v>
      </c>
      <c r="C56" s="274">
        <f ca="1">C13</f>
        <v>0</v>
      </c>
      <c r="D56" s="1912"/>
      <c r="E56" s="1913"/>
      <c r="F56" s="1905"/>
      <c r="I56" s="1914" t="s">
        <v>1549</v>
      </c>
      <c r="J56" s="1915"/>
      <c r="K56" s="1885" t="s">
        <v>1550</v>
      </c>
      <c r="L56" s="1888">
        <f ca="1">IF(L48&lt;J51,"——",L48-J51)</f>
        <v>0</v>
      </c>
      <c r="O56" s="1882" t="s">
        <v>1037</v>
      </c>
      <c r="P56" s="1883" t="s">
        <v>1523</v>
      </c>
      <c r="Q56" s="1884" t="e">
        <f ca="1">C40+J29</f>
        <v>#DIV/0!</v>
      </c>
      <c r="R56" s="1884" t="s">
        <v>1524</v>
      </c>
    </row>
    <row r="57" spans="1:18" s="1840" customFormat="1" ht="24.75" thickBot="1">
      <c r="A57" s="1916"/>
      <c r="B57" s="1168" t="s">
        <v>1473</v>
      </c>
      <c r="C57" s="280">
        <f ca="1">C29</f>
        <v>0</v>
      </c>
      <c r="D57" s="1917"/>
      <c r="E57" s="1918"/>
      <c r="F57" s="1919"/>
      <c r="I57" s="1920" t="s">
        <v>1551</v>
      </c>
      <c r="J57" s="1921">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8" t="s">
        <v>1027</v>
      </c>
      <c r="B58" s="1176" t="s">
        <v>1419</v>
      </c>
      <c r="C58" s="359">
        <f ca="1">ROUND(C59+C64+C65+C66,0)</f>
        <v>0</v>
      </c>
      <c r="D58" s="1178" t="s">
        <v>1420</v>
      </c>
      <c r="E58" s="1179"/>
      <c r="F58" s="1180"/>
      <c r="I58" s="1920" t="s">
        <v>1555</v>
      </c>
      <c r="J58" s="1922"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6">
        <f ca="1">IF(项目基本情况!B11="企业","",IF(INDIRECT("'数据-取费表'!c"&amp;$G$1)="住宅",5%,IF(F49*F50*F51/12/(1+'数据-取费表'!C42)&gt;20000,12%,7%)))</f>
        <v>7.0000000000000007E-2</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5">
        <f t="shared" ref="F60:F66" si="0">F32</f>
        <v>5.5000000000000007E-2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5">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69">
        <f t="shared" si="0"/>
        <v>5</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0"/>
      <c r="B63" s="1174"/>
      <c r="C63" s="29"/>
      <c r="D63" s="1184"/>
      <c r="E63" s="1168" t="s">
        <v>1494</v>
      </c>
      <c r="F63" s="346">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0</v>
      </c>
      <c r="D64" s="1182" t="s">
        <v>1497</v>
      </c>
      <c r="E64" s="1168" t="s">
        <v>1489</v>
      </c>
      <c r="F64" s="372">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4">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5">
        <f t="shared" ca="1" si="0"/>
        <v>0</v>
      </c>
      <c r="O66" s="1882" t="s">
        <v>1038</v>
      </c>
      <c r="P66" s="1883" t="s">
        <v>1553</v>
      </c>
      <c r="Q66" s="1884" t="e">
        <f ca="1">L60</f>
        <v>#DIV/0!</v>
      </c>
      <c r="R66" s="1884" t="s">
        <v>1576</v>
      </c>
    </row>
    <row r="67" spans="1:18" s="1840" customFormat="1" ht="16.5" thickBot="1">
      <c r="A67" s="1175" t="s">
        <v>1028</v>
      </c>
      <c r="B67" s="1185" t="s">
        <v>1458</v>
      </c>
      <c r="C67" s="359">
        <f ca="1">C48-C58</f>
        <v>0</v>
      </c>
      <c r="D67" s="1181" t="s">
        <v>1459</v>
      </c>
      <c r="E67" s="1186"/>
      <c r="F67" s="1187"/>
      <c r="O67" s="1892" t="s">
        <v>1039</v>
      </c>
      <c r="P67" s="1883" t="s">
        <v>1557</v>
      </c>
      <c r="Q67" s="1931">
        <f ca="1">L51</f>
        <v>0</v>
      </c>
      <c r="R67" s="1884" t="s">
        <v>1577</v>
      </c>
    </row>
    <row r="68" spans="1:18" s="1840" customFormat="1" ht="16.5" thickBot="1">
      <c r="A68" s="1165" t="s">
        <v>1029</v>
      </c>
      <c r="B68" s="1166" t="s">
        <v>1480</v>
      </c>
      <c r="C68" s="344" t="e">
        <f ca="1">ROUND(C67*(1-((1+F70)/(1+F68))^F69)/(F68-F70),0)</f>
        <v>#DIV/0!</v>
      </c>
      <c r="D68" s="1183" t="s">
        <v>1464</v>
      </c>
      <c r="E68" s="1168" t="s">
        <v>1465</v>
      </c>
      <c r="F68" s="355">
        <f ca="1">F40</f>
        <v>0</v>
      </c>
      <c r="O68" s="1892" t="s">
        <v>1040</v>
      </c>
      <c r="P68" s="1932" t="s">
        <v>1578</v>
      </c>
      <c r="Q68" s="1884">
        <f ca="1">ROUND(Q69-Q70*Q71,0)</f>
        <v>0</v>
      </c>
      <c r="R68" s="1884" t="s">
        <v>1048</v>
      </c>
    </row>
    <row r="69" spans="1:18" s="1840" customFormat="1" ht="13.5" thickBot="1">
      <c r="A69" s="1169"/>
      <c r="B69" s="1170"/>
      <c r="C69" s="349"/>
      <c r="D69" s="1188" t="s">
        <v>1468</v>
      </c>
      <c r="E69" s="1168" t="s">
        <v>1469</v>
      </c>
      <c r="F69" s="377">
        <f ca="1">F41</f>
        <v>0</v>
      </c>
      <c r="O69" s="1892" t="s">
        <v>1045</v>
      </c>
      <c r="P69" s="1932" t="s">
        <v>1579</v>
      </c>
      <c r="Q69" s="1884">
        <f ca="1">C39</f>
        <v>0</v>
      </c>
      <c r="R69" s="1884" t="s">
        <v>1524</v>
      </c>
    </row>
    <row r="70" spans="1:18" s="1840" customFormat="1" ht="13.5" thickBot="1">
      <c r="A70" s="1172"/>
      <c r="B70" s="1173"/>
      <c r="C70" s="353"/>
      <c r="D70" s="1184"/>
      <c r="E70" s="1168" t="s">
        <v>1472</v>
      </c>
      <c r="F70" s="1274">
        <f ca="1">F42</f>
        <v>0</v>
      </c>
      <c r="O70" s="1892" t="s">
        <v>1046</v>
      </c>
      <c r="P70" s="1932" t="s">
        <v>1580</v>
      </c>
      <c r="Q70" s="1884">
        <f ca="1">C13</f>
        <v>0</v>
      </c>
      <c r="R70" s="1884" t="s">
        <v>1524</v>
      </c>
    </row>
    <row r="71" spans="1:18" s="1840" customFormat="1" ht="13.5" thickBot="1">
      <c r="A71" s="1189" t="s">
        <v>1030</v>
      </c>
      <c r="B71" s="1190" t="s">
        <v>1482</v>
      </c>
      <c r="C71" s="380" t="e">
        <f ca="1">ROUND(C68/F71,0)</f>
        <v>#DIV/0!</v>
      </c>
      <c r="D71" s="1191" t="s">
        <v>1483</v>
      </c>
      <c r="E71" s="1192" t="s">
        <v>1484</v>
      </c>
      <c r="F71" s="383">
        <f ca="1">F43</f>
        <v>0</v>
      </c>
      <c r="O71" s="1892" t="s">
        <v>1047</v>
      </c>
      <c r="P71" s="1932"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2519</v>
      </c>
      <c r="B1" s="2556"/>
      <c r="C1" s="2556"/>
      <c r="D1" s="2556"/>
      <c r="E1" s="2557"/>
    </row>
    <row r="2" spans="1:6" ht="15.75">
      <c r="A2" s="2558" t="s">
        <v>2323</v>
      </c>
      <c r="B2" s="2559">
        <f ca="1">SUMIF(B6:B13,"&lt;&gt;#ref!",B6:B13)</f>
        <v>20975</v>
      </c>
      <c r="C2" s="2560" t="s">
        <v>2512</v>
      </c>
      <c r="D2" s="2561" t="s">
        <v>2513</v>
      </c>
      <c r="E2" s="2562">
        <f>SUM(E6:E13)</f>
        <v>83794.28</v>
      </c>
    </row>
    <row r="3" spans="1:6" ht="15.75">
      <c r="A3" s="2558" t="s">
        <v>1390</v>
      </c>
      <c r="B3" s="2559">
        <f ca="1">ROUND(B2*10000/E2,0)</f>
        <v>2503</v>
      </c>
      <c r="C3" s="2560" t="s">
        <v>2520</v>
      </c>
      <c r="D3" s="2563"/>
      <c r="E3" s="2564"/>
    </row>
    <row r="4" spans="1:6" ht="15.75">
      <c r="A4" s="2565"/>
      <c r="B4" s="2563"/>
      <c r="C4" s="2563"/>
      <c r="D4" s="2563"/>
      <c r="E4" s="2564"/>
    </row>
    <row r="5" spans="1:6" ht="15">
      <c r="A5" s="2566" t="s">
        <v>2514</v>
      </c>
      <c r="B5" s="3276" t="s">
        <v>2515</v>
      </c>
      <c r="C5" s="3276"/>
      <c r="D5" s="2567"/>
      <c r="E5" s="2568" t="s">
        <v>2516</v>
      </c>
      <c r="F5" s="2569" t="s">
        <v>2517</v>
      </c>
    </row>
    <row r="6" spans="1:6">
      <c r="A6" s="2570">
        <f>'数据-取费表'!AN6</f>
        <v>0</v>
      </c>
      <c r="B6" s="2569" t="e">
        <f ca="1">IF(F6="是",'数据-取费表'!AO6,0)</f>
        <v>#REF!</v>
      </c>
      <c r="C6" s="2560" t="s">
        <v>2512</v>
      </c>
      <c r="D6" s="2563"/>
      <c r="E6" s="2571">
        <f>IF(OR(A6=0,F6="否"),0,'数据-取费表'!K6+'数据-取费表'!S6)</f>
        <v>0</v>
      </c>
      <c r="F6" s="2572" t="s">
        <v>2518</v>
      </c>
    </row>
    <row r="7" spans="1:6">
      <c r="A7" s="2570">
        <f>'数据-取费表'!AN7</f>
        <v>0</v>
      </c>
      <c r="B7" s="2569" t="e">
        <f ca="1">IF(F7="是",'数据-取费表'!AO7,0)</f>
        <v>#REF!</v>
      </c>
      <c r="C7" s="2560" t="s">
        <v>2512</v>
      </c>
      <c r="D7" s="2563"/>
      <c r="E7" s="2571">
        <f>IF(OR(A7=0,F7="否"),0,'数据-取费表'!K7+'数据-取费表'!S7)</f>
        <v>0</v>
      </c>
      <c r="F7" s="2572" t="s">
        <v>2518</v>
      </c>
    </row>
    <row r="8" spans="1:6">
      <c r="A8" s="2570" t="str">
        <f>'数据-取费表'!AN8</f>
        <v>收益法</v>
      </c>
      <c r="B8" s="2569">
        <f ca="1">IF(F8="是",'数据-取费表'!AO8,0)</f>
        <v>3646</v>
      </c>
      <c r="C8" s="2560" t="s">
        <v>2512</v>
      </c>
      <c r="D8" s="2563"/>
      <c r="E8" s="2571">
        <f>IF(OR(A8=0,F8="否"),0,'数据-取费表'!K8+'数据-取费表'!S8)</f>
        <v>3643.06</v>
      </c>
      <c r="F8" s="2572" t="s">
        <v>2518</v>
      </c>
    </row>
    <row r="9" spans="1:6">
      <c r="A9" s="2570" t="str">
        <f>'数据-取费表'!AN9</f>
        <v>收益法车</v>
      </c>
      <c r="B9" s="2569">
        <f ca="1">IF(F9="是",'数据-取费表'!AO9,0)</f>
        <v>17329</v>
      </c>
      <c r="C9" s="2560" t="s">
        <v>2512</v>
      </c>
      <c r="D9" s="2563"/>
      <c r="E9" s="2571">
        <f>IF(OR(A9=0,F9="否"),0,'数据-取费表'!K9+'数据-取费表'!S9)</f>
        <v>80151.22</v>
      </c>
      <c r="F9" s="2572" t="s">
        <v>2518</v>
      </c>
    </row>
    <row r="10" spans="1:6">
      <c r="A10" s="2570">
        <f>'数据-取费表'!AN10</f>
        <v>0</v>
      </c>
      <c r="B10" s="2569" t="e">
        <f ca="1">IF(F10="是",'数据-取费表'!AO10,0)</f>
        <v>#REF!</v>
      </c>
      <c r="C10" s="2560" t="s">
        <v>2512</v>
      </c>
      <c r="D10" s="2563"/>
      <c r="E10" s="2571">
        <f>IF(OR(A10=0,F10="否"),0,'数据-取费表'!K10+'数据-取费表'!S10)</f>
        <v>0</v>
      </c>
      <c r="F10" s="2572" t="s">
        <v>2518</v>
      </c>
    </row>
    <row r="11" spans="1:6">
      <c r="A11" s="2570">
        <f>'数据-取费表'!AN11</f>
        <v>0</v>
      </c>
      <c r="B11" s="2569" t="e">
        <f ca="1">IF(F11="是",'数据-取费表'!AO11,0)</f>
        <v>#REF!</v>
      </c>
      <c r="C11" s="2560" t="s">
        <v>2512</v>
      </c>
      <c r="D11" s="2563"/>
      <c r="E11" s="2571">
        <f>IF(OR(A11=0,F11="否"),0,'数据-取费表'!K11+'数据-取费表'!S11)</f>
        <v>0</v>
      </c>
      <c r="F11" s="2572" t="s">
        <v>2518</v>
      </c>
    </row>
    <row r="12" spans="1:6">
      <c r="A12" s="2570">
        <f>'数据-取费表'!AN12</f>
        <v>0</v>
      </c>
      <c r="B12" s="2569" t="e">
        <f ca="1">IF(F12="是",'数据-取费表'!AO12,0)</f>
        <v>#REF!</v>
      </c>
      <c r="C12" s="2560" t="s">
        <v>2512</v>
      </c>
      <c r="D12" s="2563"/>
      <c r="E12" s="2571">
        <f>IF(OR(A12=0,F12="否"),0,'数据-取费表'!K12+'数据-取费表'!S12)</f>
        <v>0</v>
      </c>
      <c r="F12" s="2572" t="s">
        <v>2518</v>
      </c>
    </row>
    <row r="13" spans="1:6" ht="15" thickBot="1">
      <c r="A13" s="2573">
        <f>'数据-取费表'!AN13</f>
        <v>0</v>
      </c>
      <c r="B13" s="2569" t="e">
        <f ca="1">IF(F13="是",'数据-取费表'!AO13,0)</f>
        <v>#REF!</v>
      </c>
      <c r="C13" s="2574" t="s">
        <v>2512</v>
      </c>
      <c r="D13" s="2575"/>
      <c r="E13" s="2571">
        <f>IF(OR(A13=0,F13="否"),0,'数据-取费表'!K13+'数据-取费表'!S13)</f>
        <v>0</v>
      </c>
      <c r="F13" s="2572"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华澳信托：</v>
      </c>
    </row>
    <row r="4" spans="1:1" ht="54">
      <c r="A4" s="1946" t="str">
        <f>"受贵公司委托，我公司对"&amp;项目基本情况!S1&amp;"进行了预评估。"</f>
        <v>受贵公司委托，我公司对陕西省陕西省西安市泾阳县高庄镇费家崖村香榭庄园项目部分住宅用房出让国有建设用地使用权及在建建筑物房地产抵押价值进行了预评估。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陕西省西安市泾阳县高庄镇费家崖村香榭庄园项目部分住宅用房出让国有建设用地使用权及在建建筑物房地产，为所有。根据《国有土地使用证》[]，估价对象（分摊）出让国有建设用地使用权面积为102537.74平方米，建筑面积为269955.14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102537.74平方米，规划建筑面积为269955.14平方米。</v>
      </c>
    </row>
    <row r="11" spans="1:1" ht="76.5">
      <c r="A11" s="1949" t="s">
        <v>1611</v>
      </c>
    </row>
    <row r="12" spans="1:1" ht="18.75">
      <c r="A12" s="1947" t="s">
        <v>1612</v>
      </c>
    </row>
    <row r="13" spans="1:1" ht="38.25" customHeight="1">
      <c r="A13" s="1950" t="str">
        <f>IF(项目基本情况!B8="抵押",IF(项目基本情况!B5=项目基本情况!B6,定义!C51,定义!B51),定义!D51)</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2019年1月28日（评估专业人员实地查勘之日）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7" t="s">
        <v>1073</v>
      </c>
      <c r="B1" s="3278"/>
      <c r="C1" s="3279"/>
      <c r="D1" s="3280">
        <f>SUM(I10,I15,I20,I21,I23)</f>
        <v>0</v>
      </c>
      <c r="E1" s="3280"/>
      <c r="F1" s="3280"/>
      <c r="G1" s="3280"/>
      <c r="H1" s="3280"/>
      <c r="I1" s="3281"/>
    </row>
    <row r="2" spans="1:9">
      <c r="A2" s="3282" t="s">
        <v>1074</v>
      </c>
      <c r="B2" s="3283" t="s">
        <v>1075</v>
      </c>
      <c r="C2" s="3283"/>
      <c r="D2" s="1300" t="s">
        <v>1076</v>
      </c>
      <c r="E2" s="1300" t="s">
        <v>1077</v>
      </c>
      <c r="F2" s="1300" t="s">
        <v>1078</v>
      </c>
      <c r="G2" s="1300" t="s">
        <v>1079</v>
      </c>
      <c r="H2" s="1300" t="s">
        <v>1080</v>
      </c>
      <c r="I2" s="1301" t="s">
        <v>1081</v>
      </c>
    </row>
    <row r="3" spans="1:9">
      <c r="A3" s="3282"/>
      <c r="B3" s="3283" t="s">
        <v>1082</v>
      </c>
      <c r="C3" s="3283"/>
      <c r="D3" s="1302"/>
      <c r="E3" s="1300"/>
      <c r="F3" s="1303"/>
      <c r="G3" s="1303"/>
      <c r="H3" s="1304"/>
      <c r="I3" s="1305">
        <f>ROUND(D3*E3*F3*G3*H3/10000,0)</f>
        <v>0</v>
      </c>
    </row>
    <row r="4" spans="1:9">
      <c r="A4" s="3282"/>
      <c r="B4" s="3283" t="s">
        <v>1083</v>
      </c>
      <c r="C4" s="3283"/>
      <c r="D4" s="1302"/>
      <c r="E4" s="1300"/>
      <c r="F4" s="1303"/>
      <c r="G4" s="1303"/>
      <c r="H4" s="1304"/>
      <c r="I4" s="1305">
        <f t="shared" ref="I4:I9" si="0">ROUND(D4*E4*F4*G4*H4/10000,0)</f>
        <v>0</v>
      </c>
    </row>
    <row r="5" spans="1:9">
      <c r="A5" s="3282"/>
      <c r="B5" s="3283" t="s">
        <v>1084</v>
      </c>
      <c r="C5" s="3283"/>
      <c r="D5" s="1302"/>
      <c r="E5" s="1300"/>
      <c r="F5" s="1303"/>
      <c r="G5" s="1303"/>
      <c r="H5" s="1304"/>
      <c r="I5" s="1305">
        <f t="shared" si="0"/>
        <v>0</v>
      </c>
    </row>
    <row r="6" spans="1:9">
      <c r="A6" s="3282"/>
      <c r="B6" s="3283" t="s">
        <v>1085</v>
      </c>
      <c r="C6" s="3283"/>
      <c r="D6" s="1302"/>
      <c r="E6" s="1300"/>
      <c r="F6" s="1303"/>
      <c r="G6" s="1303"/>
      <c r="H6" s="1304"/>
      <c r="I6" s="1305">
        <f t="shared" si="0"/>
        <v>0</v>
      </c>
    </row>
    <row r="7" spans="1:9">
      <c r="A7" s="3282"/>
      <c r="B7" s="3283" t="s">
        <v>1086</v>
      </c>
      <c r="C7" s="3283"/>
      <c r="D7" s="1302"/>
      <c r="E7" s="1300"/>
      <c r="F7" s="1303"/>
      <c r="G7" s="1303"/>
      <c r="H7" s="1304"/>
      <c r="I7" s="1305">
        <f t="shared" si="0"/>
        <v>0</v>
      </c>
    </row>
    <row r="8" spans="1:9">
      <c r="A8" s="3282"/>
      <c r="B8" s="3283" t="s">
        <v>1087</v>
      </c>
      <c r="C8" s="3283"/>
      <c r="D8" s="1302"/>
      <c r="E8" s="1300"/>
      <c r="F8" s="1303"/>
      <c r="G8" s="1303"/>
      <c r="H8" s="1304"/>
      <c r="I8" s="1305">
        <f t="shared" si="0"/>
        <v>0</v>
      </c>
    </row>
    <row r="9" spans="1:9">
      <c r="A9" s="3282"/>
      <c r="B9" s="3283" t="s">
        <v>1088</v>
      </c>
      <c r="C9" s="3283"/>
      <c r="D9" s="1302"/>
      <c r="E9" s="1300"/>
      <c r="F9" s="1303"/>
      <c r="G9" s="1303"/>
      <c r="H9" s="1304"/>
      <c r="I9" s="1305">
        <f t="shared" si="0"/>
        <v>0</v>
      </c>
    </row>
    <row r="10" spans="1:9">
      <c r="A10" s="3282"/>
      <c r="B10" s="3284" t="s">
        <v>1089</v>
      </c>
      <c r="C10" s="3284"/>
      <c r="D10" s="1306"/>
      <c r="E10" s="1306" t="e">
        <f>ROUND(D1*10000/D10/H9,0)</f>
        <v>#DIV/0!</v>
      </c>
      <c r="F10" s="1307"/>
      <c r="G10" s="1307"/>
      <c r="H10" s="1308"/>
      <c r="I10" s="1309">
        <f>SUM(I3:I9)</f>
        <v>0</v>
      </c>
    </row>
    <row r="11" spans="1:9" ht="14.25">
      <c r="A11" s="3282" t="s">
        <v>1090</v>
      </c>
      <c r="B11" s="3283" t="s">
        <v>1091</v>
      </c>
      <c r="C11" s="3283"/>
      <c r="D11" s="1302" t="s">
        <v>1092</v>
      </c>
      <c r="E11" s="1302" t="s">
        <v>1093</v>
      </c>
      <c r="F11" s="1303" t="s">
        <v>1094</v>
      </c>
      <c r="G11" s="1303" t="s">
        <v>1080</v>
      </c>
      <c r="H11" s="1310" t="s">
        <v>1095</v>
      </c>
      <c r="I11" s="1301" t="s">
        <v>1081</v>
      </c>
    </row>
    <row r="12" spans="1:9">
      <c r="A12" s="3282"/>
      <c r="B12" s="3283" t="s">
        <v>1096</v>
      </c>
      <c r="C12" s="3283"/>
      <c r="D12" s="1302"/>
      <c r="E12" s="1302"/>
      <c r="F12" s="1303"/>
      <c r="G12" s="1304"/>
      <c r="H12" s="1311"/>
      <c r="I12" s="1301">
        <f>ROUND(D12*E12*F12*G12/10000,0)</f>
        <v>0</v>
      </c>
    </row>
    <row r="13" spans="1:9">
      <c r="A13" s="3282"/>
      <c r="B13" s="3283" t="s">
        <v>1097</v>
      </c>
      <c r="C13" s="3283"/>
      <c r="D13" s="1302"/>
      <c r="E13" s="1302"/>
      <c r="F13" s="1303"/>
      <c r="G13" s="1304"/>
      <c r="H13" s="1311"/>
      <c r="I13" s="1301">
        <f>ROUND(D13*E13*F13*G13/10000,0)</f>
        <v>0</v>
      </c>
    </row>
    <row r="14" spans="1:9">
      <c r="A14" s="3282"/>
      <c r="B14" s="3283" t="s">
        <v>1098</v>
      </c>
      <c r="C14" s="3283"/>
      <c r="D14" s="1302"/>
      <c r="E14" s="1302"/>
      <c r="F14" s="1303"/>
      <c r="G14" s="1304"/>
      <c r="H14" s="1311"/>
      <c r="I14" s="1301">
        <f>ROUND(D14*E14*F14*G14/10000,0)</f>
        <v>0</v>
      </c>
    </row>
    <row r="15" spans="1:9">
      <c r="A15" s="3282"/>
      <c r="B15" s="3284" t="s">
        <v>1089</v>
      </c>
      <c r="C15" s="3284"/>
      <c r="D15" s="1306"/>
      <c r="E15" s="1306">
        <f>SUM(E12:E14)</f>
        <v>0</v>
      </c>
      <c r="F15" s="1307"/>
      <c r="G15" s="1304"/>
      <c r="H15" s="1311"/>
      <c r="I15" s="1312">
        <f>SUM(I12:I14)</f>
        <v>0</v>
      </c>
    </row>
    <row r="16" spans="1:9" ht="24">
      <c r="A16" s="3282" t="s">
        <v>1099</v>
      </c>
      <c r="B16" s="3283" t="s">
        <v>1100</v>
      </c>
      <c r="C16" s="3283"/>
      <c r="D16" s="1302" t="s">
        <v>1076</v>
      </c>
      <c r="E16" s="1313" t="s">
        <v>1101</v>
      </c>
      <c r="F16" s="1303" t="s">
        <v>1102</v>
      </c>
      <c r="G16" s="1304" t="s">
        <v>1080</v>
      </c>
      <c r="H16" s="1310" t="s">
        <v>1095</v>
      </c>
      <c r="I16" s="1301" t="s">
        <v>1081</v>
      </c>
    </row>
    <row r="17" spans="1:9" ht="14.25">
      <c r="A17" s="3282"/>
      <c r="B17" s="3283" t="s">
        <v>1103</v>
      </c>
      <c r="C17" s="3283"/>
      <c r="D17" s="1302"/>
      <c r="E17" s="1302"/>
      <c r="F17" s="1303"/>
      <c r="G17" s="1304"/>
      <c r="H17" s="1314"/>
      <c r="I17" s="1315">
        <f>ROUND(D17*E17*F17*G17/10000,0)</f>
        <v>0</v>
      </c>
    </row>
    <row r="18" spans="1:9" ht="14.25">
      <c r="A18" s="3282"/>
      <c r="B18" s="3283" t="s">
        <v>1104</v>
      </c>
      <c r="C18" s="3283"/>
      <c r="D18" s="1302"/>
      <c r="E18" s="1302"/>
      <c r="F18" s="1303"/>
      <c r="G18" s="1304"/>
      <c r="H18" s="1314"/>
      <c r="I18" s="1315">
        <f>ROUND(D18*E18*F18*G18/10000,0)</f>
        <v>0</v>
      </c>
    </row>
    <row r="19" spans="1:9" ht="14.25">
      <c r="A19" s="3282"/>
      <c r="B19" s="3283" t="s">
        <v>1105</v>
      </c>
      <c r="C19" s="3283"/>
      <c r="D19" s="1302"/>
      <c r="E19" s="1302"/>
      <c r="F19" s="1303"/>
      <c r="G19" s="1304"/>
      <c r="H19" s="1314"/>
      <c r="I19" s="1315">
        <f>ROUND(D19*E19*F19*G19/10000,0)</f>
        <v>0</v>
      </c>
    </row>
    <row r="20" spans="1:9">
      <c r="A20" s="3282"/>
      <c r="B20" s="3284" t="s">
        <v>1089</v>
      </c>
      <c r="C20" s="3284"/>
      <c r="D20" s="1306">
        <f>SUM(D17:D19)</f>
        <v>0</v>
      </c>
      <c r="E20" s="1306"/>
      <c r="F20" s="1307"/>
      <c r="G20" s="1304"/>
      <c r="H20" s="1311"/>
      <c r="I20" s="1312">
        <f>SUM(I17:I19)</f>
        <v>0</v>
      </c>
    </row>
    <row r="21" spans="1:9">
      <c r="A21" s="3282" t="s">
        <v>1106</v>
      </c>
      <c r="B21" s="3286"/>
      <c r="C21" s="3286"/>
      <c r="D21" s="3286"/>
      <c r="E21" s="3286"/>
      <c r="F21" s="3286"/>
      <c r="G21" s="3286"/>
      <c r="H21" s="1763">
        <v>0.1</v>
      </c>
      <c r="I21" s="1309">
        <f>ROUND(I10*H21,0)</f>
        <v>0</v>
      </c>
    </row>
    <row r="22" spans="1:9" ht="14.25">
      <c r="A22" s="3287" t="s">
        <v>1107</v>
      </c>
      <c r="B22" s="3288"/>
      <c r="C22" s="3289"/>
      <c r="D22" s="1316" t="s">
        <v>1108</v>
      </c>
      <c r="E22" s="1316" t="s">
        <v>1109</v>
      </c>
      <c r="F22" s="1317" t="s">
        <v>1110</v>
      </c>
      <c r="G22" s="1317" t="s">
        <v>1111</v>
      </c>
      <c r="H22" s="1310" t="s">
        <v>1112</v>
      </c>
      <c r="I22" s="1301" t="s">
        <v>1113</v>
      </c>
    </row>
    <row r="23" spans="1:9" ht="14.25" thickBot="1">
      <c r="A23" s="3290"/>
      <c r="B23" s="3291"/>
      <c r="C23" s="3292"/>
      <c r="D23" s="1318"/>
      <c r="E23" s="1318"/>
      <c r="F23" s="1318"/>
      <c r="G23" s="1319"/>
      <c r="H23" s="1320"/>
      <c r="I23" s="1321">
        <f>ROUND(E23*D23*F23*(1-G23)/10000,0)</f>
        <v>0</v>
      </c>
    </row>
    <row r="26" spans="1:9">
      <c r="A26" s="1322" t="s">
        <v>1114</v>
      </c>
      <c r="B26" s="1322"/>
      <c r="C26" s="1322"/>
      <c r="D26" s="1322"/>
      <c r="E26" s="3293">
        <f>C27-C30-C31-C32</f>
        <v>0</v>
      </c>
      <c r="F26" s="3293"/>
      <c r="G26" s="3293"/>
      <c r="H26" s="1735" t="s">
        <v>1335</v>
      </c>
    </row>
    <row r="27" spans="1:9">
      <c r="A27" s="1323">
        <v>1</v>
      </c>
      <c r="B27" s="1324" t="s">
        <v>1115</v>
      </c>
      <c r="C27" s="1324">
        <f>C28+C29</f>
        <v>0</v>
      </c>
      <c r="D27" s="1324"/>
      <c r="E27" s="3294"/>
      <c r="F27" s="3294"/>
      <c r="G27" s="3294"/>
    </row>
    <row r="28" spans="1:9">
      <c r="A28" s="1325" t="s">
        <v>1116</v>
      </c>
      <c r="B28" s="1324" t="s">
        <v>1117</v>
      </c>
      <c r="C28" s="1324"/>
      <c r="D28" s="1324"/>
      <c r="E28" s="3294"/>
      <c r="F28" s="3294"/>
      <c r="G28" s="329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85"/>
      <c r="F32" s="3285"/>
      <c r="G32" s="3285"/>
    </row>
    <row r="33" spans="1:7" hidden="1">
      <c r="A33" s="3295" t="s">
        <v>1126</v>
      </c>
      <c r="B33" s="3296"/>
      <c r="C33" s="3296"/>
      <c r="D33" s="3297"/>
      <c r="E33" s="3293"/>
      <c r="F33" s="3293"/>
      <c r="G33" s="3293"/>
    </row>
    <row r="34" spans="1:7" hidden="1">
      <c r="A34" s="1327">
        <v>1</v>
      </c>
      <c r="B34" s="1324" t="s">
        <v>1127</v>
      </c>
      <c r="C34" s="1324"/>
      <c r="D34" s="1324"/>
      <c r="E34" s="3294"/>
      <c r="F34" s="3294"/>
      <c r="G34" s="3294"/>
    </row>
    <row r="35" spans="1:7" hidden="1">
      <c r="A35" s="1327">
        <v>2</v>
      </c>
      <c r="B35" s="1324" t="s">
        <v>1128</v>
      </c>
      <c r="C35" s="1324"/>
      <c r="D35" s="1324"/>
      <c r="E35" s="3294"/>
      <c r="F35" s="3294"/>
      <c r="G35" s="3294"/>
    </row>
    <row r="36" spans="1:7" hidden="1">
      <c r="A36" s="1327">
        <v>3</v>
      </c>
      <c r="B36" s="1324" t="s">
        <v>1129</v>
      </c>
      <c r="C36" s="1324"/>
      <c r="D36" s="1324"/>
      <c r="E36" s="3294"/>
      <c r="F36" s="3294"/>
      <c r="G36" s="3294"/>
    </row>
    <row r="37" spans="1:7" hidden="1">
      <c r="A37" s="1327">
        <v>4</v>
      </c>
      <c r="B37" s="1324" t="s">
        <v>1130</v>
      </c>
      <c r="C37" s="1324"/>
      <c r="D37" s="1324"/>
      <c r="E37" s="3294"/>
      <c r="F37" s="3294"/>
      <c r="G37" s="3294"/>
    </row>
    <row r="38" spans="1:7" hidden="1">
      <c r="A38" s="3295" t="s">
        <v>1131</v>
      </c>
      <c r="B38" s="3296"/>
      <c r="C38" s="3296"/>
      <c r="D38" s="3297"/>
      <c r="E38" s="3293"/>
      <c r="F38" s="3293"/>
      <c r="G38" s="32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C40" sqref="C40"/>
    </sheetView>
  </sheetViews>
  <sheetFormatPr defaultColWidth="9" defaultRowHeight="12.75"/>
  <cols>
    <col min="1" max="1" width="9" style="300" customWidth="1"/>
    <col min="2" max="2" width="20.625" style="705" customWidth="1"/>
    <col min="3" max="3" width="15.875" style="705" bestFit="1"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1584</v>
      </c>
      <c r="B1" s="780"/>
      <c r="C1" s="1835" t="s">
        <v>48</v>
      </c>
      <c r="D1" s="1818" t="s">
        <v>3341</v>
      </c>
      <c r="E1" s="1819" t="s">
        <v>1382</v>
      </c>
      <c r="F1" s="1282">
        <f ca="1">J53</f>
        <v>43.050000000000004</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17329</v>
      </c>
      <c r="C2" s="1843" t="s">
        <v>1511</v>
      </c>
      <c r="D2" s="1843"/>
      <c r="E2" s="1844"/>
      <c r="F2" s="1845"/>
      <c r="G2" s="1846"/>
      <c r="H2" s="1838"/>
      <c r="I2" s="1838"/>
      <c r="J2" s="1838"/>
      <c r="K2" s="1839"/>
      <c r="L2" s="1838"/>
      <c r="M2" s="1838"/>
    </row>
    <row r="3" spans="1:37" ht="18" customHeight="1" thickBot="1">
      <c r="A3" s="1847" t="s">
        <v>1512</v>
      </c>
      <c r="B3" s="1848">
        <f ca="1">IF(ISERROR(B2*10000/F43),0,ROUND(B2*10000/F43,0))</f>
        <v>2505</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1288</v>
      </c>
      <c r="D5" s="1820" t="s">
        <v>1397</v>
      </c>
      <c r="E5" s="1292"/>
      <c r="F5" s="1293"/>
      <c r="G5" s="1849"/>
      <c r="H5" s="342">
        <v>1</v>
      </c>
      <c r="I5" s="343" t="s">
        <v>1396</v>
      </c>
      <c r="J5" s="1291">
        <f ca="1">J6+J10+J12</f>
        <v>0</v>
      </c>
      <c r="K5" s="1820" t="s">
        <v>1397</v>
      </c>
      <c r="L5" s="1292"/>
      <c r="M5" s="1293"/>
    </row>
    <row r="6" spans="1:37" ht="18" customHeight="1">
      <c r="A6" s="1290" t="s">
        <v>1032</v>
      </c>
      <c r="B6" s="3273" t="s">
        <v>1398</v>
      </c>
      <c r="C6" s="1295">
        <f ca="1">ROUND(F6*F8*F7*(1-F9)/10000,0)</f>
        <v>1288</v>
      </c>
      <c r="D6" s="162" t="s">
        <v>3027</v>
      </c>
      <c r="E6" s="345" t="s">
        <v>1400</v>
      </c>
      <c r="F6" s="346">
        <f ca="1">INDIRECT("'数据-取费表'!u"&amp;$G$1)</f>
        <v>0.6</v>
      </c>
      <c r="G6" s="1849"/>
      <c r="H6" s="1290" t="s">
        <v>1032</v>
      </c>
      <c r="I6" s="3273" t="s">
        <v>1398</v>
      </c>
      <c r="J6" s="344">
        <f ca="1">ROUND(M6*M8*M7*(1-M9)/10000,0)</f>
        <v>0</v>
      </c>
      <c r="K6" s="162" t="s">
        <v>3026</v>
      </c>
      <c r="L6" s="345" t="s">
        <v>1400</v>
      </c>
      <c r="M6" s="346">
        <f ca="1">INDIRECT("'数据-取费表'!z"&amp;$G$1)</f>
        <v>0</v>
      </c>
    </row>
    <row r="7" spans="1:37" ht="18" customHeight="1">
      <c r="A7" s="1294"/>
      <c r="B7" s="3274"/>
      <c r="C7" s="1296"/>
      <c r="D7" s="350"/>
      <c r="E7" s="2998" t="s">
        <v>1401</v>
      </c>
      <c r="F7" s="346">
        <f ca="1">IF(INDIRECT("'数据-取费表'!ah"&amp;$G$1)="",INDIRECT("'数据-取费表'!k"&amp;$G$1),INDIRECT("'数据-取费表'!ah"&amp;$G$1))</f>
        <v>69185.17</v>
      </c>
      <c r="G7" s="1849"/>
      <c r="H7" s="347"/>
      <c r="I7" s="3274"/>
      <c r="J7" s="349"/>
      <c r="K7" s="350"/>
      <c r="L7" s="345" t="s">
        <v>1401</v>
      </c>
      <c r="M7" s="346">
        <f ca="1">F7</f>
        <v>69185.17</v>
      </c>
    </row>
    <row r="8" spans="1:37" ht="18" customHeight="1">
      <c r="A8" s="347"/>
      <c r="B8" s="3274"/>
      <c r="C8" s="349"/>
      <c r="D8" s="350"/>
      <c r="E8" s="345" t="s">
        <v>1402</v>
      </c>
      <c r="F8" s="346">
        <f ca="1">INDIRECT("'数据-取费表'!ai"&amp;$G$1)</f>
        <v>365</v>
      </c>
      <c r="G8" s="1849"/>
      <c r="H8" s="347"/>
      <c r="I8" s="3274"/>
      <c r="J8" s="349"/>
      <c r="K8" s="350"/>
      <c r="L8" s="345" t="s">
        <v>1402</v>
      </c>
      <c r="M8" s="346">
        <f ca="1">INDIRECT("'数据-取费表'!ai"&amp;$G$1)</f>
        <v>365</v>
      </c>
    </row>
    <row r="9" spans="1:37" ht="18" customHeight="1">
      <c r="A9" s="347"/>
      <c r="B9" s="3275"/>
      <c r="C9" s="349"/>
      <c r="D9" s="350"/>
      <c r="E9" s="345" t="s">
        <v>1403</v>
      </c>
      <c r="F9" s="355">
        <f ca="1">INDIRECT("'数据-取费表'!w"&amp;$G$1)</f>
        <v>0.15</v>
      </c>
      <c r="G9" s="1849"/>
      <c r="H9" s="347"/>
      <c r="I9" s="3275"/>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t="s">
        <v>3350</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22197</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16030</v>
      </c>
      <c r="D14" s="3001" t="s">
        <v>1413</v>
      </c>
      <c r="E14" s="3000"/>
      <c r="F14" s="362"/>
      <c r="G14" s="1849"/>
      <c r="H14" s="1200" t="s">
        <v>1032</v>
      </c>
      <c r="I14" s="345" t="s">
        <v>1414</v>
      </c>
      <c r="J14" s="24">
        <f ca="1">C29</f>
        <v>22197</v>
      </c>
      <c r="K14" s="2997"/>
      <c r="L14" s="978"/>
      <c r="M14" s="979"/>
    </row>
    <row r="15" spans="1:37" s="1856" customFormat="1" ht="18" customHeight="1" thickBot="1">
      <c r="A15" s="1200" t="s">
        <v>1033</v>
      </c>
      <c r="B15" s="345" t="s">
        <v>1415</v>
      </c>
      <c r="C15" s="24">
        <f ca="1">ROUND(C14*F15,0)</f>
        <v>481</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535</v>
      </c>
      <c r="K16" s="1336" t="s">
        <v>1420</v>
      </c>
      <c r="L16" s="3003"/>
      <c r="M16" s="1293"/>
    </row>
    <row r="17" spans="1:37" s="1856" customFormat="1" ht="18" customHeight="1">
      <c r="A17" s="1200" t="s">
        <v>1385</v>
      </c>
      <c r="B17" s="345" t="s">
        <v>1421</v>
      </c>
      <c r="C17" s="24">
        <f ca="1">ROUND(F17*(F43+INDIRECT("'数据-取费表'!S"&amp;$G$1))/10000,0)</f>
        <v>1603</v>
      </c>
      <c r="D17" s="345" t="s">
        <v>1422</v>
      </c>
      <c r="E17" s="345" t="s">
        <v>1423</v>
      </c>
      <c r="F17" s="26">
        <f>'数据-取费表'!B35</f>
        <v>200</v>
      </c>
      <c r="G17" s="1852"/>
      <c r="H17" s="1200" t="s">
        <v>1032</v>
      </c>
      <c r="I17" s="345" t="s">
        <v>1424</v>
      </c>
      <c r="J17" s="24">
        <f ca="1">ROUND(IF(项目基本情况!B11="自然人",J5*M17,J18+J19+J20),1)</f>
        <v>201.7</v>
      </c>
      <c r="K17" s="3001" t="s">
        <v>1425</v>
      </c>
      <c r="L17" s="3002"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240</v>
      </c>
      <c r="D18" s="345" t="s">
        <v>1416</v>
      </c>
      <c r="E18" s="345" t="s">
        <v>1417</v>
      </c>
      <c r="F18" s="365">
        <f>'数据-取费表'!B36</f>
        <v>1.4999999999999999E-2</v>
      </c>
      <c r="G18" s="1852"/>
      <c r="H18" s="1200" t="s">
        <v>1031</v>
      </c>
      <c r="I18" s="345" t="s">
        <v>1428</v>
      </c>
      <c r="J18" s="24">
        <f ca="1">ROUND(J5*M18/(1+'数据-取费表'!C42),2)</f>
        <v>0</v>
      </c>
      <c r="K18" s="3002"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18354</v>
      </c>
      <c r="D19" s="138" t="s">
        <v>1431</v>
      </c>
      <c r="E19" s="2996"/>
      <c r="F19" s="26"/>
      <c r="G19" s="1849"/>
      <c r="H19" s="1200" t="s">
        <v>1033</v>
      </c>
      <c r="I19" s="345" t="s">
        <v>1432</v>
      </c>
      <c r="J19" s="24">
        <f ca="1">IF(K19="按租金收入计税",ROUND(J5*M19,2),ROUND(C29*M19*0.7,2))</f>
        <v>186.45</v>
      </c>
      <c r="K19" s="1826" t="s">
        <v>1433</v>
      </c>
      <c r="L19" s="345" t="s">
        <v>1417</v>
      </c>
      <c r="M19" s="365">
        <f>IF(K19="按租金收入计税",'数据-取费表'!B51,'数据-取费表'!B50)</f>
        <v>1.2E-2</v>
      </c>
    </row>
    <row r="20" spans="1:37" s="1856" customFormat="1" ht="18" customHeight="1">
      <c r="A20" s="1200" t="s">
        <v>1036</v>
      </c>
      <c r="B20" s="345" t="s">
        <v>1434</v>
      </c>
      <c r="C20" s="24">
        <f ca="1">ROUND(C19*F20,0)</f>
        <v>367</v>
      </c>
      <c r="D20" s="367" t="s">
        <v>1435</v>
      </c>
      <c r="E20" s="345" t="s">
        <v>1417</v>
      </c>
      <c r="F20" s="365">
        <f>'数据-取费表'!B37</f>
        <v>0.02</v>
      </c>
      <c r="G20" s="1852"/>
      <c r="H20" s="1200" t="s">
        <v>1384</v>
      </c>
      <c r="I20" s="162" t="s">
        <v>1436</v>
      </c>
      <c r="J20" s="25">
        <f ca="1">ROUND(M20*M21/10000,2)</f>
        <v>15.22</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30444.04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2996"/>
      <c r="F22" s="26"/>
      <c r="G22" s="1849"/>
      <c r="H22" s="1200" t="s">
        <v>1036</v>
      </c>
      <c r="I22" s="345" t="s">
        <v>1444</v>
      </c>
      <c r="J22" s="24">
        <f ca="1">ROUND(J14*M22,1)</f>
        <v>333</v>
      </c>
      <c r="K22" s="3002"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889</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3002" t="s">
        <v>1449</v>
      </c>
      <c r="L23" s="345" t="s">
        <v>1417</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1387</v>
      </c>
      <c r="I24" s="1339" t="s">
        <v>1434</v>
      </c>
      <c r="J24" s="1340">
        <f ca="1">ROUND(J5*M24,1)</f>
        <v>0</v>
      </c>
      <c r="K24" s="1341" t="s">
        <v>1454</v>
      </c>
      <c r="L24" s="1339" t="s">
        <v>1417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2996"/>
      <c r="F25" s="26"/>
      <c r="G25" s="1849"/>
      <c r="H25" s="1328" t="s">
        <v>1028</v>
      </c>
      <c r="I25" s="1343" t="s">
        <v>1458</v>
      </c>
      <c r="J25" s="353">
        <f ca="1">J5-J16</f>
        <v>-535</v>
      </c>
      <c r="K25" s="1344" t="s">
        <v>1459</v>
      </c>
      <c r="L25" s="1345"/>
      <c r="M25" s="1346"/>
    </row>
    <row r="26" spans="1:37">
      <c r="A26" s="1200" t="s">
        <v>1031</v>
      </c>
      <c r="B26" s="345" t="s">
        <v>1460</v>
      </c>
      <c r="C26" s="24">
        <f ca="1">ROUND((C19+C20)*F26,0)</f>
        <v>936</v>
      </c>
      <c r="D26" s="367" t="s">
        <v>1461</v>
      </c>
      <c r="E26" s="356" t="s">
        <v>1462</v>
      </c>
      <c r="F26" s="355">
        <f ca="1">INDIRECT("'数据-取费表'!q"&amp;$G$1)</f>
        <v>0.05</v>
      </c>
      <c r="G26" s="1849"/>
      <c r="H26" s="342" t="s">
        <v>1029</v>
      </c>
      <c r="I26" s="343" t="s">
        <v>1463</v>
      </c>
      <c r="J26" s="344">
        <f ca="1">IF(J5&lt;&gt;0,ROUND(J25*(1-((1+M28)/(1+M26))^M27)/(M26-M28),0),0)</f>
        <v>0</v>
      </c>
      <c r="K26" s="368" t="s">
        <v>1464</v>
      </c>
      <c r="L26" s="345" t="s">
        <v>1465</v>
      </c>
      <c r="M26" s="355">
        <f ca="1">INDIRECT("'数据-取费表'!I"&amp;$G$1)</f>
        <v>0.05</v>
      </c>
    </row>
    <row r="27" spans="1:37" ht="18" customHeight="1">
      <c r="A27" s="1200" t="s">
        <v>1033</v>
      </c>
      <c r="B27" s="345" t="s">
        <v>1466</v>
      </c>
      <c r="C27" s="24">
        <f ca="1">ROUND(F21*F26,4)</f>
        <v>1E-3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22197</v>
      </c>
      <c r="D29" s="1341"/>
      <c r="E29" s="1339"/>
      <c r="F29" s="1342"/>
      <c r="G29" s="1852"/>
      <c r="H29" s="378" t="s">
        <v>1030</v>
      </c>
      <c r="I29" s="379" t="s">
        <v>1474</v>
      </c>
      <c r="J29" s="380">
        <f ca="1">ROUND(J26/(1+F40)^F41,0)</f>
        <v>0</v>
      </c>
      <c r="K29" s="381" t="s">
        <v>1475</v>
      </c>
      <c r="L29" s="382"/>
      <c r="M29" s="383">
        <f ca="1">INDIRECT("'数据-取费表'!k"&amp;$G$1)</f>
        <v>69185.17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617</v>
      </c>
      <c r="D30" s="1336" t="s">
        <v>1420</v>
      </c>
      <c r="E30" s="3003"/>
      <c r="F30" s="1293"/>
      <c r="G30" s="1849"/>
      <c r="H30" s="743"/>
      <c r="I30" s="744"/>
      <c r="J30" s="745"/>
      <c r="K30" s="746"/>
      <c r="L30" s="747"/>
      <c r="M30" s="748"/>
    </row>
    <row r="31" spans="1:37" ht="18" customHeight="1">
      <c r="A31" s="1200" t="s">
        <v>1032</v>
      </c>
      <c r="B31" s="345" t="s">
        <v>1424</v>
      </c>
      <c r="C31" s="24">
        <f ca="1">ROUND(IF(项目基本情况!B11="自然人",C5*F31,C32+C33+C34),1)</f>
        <v>237.3</v>
      </c>
      <c r="D31" s="3001" t="s">
        <v>1425</v>
      </c>
      <c r="E31" s="3002"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67.47</v>
      </c>
      <c r="D32" s="3002"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154.56</v>
      </c>
      <c r="D33" s="1826" t="s">
        <v>3344</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15.22</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30444.04</v>
      </c>
      <c r="G35" s="1849"/>
      <c r="H35" s="743"/>
      <c r="I35" s="1858"/>
      <c r="J35" s="1859"/>
      <c r="K35" s="1860"/>
      <c r="L35" s="1857"/>
      <c r="M35" s="1857"/>
    </row>
    <row r="36" spans="1:18" ht="18" customHeight="1">
      <c r="A36" s="1351" t="s">
        <v>1036</v>
      </c>
      <c r="B36" s="345" t="s">
        <v>1444</v>
      </c>
      <c r="C36" s="24">
        <f ca="1">ROUND(C29*F36,1)</f>
        <v>333</v>
      </c>
      <c r="D36" s="3002"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33.299999999999997</v>
      </c>
      <c r="D37" s="3002" t="s">
        <v>1449</v>
      </c>
      <c r="E37" s="345" t="s">
        <v>1417</v>
      </c>
      <c r="F37" s="374">
        <f ca="1">INDIRECT("'数据-取费表'!Al"&amp;$G$1)</f>
        <v>1.5E-3</v>
      </c>
      <c r="G37" s="1849"/>
      <c r="H37" s="1857"/>
      <c r="I37" s="1858"/>
      <c r="J37" s="1859"/>
      <c r="K37" s="749"/>
      <c r="L37" s="1857"/>
      <c r="M37" s="1857"/>
    </row>
    <row r="38" spans="1:18" ht="18" customHeight="1" thickBot="1">
      <c r="A38" s="1338" t="s">
        <v>1387</v>
      </c>
      <c r="B38" s="1339" t="s">
        <v>1434</v>
      </c>
      <c r="C38" s="1340">
        <f ca="1">ROUND(C5*F38,1)</f>
        <v>12.9</v>
      </c>
      <c r="D38" s="1341" t="s">
        <v>1454</v>
      </c>
      <c r="E38" s="1339" t="s">
        <v>1417</v>
      </c>
      <c r="F38" s="1335">
        <f ca="1">INDIRECT("'数据-取费表'!Am"&amp;$G$1)</f>
        <v>0.01</v>
      </c>
      <c r="G38" s="1849"/>
      <c r="H38" s="1857"/>
      <c r="I38" s="1858"/>
      <c r="J38" s="1859"/>
      <c r="K38" s="1863"/>
      <c r="L38" s="1857"/>
      <c r="M38" s="1857"/>
    </row>
    <row r="39" spans="1:18" ht="24.6" customHeight="1" thickTop="1">
      <c r="A39" s="1328" t="s">
        <v>1028</v>
      </c>
      <c r="B39" s="1343" t="s">
        <v>1458</v>
      </c>
      <c r="C39" s="353">
        <f ca="1">C5-C30</f>
        <v>671</v>
      </c>
      <c r="D39" s="1344" t="s">
        <v>1459</v>
      </c>
      <c r="E39" s="1345"/>
      <c r="F39" s="1346"/>
      <c r="G39" s="1849"/>
      <c r="H39" s="1857"/>
      <c r="I39" s="1858"/>
      <c r="J39" s="1859"/>
      <c r="K39" s="1863"/>
      <c r="L39" s="1857"/>
      <c r="M39" s="1857"/>
    </row>
    <row r="40" spans="1:18" ht="18" customHeight="1">
      <c r="A40" s="342" t="s">
        <v>1029</v>
      </c>
      <c r="B40" s="343" t="s">
        <v>1480</v>
      </c>
      <c r="C40" s="344">
        <f ca="1">ROUND(C39*(1-((1+F42)/(1+F40))^F41)/(F40-F42),0)</f>
        <v>17329</v>
      </c>
      <c r="D40" s="368" t="s">
        <v>1464</v>
      </c>
      <c r="E40" s="345" t="s">
        <v>1465</v>
      </c>
      <c r="F40" s="355">
        <f ca="1">INDIRECT("'数据-取费表'!I"&amp;$G$1)</f>
        <v>0.05</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43.050000000000004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2505</v>
      </c>
      <c r="D43" s="381" t="s">
        <v>1483</v>
      </c>
      <c r="E43" s="382" t="s">
        <v>1484</v>
      </c>
      <c r="F43" s="383">
        <f ca="1">INDIRECT("'数据-取费表'!k"&amp;$G$1)</f>
        <v>69185.17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-56751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0"/>
      <c r="I47" s="1878" t="s">
        <v>1521</v>
      </c>
      <c r="J47" s="1879" t="s">
        <v>3297</v>
      </c>
      <c r="K47" s="1880" t="s">
        <v>1522</v>
      </c>
      <c r="L47" s="1881">
        <f ca="1">INDIRECT("'数据-取费表'!d"&amp;$G$1)</f>
        <v>50</v>
      </c>
      <c r="M47" s="1836" t="str">
        <f>IF(ISNUMBER(FIND("住宅",C1)),"住宅","非住宅")</f>
        <v>非住宅</v>
      </c>
      <c r="O47" s="1882" t="s">
        <v>1037</v>
      </c>
      <c r="P47" s="1883" t="s">
        <v>1523</v>
      </c>
      <c r="Q47" s="1884">
        <f ca="1">C40+J29</f>
        <v>17329</v>
      </c>
      <c r="R47" s="1884" t="s">
        <v>1524</v>
      </c>
    </row>
    <row r="48" spans="1:18" s="1840" customFormat="1" ht="28.5" thickBot="1">
      <c r="A48" s="1359" t="s">
        <v>1132</v>
      </c>
      <c r="B48" s="343" t="s">
        <v>1396</v>
      </c>
      <c r="C48" s="2995">
        <f ca="1">C49+C53+C55</f>
        <v>0</v>
      </c>
      <c r="D48" s="1361"/>
      <c r="E48" s="1362"/>
      <c r="F48" s="1180"/>
      <c r="G48" s="790"/>
      <c r="H48" s="791"/>
      <c r="I48" s="1885" t="s">
        <v>1525</v>
      </c>
      <c r="J48" s="1886" t="s">
        <v>3343</v>
      </c>
      <c r="K48" s="1887" t="s">
        <v>1526</v>
      </c>
      <c r="L48" s="1888">
        <f ca="1">INDIRECT("'数据-取费表'!f"&amp;$G$1)</f>
        <v>44.95</v>
      </c>
      <c r="O48" s="1882" t="s">
        <v>1038</v>
      </c>
      <c r="P48" s="1883" t="s">
        <v>1527</v>
      </c>
      <c r="Q48" s="1884" t="str">
        <f ca="1">J60</f>
        <v>0</v>
      </c>
      <c r="R48" s="1884" t="s">
        <v>1528</v>
      </c>
    </row>
    <row r="49" spans="1:18" s="1840" customFormat="1" ht="13.5" thickBot="1">
      <c r="A49" s="1193" t="s">
        <v>1133</v>
      </c>
      <c r="B49" s="1827" t="s">
        <v>1485</v>
      </c>
      <c r="C49" s="1363">
        <f ca="1">ROUND(F49*F51*F50*(1-F52)/10000,0)</f>
        <v>0</v>
      </c>
      <c r="D49" s="1275" t="s">
        <v>3026</v>
      </c>
      <c r="E49" s="1828" t="s">
        <v>1486</v>
      </c>
      <c r="F49" s="1280"/>
      <c r="G49" s="1889"/>
      <c r="H49" s="791"/>
      <c r="I49" s="1885" t="s">
        <v>1529</v>
      </c>
      <c r="J49" s="1890">
        <v>2010</v>
      </c>
      <c r="K49" s="1887" t="s">
        <v>1530</v>
      </c>
      <c r="L49" s="1891"/>
      <c r="O49" s="1892" t="s">
        <v>1039</v>
      </c>
      <c r="P49" s="1883" t="s">
        <v>1531</v>
      </c>
      <c r="Q49" s="1884">
        <f ca="1">C29</f>
        <v>22197</v>
      </c>
      <c r="R49" s="1884" t="s">
        <v>1524</v>
      </c>
    </row>
    <row r="50" spans="1:18" s="1840" customFormat="1" ht="13.5" thickBot="1">
      <c r="A50" s="1194"/>
      <c r="B50" s="1197"/>
      <c r="C50" s="1367"/>
      <c r="D50" s="1171"/>
      <c r="E50" s="1276" t="s">
        <v>1401</v>
      </c>
      <c r="F50" s="1277">
        <f ca="1">F7</f>
        <v>69185.17</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-21156</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43.050000000000004</v>
      </c>
      <c r="R52" s="1884" t="s">
        <v>1541</v>
      </c>
    </row>
    <row r="53" spans="1:18" s="1840" customFormat="1" ht="24.75"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43.050000000000004</v>
      </c>
      <c r="K53" s="3271" t="s">
        <v>1543</v>
      </c>
      <c r="L53" s="3272"/>
      <c r="O53" s="1882" t="s">
        <v>1043</v>
      </c>
      <c r="P53" s="1883" t="s">
        <v>1544</v>
      </c>
      <c r="Q53" s="1884">
        <f ca="1">Q47+Q48</f>
        <v>17329</v>
      </c>
      <c r="R53" s="1884" t="s">
        <v>1044</v>
      </c>
    </row>
    <row r="54" spans="1:18" s="1840" customFormat="1" ht="13.5" thickBot="1">
      <c r="A54" s="1405"/>
      <c r="B54" s="1823" t="s">
        <v>1383</v>
      </c>
      <c r="C54" s="1177"/>
      <c r="D54" s="1822"/>
      <c r="E54" s="299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2999"/>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5">
        <v>2</v>
      </c>
      <c r="B56" s="1176" t="s">
        <v>1409</v>
      </c>
      <c r="C56" s="274">
        <f ca="1">C13</f>
        <v>22197</v>
      </c>
      <c r="D56" s="1912"/>
      <c r="E56" s="1913"/>
      <c r="F56" s="1905"/>
      <c r="I56" s="1914" t="s">
        <v>1549</v>
      </c>
      <c r="J56" s="1915" t="s">
        <v>3163</v>
      </c>
      <c r="K56" s="1885" t="s">
        <v>1550</v>
      </c>
      <c r="L56" s="1888" t="str">
        <f ca="1">IF(L48&lt;J51,"——",L48-J53)</f>
        <v>——</v>
      </c>
      <c r="O56" s="1882" t="s">
        <v>1037</v>
      </c>
      <c r="P56" s="1883" t="s">
        <v>1523</v>
      </c>
      <c r="Q56" s="1884">
        <f ca="1">C40+J29</f>
        <v>17329</v>
      </c>
      <c r="R56" s="1884" t="s">
        <v>1524</v>
      </c>
    </row>
    <row r="57" spans="1:18" s="1840" customFormat="1" ht="24.75" thickBot="1">
      <c r="A57" s="1916"/>
      <c r="B57" s="1168" t="s">
        <v>1473</v>
      </c>
      <c r="C57" s="280">
        <f ca="1">C29</f>
        <v>22197</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8" t="s">
        <v>1027</v>
      </c>
      <c r="B58" s="1176" t="s">
        <v>1419</v>
      </c>
      <c r="C58" s="359">
        <f ca="1">ROUND(C59+C64+C65+C66,0)</f>
        <v>2246</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1879.8</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1432</v>
      </c>
      <c r="C61" s="24">
        <f ca="1">IF(项目基本情况!B11="自然人","——",IF(D61="按租金收入计税",ROUND(C48*F61,2),IF(D61="按房产原值计税",ROUND(C57*F61*0.7,2),INDIRECT("'数据-取费表'!Aj"&amp;$G$1))))</f>
        <v>1864.55</v>
      </c>
      <c r="D61" s="1826" t="s">
        <v>1433</v>
      </c>
      <c r="E61" s="1168" t="s">
        <v>1417</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5" thickBot="1">
      <c r="A62" s="1200" t="s">
        <v>1490</v>
      </c>
      <c r="B62" s="1167" t="s">
        <v>1436</v>
      </c>
      <c r="C62" s="25">
        <f ca="1">IF(项目基本情况!B11="自然人","——",ROUND(F62*F63/10000,2))</f>
        <v>15.22</v>
      </c>
      <c r="D62" s="1183" t="s">
        <v>1437</v>
      </c>
      <c r="E62" s="1168" t="s">
        <v>1438</v>
      </c>
      <c r="F62" s="369">
        <f t="shared" si="0"/>
        <v>5</v>
      </c>
      <c r="I62" s="1927" t="s">
        <v>1565</v>
      </c>
      <c r="J62" s="1928" t="s">
        <v>1566</v>
      </c>
      <c r="K62" s="1928" t="s">
        <v>1567</v>
      </c>
      <c r="L62" s="1928" t="s">
        <v>1568</v>
      </c>
      <c r="M62" s="1929" t="s">
        <v>1569</v>
      </c>
      <c r="O62" s="1882" t="s">
        <v>1043</v>
      </c>
      <c r="P62" s="1883" t="s">
        <v>1544</v>
      </c>
      <c r="Q62" s="1884">
        <f ca="1">Q56+Q57</f>
        <v>17329</v>
      </c>
      <c r="R62" s="1884" t="s">
        <v>1044</v>
      </c>
    </row>
    <row r="63" spans="1:18" s="1840" customFormat="1" ht="13.5" thickBot="1">
      <c r="A63" s="370"/>
      <c r="B63" s="1174"/>
      <c r="C63" s="29"/>
      <c r="D63" s="1184"/>
      <c r="E63" s="1168" t="s">
        <v>1442</v>
      </c>
      <c r="F63" s="346">
        <f t="shared" ca="1" si="0"/>
        <v>30444.04</v>
      </c>
      <c r="I63" s="1927" t="s">
        <v>1571</v>
      </c>
      <c r="J63" s="1928">
        <v>70</v>
      </c>
      <c r="K63" s="1928">
        <v>50</v>
      </c>
      <c r="L63" s="1928">
        <v>80</v>
      </c>
      <c r="M63" s="1930">
        <v>0.02</v>
      </c>
      <c r="O63" s="1867" t="s">
        <v>1572</v>
      </c>
      <c r="P63" s="1837"/>
      <c r="Q63" s="1837"/>
      <c r="R63" s="1837"/>
    </row>
    <row r="64" spans="1:18" s="1840" customFormat="1" ht="13.5" thickBot="1">
      <c r="A64" s="1200" t="s">
        <v>1036</v>
      </c>
      <c r="B64" s="1168" t="s">
        <v>1444</v>
      </c>
      <c r="C64" s="24">
        <f ca="1">ROUND(C57*F64,1)</f>
        <v>333</v>
      </c>
      <c r="D64" s="1182" t="s">
        <v>1477</v>
      </c>
      <c r="E64" s="1168" t="s">
        <v>1417</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33.299999999999997</v>
      </c>
      <c r="D65" s="1182" t="s">
        <v>1449</v>
      </c>
      <c r="E65" s="1168" t="s">
        <v>1417</v>
      </c>
      <c r="F65" s="374">
        <f t="shared" ca="1" si="0"/>
        <v>1.5E-3</v>
      </c>
      <c r="I65" s="1927" t="s">
        <v>1574</v>
      </c>
      <c r="J65" s="1928">
        <v>40</v>
      </c>
      <c r="K65" s="1928">
        <v>30</v>
      </c>
      <c r="L65" s="1928">
        <v>50</v>
      </c>
      <c r="M65" s="1930">
        <v>0.02</v>
      </c>
      <c r="O65" s="1882" t="s">
        <v>1037</v>
      </c>
      <c r="P65" s="1883" t="s">
        <v>1523</v>
      </c>
      <c r="Q65" s="1884">
        <f ca="1">C40+J29</f>
        <v>17329</v>
      </c>
      <c r="R65" s="1884" t="s">
        <v>1524</v>
      </c>
    </row>
    <row r="66" spans="1:18" s="1840" customFormat="1" ht="16.5" thickBot="1">
      <c r="A66" s="1200" t="s">
        <v>1499</v>
      </c>
      <c r="B66" s="1168" t="s">
        <v>1434</v>
      </c>
      <c r="C66" s="24">
        <f ca="1">ROUND(C48*F66,1)</f>
        <v>0</v>
      </c>
      <c r="D66" s="1182" t="s">
        <v>1454</v>
      </c>
      <c r="E66" s="1168" t="s">
        <v>1417</v>
      </c>
      <c r="F66" s="355">
        <f t="shared" ca="1" si="0"/>
        <v>0.01</v>
      </c>
      <c r="O66" s="1882" t="s">
        <v>1038</v>
      </c>
      <c r="P66" s="1883" t="s">
        <v>1553</v>
      </c>
      <c r="Q66" s="1884">
        <f ca="1">L60</f>
        <v>0</v>
      </c>
      <c r="R66" s="1884" t="s">
        <v>1576</v>
      </c>
    </row>
    <row r="67" spans="1:18" s="1840" customFormat="1" ht="16.5" thickBot="1">
      <c r="A67" s="1175" t="s">
        <v>1028</v>
      </c>
      <c r="B67" s="1185" t="s">
        <v>1458</v>
      </c>
      <c r="C67" s="359">
        <f ca="1">C48-C58</f>
        <v>-2246</v>
      </c>
      <c r="D67" s="1181" t="s">
        <v>1459</v>
      </c>
      <c r="E67" s="1186"/>
      <c r="F67" s="1187"/>
      <c r="O67" s="1892" t="s">
        <v>1039</v>
      </c>
      <c r="P67" s="1883" t="s">
        <v>1557</v>
      </c>
      <c r="Q67" s="1931">
        <f ca="1">L51</f>
        <v>-21156</v>
      </c>
      <c r="R67" s="1884" t="s">
        <v>1577</v>
      </c>
    </row>
    <row r="68" spans="1:18" s="1840" customFormat="1" ht="16.5" thickBot="1">
      <c r="A68" s="1165" t="s">
        <v>1029</v>
      </c>
      <c r="B68" s="1166" t="s">
        <v>1480</v>
      </c>
      <c r="C68" s="344">
        <f ca="1">ROUND(C67*(1-((1+F70)/(1+F68))^F69)/(F68-F70),0)</f>
        <v>-39422</v>
      </c>
      <c r="D68" s="1183" t="s">
        <v>1464</v>
      </c>
      <c r="E68" s="1168" t="s">
        <v>1465</v>
      </c>
      <c r="F68" s="355">
        <f ca="1">F40</f>
        <v>0.05</v>
      </c>
      <c r="O68" s="1892" t="s">
        <v>1040</v>
      </c>
      <c r="P68" s="1932" t="s">
        <v>1578</v>
      </c>
      <c r="Q68" s="1884">
        <f ca="1">ROUND(Q69-Q70*Q71,0)</f>
        <v>-1105</v>
      </c>
      <c r="R68" s="1884" t="s">
        <v>1048</v>
      </c>
    </row>
    <row r="69" spans="1:18" s="1840" customFormat="1" ht="13.5" thickBot="1">
      <c r="A69" s="1169"/>
      <c r="B69" s="1170"/>
      <c r="C69" s="349"/>
      <c r="D69" s="1188" t="s">
        <v>1468</v>
      </c>
      <c r="E69" s="1168" t="s">
        <v>1469</v>
      </c>
      <c r="F69" s="377">
        <f ca="1">F41</f>
        <v>43.050000000000004</v>
      </c>
      <c r="O69" s="1892" t="s">
        <v>1045</v>
      </c>
      <c r="P69" s="1932" t="s">
        <v>1579</v>
      </c>
      <c r="Q69" s="1884">
        <f ca="1">C39</f>
        <v>671</v>
      </c>
      <c r="R69" s="1884" t="s">
        <v>1524</v>
      </c>
    </row>
    <row r="70" spans="1:18" s="1840" customFormat="1" ht="13.5" thickBot="1">
      <c r="A70" s="1172"/>
      <c r="B70" s="1173"/>
      <c r="C70" s="353"/>
      <c r="D70" s="1184"/>
      <c r="E70" s="1168" t="s">
        <v>1472</v>
      </c>
      <c r="F70" s="1274"/>
      <c r="O70" s="1892" t="s">
        <v>1046</v>
      </c>
      <c r="P70" s="1932" t="s">
        <v>1580</v>
      </c>
      <c r="Q70" s="1884">
        <f ca="1">C13</f>
        <v>22197</v>
      </c>
      <c r="R70" s="1884" t="s">
        <v>1524</v>
      </c>
    </row>
    <row r="71" spans="1:18" s="1840" customFormat="1" ht="13.5" thickBot="1">
      <c r="A71" s="1189" t="s">
        <v>1030</v>
      </c>
      <c r="B71" s="1190" t="s">
        <v>1482</v>
      </c>
      <c r="C71" s="380">
        <f ca="1">ROUND(C68*10000/F71,0)</f>
        <v>-5698</v>
      </c>
      <c r="D71" s="1191" t="s">
        <v>1483</v>
      </c>
      <c r="E71" s="1192" t="s">
        <v>1484</v>
      </c>
      <c r="F71" s="383">
        <f ca="1">F43</f>
        <v>69185.17</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4" t="s">
        <v>1501</v>
      </c>
      <c r="C75" s="385">
        <f ca="1">ROUND(C13*C76,0)</f>
        <v>1776</v>
      </c>
      <c r="D75" s="1840"/>
      <c r="E75" s="1840"/>
      <c r="F75" s="1840"/>
      <c r="K75" s="1866"/>
      <c r="L75" s="1840"/>
      <c r="O75" s="1882" t="s">
        <v>1043</v>
      </c>
      <c r="P75" s="1883" t="s">
        <v>1544</v>
      </c>
      <c r="Q75" s="1884">
        <f ca="1">Q65+Q66</f>
        <v>17329</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-1.6469999999999998</v>
      </c>
    </row>
    <row r="80" spans="1:18">
      <c r="B80" s="384" t="s">
        <v>1506</v>
      </c>
      <c r="C80" s="316">
        <f ca="1">ROUND(C75/C39,3)</f>
        <v>2.6469999999999998</v>
      </c>
    </row>
    <row r="81" spans="2:3">
      <c r="B81" s="312" t="s">
        <v>1507</v>
      </c>
      <c r="C81" s="280"/>
    </row>
    <row r="82" spans="2:3">
      <c r="B82" s="315" t="s">
        <v>1508</v>
      </c>
      <c r="C82" s="317">
        <f ca="1">1-C83</f>
        <v>-0.28099999999999992</v>
      </c>
    </row>
    <row r="83" spans="2:3">
      <c r="B83" s="315" t="s">
        <v>1509</v>
      </c>
      <c r="C83" s="316">
        <f ca="1">ROUND(C13/C40,3)</f>
        <v>1.2809999999999999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576" t="s">
        <v>2635</v>
      </c>
      <c r="C1" s="1632" t="s">
        <v>2523</v>
      </c>
      <c r="D1" s="1619"/>
      <c r="E1" s="2648"/>
      <c r="F1" s="2578"/>
      <c r="G1" s="1629" t="s">
        <v>2636</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6" customFormat="1" ht="28.5" customHeight="1" thickTop="1">
      <c r="A2" s="1615" t="s">
        <v>2323</v>
      </c>
      <c r="B2" s="1417" t="e">
        <f ca="1">IF(C2="——",ROUND(C49*D3/10000,0),ROUND(C49*D3/10000,0)-D2)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6" customFormat="1" ht="28.5" customHeight="1" thickBot="1">
      <c r="A3" s="245" t="s">
        <v>2325</v>
      </c>
      <c r="B3" s="607" t="e">
        <f ca="1">IF(C2="——",C49,ROUND(B2*10000/D3,0))</f>
        <v>#DIV/0!</v>
      </c>
      <c r="C3" s="398" t="s">
        <v>2637</v>
      </c>
      <c r="D3" s="397">
        <f>IF(D1="",'数据-汇总表'!E3,SUMIF('数据-汇总表'!$C19:$C33,D1,'数据-汇总表'!$E19:$E33))</f>
        <v>269955.14</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45" t="s">
        <v>2641</v>
      </c>
      <c r="AC4" s="3215" t="s">
        <v>2642</v>
      </c>
    </row>
    <row r="5" spans="1:29" ht="15">
      <c r="A5" s="402"/>
      <c r="B5" s="403"/>
      <c r="C5" s="3226" t="s">
        <v>2535</v>
      </c>
      <c r="D5" s="3227"/>
      <c r="E5" s="3224" t="s">
        <v>2536</v>
      </c>
      <c r="F5" s="3225"/>
      <c r="G5" s="3226" t="s">
        <v>2537</v>
      </c>
      <c r="H5" s="3227"/>
      <c r="I5" s="3226" t="s">
        <v>2538</v>
      </c>
      <c r="J5" s="3227"/>
      <c r="K5" s="608"/>
      <c r="L5" s="1129"/>
      <c r="M5" s="1130"/>
      <c r="N5" s="1130"/>
      <c r="O5" s="1130"/>
      <c r="P5" s="3239"/>
      <c r="Q5" s="3240"/>
      <c r="R5" s="3222"/>
      <c r="S5" s="3223"/>
      <c r="T5" s="3222"/>
      <c r="U5" s="3223"/>
      <c r="V5" s="3245"/>
      <c r="W5" s="3245"/>
      <c r="X5" s="1811"/>
      <c r="Y5" s="3222"/>
      <c r="Z5" s="3223"/>
      <c r="AA5" s="3216"/>
      <c r="AB5" s="3245"/>
      <c r="AC5" s="3216"/>
    </row>
    <row r="6" spans="1:29" ht="15.75" thickBot="1">
      <c r="A6" s="404"/>
      <c r="B6" s="405"/>
      <c r="C6" s="3228" t="s">
        <v>2539</v>
      </c>
      <c r="D6" s="3229"/>
      <c r="E6" s="3230" t="s">
        <v>2539</v>
      </c>
      <c r="F6" s="3231"/>
      <c r="G6" s="3228" t="s">
        <v>2539</v>
      </c>
      <c r="H6" s="3229"/>
      <c r="I6" s="3228" t="s">
        <v>2539</v>
      </c>
      <c r="J6" s="3229"/>
      <c r="K6" s="608" t="s">
        <v>2540</v>
      </c>
      <c r="L6" s="1129"/>
      <c r="M6" s="1130"/>
      <c r="N6" s="1130"/>
      <c r="O6" s="1130"/>
      <c r="P6" s="3241"/>
      <c r="Q6" s="3242"/>
      <c r="R6" s="3222"/>
      <c r="S6" s="3223"/>
      <c r="T6" s="3243"/>
      <c r="U6" s="3244"/>
      <c r="V6" s="3245"/>
      <c r="W6" s="3245"/>
      <c r="X6" s="1811"/>
      <c r="Y6" s="3243"/>
      <c r="Z6" s="3244"/>
      <c r="AA6" s="3217"/>
      <c r="AB6" s="3245"/>
      <c r="AC6" s="3217"/>
    </row>
    <row r="7" spans="1:29" s="116" customFormat="1" ht="15.75" thickBot="1">
      <c r="A7" s="406" t="s">
        <v>2541</v>
      </c>
      <c r="B7" s="407"/>
      <c r="C7" s="408">
        <f>'数据-取费表'!B2</f>
        <v>43493</v>
      </c>
      <c r="D7" s="409">
        <v>100</v>
      </c>
      <c r="E7" s="410"/>
      <c r="F7" s="411">
        <f>SUMIF(58:58,YEAR(E7)&amp;"-"&amp;MONTH(E7),59:59)</f>
        <v>0</v>
      </c>
      <c r="G7" s="410"/>
      <c r="H7" s="409">
        <f>SUMIF(58:58,YEAR(G7)&amp;"-"&amp;MONTH(G7),59:59)</f>
        <v>0</v>
      </c>
      <c r="I7" s="410"/>
      <c r="J7" s="409">
        <f>SUMIF(58:58,YEAR(I7)&amp;"-"&amp;MONTH(I7),59:59)</f>
        <v>0</v>
      </c>
      <c r="K7" s="609"/>
      <c r="L7" s="1131"/>
      <c r="M7" s="1132"/>
      <c r="N7" s="1132"/>
      <c r="O7" s="1132"/>
      <c r="P7" s="3218" t="s">
        <v>2542</v>
      </c>
      <c r="Q7" s="3246"/>
      <c r="R7" s="768" t="s">
        <v>17</v>
      </c>
      <c r="S7" s="769">
        <f t="shared" ref="S7:S15" si="0">F7</f>
        <v>0</v>
      </c>
      <c r="T7" s="768" t="s">
        <v>17</v>
      </c>
      <c r="U7" s="769">
        <f t="shared" ref="U7:U15" si="1">H7</f>
        <v>0</v>
      </c>
      <c r="V7" s="768" t="s">
        <v>17</v>
      </c>
      <c r="W7" s="769">
        <f t="shared" ref="W7:W15" si="2">J7</f>
        <v>0</v>
      </c>
      <c r="X7" s="770"/>
      <c r="Y7" s="3218" t="s">
        <v>2542</v>
      </c>
      <c r="Z7" s="3219"/>
      <c r="AA7" s="771" t="e">
        <f>D7/F7</f>
        <v>#DIV/0!</v>
      </c>
      <c r="AB7" s="771" t="e">
        <f>D7/H7</f>
        <v>#DIV/0!</v>
      </c>
      <c r="AC7" s="771" t="e">
        <f>D7/J7</f>
        <v>#DIV/0!</v>
      </c>
    </row>
    <row r="8" spans="1:29" s="116" customFormat="1" ht="15.7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218" t="s">
        <v>2545</v>
      </c>
      <c r="Q8" s="3219"/>
      <c r="R8" s="768" t="s">
        <v>17</v>
      </c>
      <c r="S8" s="769">
        <f t="shared" si="0"/>
        <v>0</v>
      </c>
      <c r="T8" s="768" t="s">
        <v>17</v>
      </c>
      <c r="U8" s="769">
        <f t="shared" si="1"/>
        <v>0</v>
      </c>
      <c r="V8" s="768" t="s">
        <v>17</v>
      </c>
      <c r="W8" s="769">
        <f t="shared" si="2"/>
        <v>0</v>
      </c>
      <c r="X8" s="770"/>
      <c r="Y8" s="3218" t="s">
        <v>2545</v>
      </c>
      <c r="Z8" s="3219"/>
      <c r="AA8" s="771" t="e">
        <f t="shared" ref="AA8:AA46" si="3">D8/F8</f>
        <v>#DIV/0!</v>
      </c>
      <c r="AB8" s="771" t="e">
        <f t="shared" ref="AB8:AB46" si="4">D8/H8</f>
        <v>#DIV/0!</v>
      </c>
      <c r="AC8" s="771" t="e">
        <f t="shared" ref="AC8:AC46" si="5">D8/J8</f>
        <v>#DIV/0!</v>
      </c>
    </row>
    <row r="9" spans="1:29" s="116" customFormat="1">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256" t="s">
        <v>2548</v>
      </c>
      <c r="Q9" s="1793" t="str">
        <f t="shared" ref="Q9:Q15" si="6">B9</f>
        <v>用途</v>
      </c>
      <c r="R9" s="768" t="s">
        <v>17</v>
      </c>
      <c r="S9" s="769">
        <f t="shared" si="0"/>
        <v>100</v>
      </c>
      <c r="T9" s="768" t="s">
        <v>17</v>
      </c>
      <c r="U9" s="769">
        <f t="shared" si="1"/>
        <v>100</v>
      </c>
      <c r="V9" s="768" t="s">
        <v>17</v>
      </c>
      <c r="W9" s="769">
        <f t="shared" si="2"/>
        <v>100</v>
      </c>
      <c r="X9" s="770"/>
      <c r="Y9" s="3071"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256"/>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256"/>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256"/>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256"/>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256"/>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38" t="s">
        <v>2552</v>
      </c>
      <c r="B15" s="69" t="s">
        <v>2646</v>
      </c>
      <c r="C15" s="2596" t="str">
        <f>估价对象房地状况!C4</f>
        <v>估价对象周边商业氛围较差，正在开发建设中，商业繁华度较差</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269" t="s">
        <v>2553</v>
      </c>
      <c r="Q15" s="1808" t="str">
        <f t="shared" si="6"/>
        <v>商业繁华度</v>
      </c>
      <c r="R15" s="772" t="s">
        <v>17</v>
      </c>
      <c r="S15" s="773">
        <f t="shared" si="0"/>
        <v>100</v>
      </c>
      <c r="T15" s="772" t="s">
        <v>17</v>
      </c>
      <c r="U15" s="773">
        <f t="shared" si="1"/>
        <v>100</v>
      </c>
      <c r="V15" s="772" t="s">
        <v>17</v>
      </c>
      <c r="W15" s="773">
        <f t="shared" si="2"/>
        <v>100</v>
      </c>
      <c r="X15" s="1811"/>
      <c r="Y15" s="3247" t="s">
        <v>2553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0"/>
      <c r="P16" s="3270"/>
      <c r="Q16" s="1808"/>
      <c r="R16" s="772"/>
      <c r="S16" s="773"/>
      <c r="T16" s="772"/>
      <c r="U16" s="773"/>
      <c r="V16" s="772"/>
      <c r="W16" s="773"/>
      <c r="X16" s="1811"/>
      <c r="Y16" s="3248"/>
      <c r="Z16" s="1812"/>
      <c r="AA16" s="1809">
        <v>1</v>
      </c>
      <c r="AB16" s="1809">
        <v>1</v>
      </c>
      <c r="AC16" s="1809">
        <v>1</v>
      </c>
    </row>
    <row r="17" spans="1:29" ht="71.25">
      <c r="A17" s="426"/>
      <c r="B17" s="449" t="s">
        <v>2092</v>
      </c>
      <c r="C17" s="2600" t="str">
        <f>估价对象房地状况!C6</f>
        <v>估价对象周边有326、泾阳9、泾阳16等公交线路，综合评价交通便捷度较差</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270"/>
      <c r="Q17" s="1808" t="str">
        <f>B17</f>
        <v>交通便捷度</v>
      </c>
      <c r="R17" s="772" t="s">
        <v>17</v>
      </c>
      <c r="S17" s="773">
        <f>F17</f>
        <v>100</v>
      </c>
      <c r="T17" s="772" t="s">
        <v>17</v>
      </c>
      <c r="U17" s="773">
        <f>H17</f>
        <v>100</v>
      </c>
      <c r="V17" s="772" t="s">
        <v>17</v>
      </c>
      <c r="W17" s="773">
        <f>J17</f>
        <v>100</v>
      </c>
      <c r="X17" s="1811"/>
      <c r="Y17" s="3248"/>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0"/>
      <c r="P18" s="3270"/>
      <c r="Q18" s="1808"/>
      <c r="R18" s="772"/>
      <c r="S18" s="773"/>
      <c r="T18" s="772"/>
      <c r="U18" s="773"/>
      <c r="V18" s="772"/>
      <c r="W18" s="773"/>
      <c r="X18" s="1811"/>
      <c r="Y18" s="3248"/>
      <c r="Z18" s="1812"/>
      <c r="AA18" s="1809">
        <v>1</v>
      </c>
      <c r="AB18" s="1809">
        <v>1</v>
      </c>
      <c r="AC18" s="1809">
        <v>1</v>
      </c>
    </row>
    <row r="19" spans="1:29" ht="42.75">
      <c r="A19" s="426"/>
      <c r="B19" s="449" t="s">
        <v>2647</v>
      </c>
      <c r="C19" s="2600" t="str">
        <f>估价对象房地状况!C7</f>
        <v>估价对象所在区域公共配套设施齐备度较差</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270"/>
      <c r="Q19" s="1808" t="str">
        <f>B19</f>
        <v>公共配套设施</v>
      </c>
      <c r="R19" s="772" t="s">
        <v>17</v>
      </c>
      <c r="S19" s="773">
        <f>F19</f>
        <v>100</v>
      </c>
      <c r="T19" s="772" t="s">
        <v>17</v>
      </c>
      <c r="U19" s="773">
        <f>H19</f>
        <v>100</v>
      </c>
      <c r="V19" s="772" t="s">
        <v>17</v>
      </c>
      <c r="W19" s="773">
        <f>J19</f>
        <v>100</v>
      </c>
      <c r="X19" s="1811"/>
      <c r="Y19" s="3248"/>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0"/>
      <c r="P20" s="3270"/>
      <c r="Q20" s="1808"/>
      <c r="R20" s="772"/>
      <c r="S20" s="773"/>
      <c r="T20" s="772"/>
      <c r="U20" s="773"/>
      <c r="V20" s="772"/>
      <c r="W20" s="773"/>
      <c r="X20" s="1811"/>
      <c r="Y20" s="3248"/>
      <c r="Z20" s="1812"/>
      <c r="AA20" s="1809">
        <v>1</v>
      </c>
      <c r="AB20" s="1809">
        <v>1</v>
      </c>
      <c r="AC20" s="1809">
        <v>1</v>
      </c>
    </row>
    <row r="21" spans="1:29" ht="42.75">
      <c r="A21" s="426"/>
      <c r="B21" s="1383" t="s">
        <v>2648</v>
      </c>
      <c r="C21" s="2600" t="str">
        <f>估价对象房地状况!C8</f>
        <v>估价对象所在区域基础设施水平达七通</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270"/>
      <c r="Q21" s="1808" t="str">
        <f>B21</f>
        <v>基础设施水平</v>
      </c>
      <c r="R21" s="772" t="s">
        <v>17</v>
      </c>
      <c r="S21" s="773">
        <f>F21</f>
        <v>100</v>
      </c>
      <c r="T21" s="772" t="s">
        <v>17</v>
      </c>
      <c r="U21" s="773">
        <f>H21</f>
        <v>100</v>
      </c>
      <c r="V21" s="772" t="s">
        <v>17</v>
      </c>
      <c r="W21" s="773">
        <f>J21</f>
        <v>100</v>
      </c>
      <c r="X21" s="1811"/>
      <c r="Y21" s="3248"/>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0"/>
      <c r="P22" s="3270"/>
      <c r="Q22" s="1808"/>
      <c r="R22" s="772"/>
      <c r="S22" s="773"/>
      <c r="T22" s="772"/>
      <c r="U22" s="773"/>
      <c r="V22" s="772"/>
      <c r="W22" s="773"/>
      <c r="X22" s="1811"/>
      <c r="Y22" s="3248"/>
      <c r="Z22" s="1812"/>
      <c r="AA22" s="1809">
        <v>1</v>
      </c>
      <c r="AB22" s="1809">
        <v>1</v>
      </c>
      <c r="AC22" s="1809">
        <v>1</v>
      </c>
    </row>
    <row r="23" spans="1:29" ht="42.75">
      <c r="A23" s="426"/>
      <c r="B23" s="449" t="s">
        <v>2097</v>
      </c>
      <c r="C23" s="2655" t="str">
        <f>估价对象房地状况!C9</f>
        <v>周边1公里有泾河，综合评价环境状况一般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270"/>
      <c r="Q23" s="1808" t="str">
        <f>B23</f>
        <v>自然及人文环境</v>
      </c>
      <c r="R23" s="772" t="s">
        <v>17</v>
      </c>
      <c r="S23" s="773">
        <f>F23</f>
        <v>100</v>
      </c>
      <c r="T23" s="772" t="s">
        <v>17</v>
      </c>
      <c r="U23" s="773">
        <f>H23</f>
        <v>100</v>
      </c>
      <c r="V23" s="772" t="s">
        <v>17</v>
      </c>
      <c r="W23" s="773">
        <f>J23</f>
        <v>100</v>
      </c>
      <c r="X23" s="1811"/>
      <c r="Y23" s="3248"/>
      <c r="Z23" s="1812" t="str">
        <f>Q23</f>
        <v>自然及人文环境</v>
      </c>
      <c r="AA23" s="1809">
        <f t="shared" si="3"/>
        <v>1</v>
      </c>
      <c r="AB23" s="1809">
        <f t="shared" si="4"/>
        <v>1</v>
      </c>
      <c r="AC23" s="1809">
        <f t="shared" si="5"/>
        <v>1</v>
      </c>
    </row>
    <row r="24" spans="1:29" ht="15">
      <c r="A24" s="426"/>
      <c r="B24" s="454"/>
      <c r="C24" s="445"/>
      <c r="D24" s="446"/>
      <c r="E24" s="2598"/>
      <c r="F24" s="447"/>
      <c r="G24" s="2597"/>
      <c r="H24" s="446"/>
      <c r="I24" s="2598"/>
      <c r="J24" s="446"/>
      <c r="K24" s="613"/>
      <c r="L24" s="1139"/>
      <c r="M24" s="1130"/>
      <c r="N24" s="1130"/>
      <c r="O24" s="1130"/>
      <c r="P24" s="3270"/>
      <c r="Q24" s="1808"/>
      <c r="R24" s="772"/>
      <c r="S24" s="773"/>
      <c r="T24" s="772"/>
      <c r="U24" s="773"/>
      <c r="V24" s="772"/>
      <c r="W24" s="773"/>
      <c r="X24" s="1811"/>
      <c r="Y24" s="3248"/>
      <c r="Z24" s="1812"/>
      <c r="AA24" s="1809">
        <v>1</v>
      </c>
      <c r="AB24" s="1809">
        <v>1</v>
      </c>
      <c r="AC24" s="1809">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270"/>
      <c r="Q25" s="1808" t="str">
        <f t="shared" ref="Q25:Q46" si="11">B25</f>
        <v>临街状况</v>
      </c>
      <c r="R25" s="772" t="s">
        <v>17</v>
      </c>
      <c r="S25" s="773">
        <f>F25</f>
        <v>100</v>
      </c>
      <c r="T25" s="772" t="s">
        <v>17</v>
      </c>
      <c r="U25" s="773">
        <f>H25</f>
        <v>100</v>
      </c>
      <c r="V25" s="772" t="s">
        <v>17</v>
      </c>
      <c r="W25" s="773">
        <f>J25</f>
        <v>100</v>
      </c>
      <c r="X25" s="1811"/>
      <c r="Y25" s="3248"/>
      <c r="Z25" s="1812" t="str">
        <f>Q25</f>
        <v>临街状况</v>
      </c>
      <c r="AA25" s="1809">
        <f t="shared" si="3"/>
        <v>1</v>
      </c>
      <c r="AB25" s="1809">
        <f t="shared" si="4"/>
        <v>1</v>
      </c>
      <c r="AC25" s="1809">
        <f t="shared" si="5"/>
        <v>1</v>
      </c>
    </row>
    <row r="26" spans="1:29" ht="15">
      <c r="A26" s="426"/>
      <c r="B26" s="1385" t="s">
        <v>2650</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270"/>
      <c r="Q26" s="1808" t="str">
        <f t="shared" si="11"/>
        <v>平面位置/可视性</v>
      </c>
      <c r="R26" s="772" t="s">
        <v>17</v>
      </c>
      <c r="S26" s="773">
        <f>F26</f>
        <v>100</v>
      </c>
      <c r="T26" s="772" t="s">
        <v>17</v>
      </c>
      <c r="U26" s="773">
        <f>H26</f>
        <v>100</v>
      </c>
      <c r="V26" s="772" t="s">
        <v>17</v>
      </c>
      <c r="W26" s="773">
        <f>J26</f>
        <v>100</v>
      </c>
      <c r="X26" s="1811"/>
      <c r="Y26" s="3248"/>
      <c r="Z26" s="1812" t="str">
        <f>Q26</f>
        <v>平面位置/可视性</v>
      </c>
      <c r="AA26" s="1809">
        <f t="shared" si="3"/>
        <v>1</v>
      </c>
      <c r="AB26" s="1809">
        <f t="shared" si="4"/>
        <v>1</v>
      </c>
      <c r="AC26" s="1809">
        <f t="shared" si="5"/>
        <v>1</v>
      </c>
    </row>
    <row r="27" spans="1:29" s="116" customFormat="1" ht="15">
      <c r="A27" s="429"/>
      <c r="B27" s="449" t="s">
        <v>2651</v>
      </c>
      <c r="C27" s="2656"/>
      <c r="D27" s="460">
        <v>100</v>
      </c>
      <c r="E27" s="2656"/>
      <c r="F27" s="462">
        <f>SUMIF(90:90,E27,91:91)-SUMIF(90:90,C27,91:91)+100</f>
        <v>100</v>
      </c>
      <c r="G27" s="2656"/>
      <c r="H27" s="460">
        <f>SUMIF(90:90,G27,91:91)-SUMIF(90:90,C27,91:91)+100</f>
        <v>100</v>
      </c>
      <c r="I27" s="2656"/>
      <c r="J27" s="460">
        <f>SUMIF(90:90,I27,91:91)-SUMIF(90:90,C27,91:91)+100</f>
        <v>100</v>
      </c>
      <c r="K27" s="610"/>
      <c r="L27" s="1131"/>
      <c r="M27" s="1132"/>
      <c r="N27" s="1132"/>
      <c r="O27" s="1132"/>
      <c r="P27" s="3270"/>
      <c r="Q27" s="1793" t="str">
        <f t="shared" si="11"/>
        <v>人流量</v>
      </c>
      <c r="R27" s="768" t="s">
        <v>17</v>
      </c>
      <c r="S27" s="769">
        <f>F27</f>
        <v>100</v>
      </c>
      <c r="T27" s="768" t="s">
        <v>17</v>
      </c>
      <c r="U27" s="769">
        <f>H27</f>
        <v>100</v>
      </c>
      <c r="V27" s="768" t="s">
        <v>17</v>
      </c>
      <c r="W27" s="769">
        <f>J27</f>
        <v>100</v>
      </c>
      <c r="X27" s="770"/>
      <c r="Y27" s="3248"/>
      <c r="Z27" s="55" t="str">
        <f>Q27</f>
        <v>人流量</v>
      </c>
      <c r="AA27" s="1809">
        <f>D27/F27</f>
        <v>1</v>
      </c>
      <c r="AB27" s="1809">
        <f>D27/H27</f>
        <v>1</v>
      </c>
      <c r="AC27" s="1809">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27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48"/>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270"/>
      <c r="Q29" s="1808">
        <f t="shared" si="11"/>
        <v>111</v>
      </c>
      <c r="R29" s="772" t="s">
        <v>17</v>
      </c>
      <c r="S29" s="773">
        <f t="shared" si="12"/>
        <v>100</v>
      </c>
      <c r="T29" s="772" t="s">
        <v>17</v>
      </c>
      <c r="U29" s="773">
        <f t="shared" si="13"/>
        <v>100</v>
      </c>
      <c r="V29" s="772" t="s">
        <v>17</v>
      </c>
      <c r="W29" s="773">
        <f t="shared" si="14"/>
        <v>100</v>
      </c>
      <c r="X29" s="1811"/>
      <c r="Y29" s="3248"/>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270"/>
      <c r="Q30" s="1808">
        <f t="shared" si="11"/>
        <v>111</v>
      </c>
      <c r="R30" s="772" t="s">
        <v>17</v>
      </c>
      <c r="S30" s="773">
        <f t="shared" si="12"/>
        <v>100</v>
      </c>
      <c r="T30" s="772" t="s">
        <v>17</v>
      </c>
      <c r="U30" s="773">
        <f t="shared" si="13"/>
        <v>100</v>
      </c>
      <c r="V30" s="772" t="s">
        <v>17</v>
      </c>
      <c r="W30" s="773">
        <f t="shared" si="14"/>
        <v>100</v>
      </c>
      <c r="X30" s="1811"/>
      <c r="Y30" s="3248"/>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270"/>
      <c r="Q31" s="1808">
        <f t="shared" si="11"/>
        <v>111</v>
      </c>
      <c r="R31" s="772" t="s">
        <v>17</v>
      </c>
      <c r="S31" s="773">
        <f t="shared" si="12"/>
        <v>100</v>
      </c>
      <c r="T31" s="772" t="s">
        <v>17</v>
      </c>
      <c r="U31" s="773">
        <f t="shared" si="13"/>
        <v>100</v>
      </c>
      <c r="V31" s="772" t="s">
        <v>17</v>
      </c>
      <c r="W31" s="773">
        <f t="shared" si="14"/>
        <v>100</v>
      </c>
      <c r="X31" s="1811"/>
      <c r="Y31" s="3248"/>
      <c r="Z31" s="1812">
        <f t="shared" si="15"/>
        <v>111</v>
      </c>
      <c r="AA31" s="1809">
        <f t="shared" si="3"/>
        <v>1</v>
      </c>
      <c r="AB31" s="1809">
        <f t="shared" si="4"/>
        <v>1</v>
      </c>
      <c r="AC31" s="1809">
        <f t="shared" si="5"/>
        <v>1</v>
      </c>
    </row>
    <row r="32" spans="1:29" ht="15">
      <c r="A32" s="438" t="s">
        <v>2556</v>
      </c>
      <c r="B32" s="71" t="s">
        <v>2653</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9"/>
      <c r="M32" s="1130"/>
      <c r="N32" s="1130"/>
      <c r="O32" s="1130"/>
      <c r="P32" s="3265" t="s">
        <v>2558</v>
      </c>
      <c r="Q32" s="1808" t="str">
        <f t="shared" si="11"/>
        <v>商业类型</v>
      </c>
      <c r="R32" s="772" t="s">
        <v>17</v>
      </c>
      <c r="S32" s="773">
        <f t="shared" si="12"/>
        <v>100</v>
      </c>
      <c r="T32" s="772" t="s">
        <v>17</v>
      </c>
      <c r="U32" s="773">
        <f t="shared" si="13"/>
        <v>100</v>
      </c>
      <c r="V32" s="772" t="s">
        <v>17</v>
      </c>
      <c r="W32" s="773">
        <f t="shared" si="14"/>
        <v>100</v>
      </c>
      <c r="X32" s="1811"/>
      <c r="Y32" s="3250" t="s">
        <v>2558</v>
      </c>
      <c r="Z32" s="1812" t="str">
        <f t="shared" si="15"/>
        <v>商业类型</v>
      </c>
      <c r="AA32" s="1809">
        <f t="shared" si="3"/>
        <v>1</v>
      </c>
      <c r="AB32" s="1809">
        <f t="shared" si="4"/>
        <v>1</v>
      </c>
      <c r="AC32" s="1809">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266"/>
      <c r="Q33" s="774" t="str">
        <f t="shared" si="11"/>
        <v>项目建筑规模</v>
      </c>
      <c r="R33" s="775" t="s">
        <v>17</v>
      </c>
      <c r="S33" s="776" t="e">
        <f t="shared" si="12"/>
        <v>#N/A</v>
      </c>
      <c r="T33" s="775" t="s">
        <v>17</v>
      </c>
      <c r="U33" s="776" t="e">
        <f t="shared" si="13"/>
        <v>#N/A</v>
      </c>
      <c r="V33" s="775" t="s">
        <v>17</v>
      </c>
      <c r="W33" s="776" t="e">
        <f t="shared" si="14"/>
        <v>#N/A</v>
      </c>
      <c r="X33" s="777"/>
      <c r="Y33" s="3250"/>
      <c r="Z33" s="778" t="str">
        <f t="shared" si="15"/>
        <v>项目建筑规模</v>
      </c>
      <c r="AA33" s="1809" t="e">
        <f t="shared" si="3"/>
        <v>#N/A</v>
      </c>
      <c r="AB33" s="1809" t="e">
        <f t="shared" si="4"/>
        <v>#N/A</v>
      </c>
      <c r="AC33" s="1809" t="e">
        <f t="shared" si="5"/>
        <v>#N/A</v>
      </c>
    </row>
    <row r="34" spans="1:29" ht="15">
      <c r="A34" s="470"/>
      <c r="B34" s="420" t="s">
        <v>2560</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9"/>
      <c r="M34" s="1130"/>
      <c r="N34" s="1130"/>
      <c r="O34" s="1130"/>
      <c r="P34" s="3266"/>
      <c r="Q34" s="1808" t="str">
        <f t="shared" si="11"/>
        <v>建筑结构</v>
      </c>
      <c r="R34" s="772" t="s">
        <v>17</v>
      </c>
      <c r="S34" s="773">
        <f t="shared" si="12"/>
        <v>100</v>
      </c>
      <c r="T34" s="772" t="s">
        <v>17</v>
      </c>
      <c r="U34" s="773">
        <f t="shared" si="13"/>
        <v>100</v>
      </c>
      <c r="V34" s="772" t="s">
        <v>17</v>
      </c>
      <c r="W34" s="773">
        <f t="shared" si="14"/>
        <v>100</v>
      </c>
      <c r="X34" s="1811"/>
      <c r="Y34" s="3250"/>
      <c r="Z34" s="1812" t="str">
        <f t="shared" si="15"/>
        <v>建筑结构</v>
      </c>
      <c r="AA34" s="1809">
        <f t="shared" si="3"/>
        <v>1</v>
      </c>
      <c r="AB34" s="1809">
        <f t="shared" si="4"/>
        <v>1</v>
      </c>
      <c r="AC34" s="1809">
        <f t="shared" si="5"/>
        <v>1</v>
      </c>
    </row>
    <row r="35" spans="1:29" ht="15">
      <c r="A35" s="470"/>
      <c r="B35" s="420" t="s">
        <v>2654</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9"/>
      <c r="M35" s="1130"/>
      <c r="N35" s="1130"/>
      <c r="O35" s="1130"/>
      <c r="P35" s="3266"/>
      <c r="Q35" s="1808" t="str">
        <f t="shared" si="11"/>
        <v>公共部分装修</v>
      </c>
      <c r="R35" s="772" t="s">
        <v>17</v>
      </c>
      <c r="S35" s="773">
        <f t="shared" si="12"/>
        <v>100</v>
      </c>
      <c r="T35" s="772" t="s">
        <v>17</v>
      </c>
      <c r="U35" s="773">
        <f t="shared" si="13"/>
        <v>100</v>
      </c>
      <c r="V35" s="772" t="s">
        <v>17</v>
      </c>
      <c r="W35" s="773">
        <f t="shared" si="14"/>
        <v>100</v>
      </c>
      <c r="X35" s="1811"/>
      <c r="Y35" s="3250"/>
      <c r="Z35" s="1812" t="str">
        <f t="shared" si="15"/>
        <v>公共部分装修</v>
      </c>
      <c r="AA35" s="1809">
        <f t="shared" si="3"/>
        <v>1</v>
      </c>
      <c r="AB35" s="1809">
        <f t="shared" si="4"/>
        <v>1</v>
      </c>
      <c r="AC35" s="1809">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266"/>
      <c r="Q36" s="1808" t="str">
        <f t="shared" si="11"/>
        <v>成新度</v>
      </c>
      <c r="R36" s="772" t="s">
        <v>17</v>
      </c>
      <c r="S36" s="773" t="e">
        <f t="shared" si="12"/>
        <v>#N/A</v>
      </c>
      <c r="T36" s="772" t="s">
        <v>17</v>
      </c>
      <c r="U36" s="773" t="e">
        <f t="shared" si="13"/>
        <v>#N/A</v>
      </c>
      <c r="V36" s="772" t="s">
        <v>17</v>
      </c>
      <c r="W36" s="773" t="e">
        <f t="shared" si="14"/>
        <v>#N/A</v>
      </c>
      <c r="X36" s="1811"/>
      <c r="Y36" s="3250"/>
      <c r="Z36" s="1812" t="str">
        <f t="shared" si="15"/>
        <v>成新度</v>
      </c>
      <c r="AA36" s="1809" t="e">
        <f t="shared" si="3"/>
        <v>#N/A</v>
      </c>
      <c r="AB36" s="1809" t="e">
        <f t="shared" si="4"/>
        <v>#N/A</v>
      </c>
      <c r="AC36" s="1809" t="e">
        <f t="shared" si="5"/>
        <v>#N/A</v>
      </c>
    </row>
    <row r="37" spans="1:29" s="116" customFormat="1" ht="15">
      <c r="A37" s="471"/>
      <c r="B37" s="420" t="s">
        <v>2656</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31"/>
      <c r="M37" s="1132"/>
      <c r="N37" s="1132"/>
      <c r="O37" s="1132"/>
      <c r="P37" s="3266"/>
      <c r="Q37" s="1793" t="str">
        <f t="shared" si="11"/>
        <v>市政基础设施</v>
      </c>
      <c r="R37" s="768" t="s">
        <v>17</v>
      </c>
      <c r="S37" s="769">
        <f t="shared" si="12"/>
        <v>100</v>
      </c>
      <c r="T37" s="768" t="s">
        <v>17</v>
      </c>
      <c r="U37" s="769">
        <f t="shared" si="13"/>
        <v>100</v>
      </c>
      <c r="V37" s="768" t="s">
        <v>17</v>
      </c>
      <c r="W37" s="769">
        <f t="shared" si="14"/>
        <v>100</v>
      </c>
      <c r="X37" s="770"/>
      <c r="Y37" s="3250"/>
      <c r="Z37" s="55" t="str">
        <f t="shared" si="15"/>
        <v>市政基础设施</v>
      </c>
      <c r="AA37" s="771">
        <f t="shared" si="3"/>
        <v>1</v>
      </c>
      <c r="AB37" s="771">
        <f t="shared" si="4"/>
        <v>1</v>
      </c>
      <c r="AC37" s="771">
        <f t="shared" si="5"/>
        <v>1</v>
      </c>
    </row>
    <row r="38" spans="1:29" ht="15">
      <c r="A38" s="470"/>
      <c r="B38" s="420" t="s">
        <v>2657</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9"/>
      <c r="M38" s="1130"/>
      <c r="N38" s="1130"/>
      <c r="O38" s="1130"/>
      <c r="P38" s="3266" t="s">
        <v>2558</v>
      </c>
      <c r="Q38" s="1808" t="str">
        <f t="shared" si="11"/>
        <v>业态</v>
      </c>
      <c r="R38" s="772" t="s">
        <v>17</v>
      </c>
      <c r="S38" s="773">
        <f t="shared" si="12"/>
        <v>100</v>
      </c>
      <c r="T38" s="772" t="s">
        <v>17</v>
      </c>
      <c r="U38" s="773">
        <f t="shared" si="13"/>
        <v>100</v>
      </c>
      <c r="V38" s="772" t="s">
        <v>17</v>
      </c>
      <c r="W38" s="773">
        <f t="shared" si="14"/>
        <v>100</v>
      </c>
      <c r="X38" s="1811"/>
      <c r="Y38" s="3250" t="s">
        <v>2558</v>
      </c>
      <c r="Z38" s="1812" t="str">
        <f t="shared" si="15"/>
        <v>业态</v>
      </c>
      <c r="AA38" s="1809">
        <f t="shared" si="3"/>
        <v>1</v>
      </c>
      <c r="AB38" s="1809">
        <f t="shared" si="4"/>
        <v>1</v>
      </c>
      <c r="AC38" s="1809">
        <f t="shared" si="5"/>
        <v>1</v>
      </c>
    </row>
    <row r="39" spans="1:29" ht="15">
      <c r="A39" s="470"/>
      <c r="B39" s="420" t="s">
        <v>2658</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9"/>
      <c r="M39" s="1130"/>
      <c r="N39" s="1130"/>
      <c r="O39" s="1130"/>
      <c r="P39" s="3266"/>
      <c r="Q39" s="1808" t="str">
        <f t="shared" si="11"/>
        <v>层高</v>
      </c>
      <c r="R39" s="772" t="s">
        <v>17</v>
      </c>
      <c r="S39" s="773">
        <f t="shared" si="12"/>
        <v>100</v>
      </c>
      <c r="T39" s="772" t="s">
        <v>17</v>
      </c>
      <c r="U39" s="773">
        <f t="shared" si="13"/>
        <v>100</v>
      </c>
      <c r="V39" s="772" t="s">
        <v>17</v>
      </c>
      <c r="W39" s="773">
        <f t="shared" si="14"/>
        <v>100</v>
      </c>
      <c r="X39" s="1811"/>
      <c r="Y39" s="3250"/>
      <c r="Z39" s="1812" t="str">
        <f t="shared" si="15"/>
        <v>层高</v>
      </c>
      <c r="AA39" s="1809">
        <f t="shared" si="3"/>
        <v>1</v>
      </c>
      <c r="AB39" s="1809">
        <f t="shared" si="4"/>
        <v>1</v>
      </c>
      <c r="AC39" s="1809">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266"/>
      <c r="Q40" s="1808" t="str">
        <f t="shared" si="11"/>
        <v>单套建筑面积</v>
      </c>
      <c r="R40" s="772" t="s">
        <v>17</v>
      </c>
      <c r="S40" s="773">
        <f t="shared" si="12"/>
        <v>100</v>
      </c>
      <c r="T40" s="772" t="s">
        <v>17</v>
      </c>
      <c r="U40" s="773">
        <f t="shared" si="13"/>
        <v>100</v>
      </c>
      <c r="V40" s="772" t="s">
        <v>17</v>
      </c>
      <c r="W40" s="773">
        <f t="shared" si="14"/>
        <v>100</v>
      </c>
      <c r="X40" s="1811"/>
      <c r="Y40" s="3250"/>
      <c r="Z40" s="1812" t="str">
        <f t="shared" si="15"/>
        <v>单套建筑面积</v>
      </c>
      <c r="AA40" s="1809">
        <f t="shared" si="3"/>
        <v>1</v>
      </c>
      <c r="AB40" s="1809">
        <f t="shared" si="4"/>
        <v>1</v>
      </c>
      <c r="AC40" s="1809">
        <f t="shared" si="5"/>
        <v>1</v>
      </c>
    </row>
    <row r="41" spans="1:29" s="469" customFormat="1" ht="15">
      <c r="A41" s="466"/>
      <c r="B41" s="1810"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266"/>
      <c r="Q41" s="774" t="str">
        <f t="shared" si="11"/>
        <v>进深比</v>
      </c>
      <c r="R41" s="775" t="s">
        <v>17</v>
      </c>
      <c r="S41" s="776">
        <f t="shared" si="12"/>
        <v>100</v>
      </c>
      <c r="T41" s="775" t="s">
        <v>17</v>
      </c>
      <c r="U41" s="776">
        <f t="shared" si="13"/>
        <v>100</v>
      </c>
      <c r="V41" s="775" t="s">
        <v>17</v>
      </c>
      <c r="W41" s="776">
        <f t="shared" si="14"/>
        <v>100</v>
      </c>
      <c r="X41" s="777"/>
      <c r="Y41" s="3250"/>
      <c r="Z41" s="778" t="str">
        <f t="shared" si="15"/>
        <v>进深比</v>
      </c>
      <c r="AA41" s="1809">
        <f t="shared" si="3"/>
        <v>1</v>
      </c>
      <c r="AB41" s="1809">
        <f t="shared" si="4"/>
        <v>1</v>
      </c>
      <c r="AC41" s="1809">
        <f t="shared" si="5"/>
        <v>1</v>
      </c>
    </row>
    <row r="42" spans="1:29" ht="15">
      <c r="A42" s="470"/>
      <c r="B42" s="420" t="s">
        <v>2661</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9"/>
      <c r="M42" s="1130"/>
      <c r="N42" s="1130"/>
      <c r="O42" s="1130"/>
      <c r="P42" s="3266"/>
      <c r="Q42" s="1808" t="str">
        <f t="shared" si="11"/>
        <v>内部装修</v>
      </c>
      <c r="R42" s="772" t="s">
        <v>17</v>
      </c>
      <c r="S42" s="773">
        <f t="shared" si="12"/>
        <v>100</v>
      </c>
      <c r="T42" s="772" t="s">
        <v>17</v>
      </c>
      <c r="U42" s="773">
        <f t="shared" si="13"/>
        <v>100</v>
      </c>
      <c r="V42" s="772" t="s">
        <v>17</v>
      </c>
      <c r="W42" s="773">
        <f t="shared" si="14"/>
        <v>100</v>
      </c>
      <c r="X42" s="1811"/>
      <c r="Y42" s="3250"/>
      <c r="Z42" s="1812" t="str">
        <f t="shared" si="15"/>
        <v>内部装修</v>
      </c>
      <c r="AA42" s="1809">
        <f t="shared" si="3"/>
        <v>1</v>
      </c>
      <c r="AB42" s="1809">
        <f t="shared" si="4"/>
        <v>1</v>
      </c>
      <c r="AC42" s="1809">
        <f t="shared" si="5"/>
        <v>1</v>
      </c>
    </row>
    <row r="43" spans="1:29" ht="15">
      <c r="A43" s="470"/>
      <c r="B43" s="420" t="s">
        <v>2569</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9"/>
      <c r="M43" s="1130"/>
      <c r="N43" s="1130"/>
      <c r="O43" s="1130"/>
      <c r="P43" s="3266"/>
      <c r="Q43" s="1808" t="str">
        <f t="shared" si="11"/>
        <v>内部装修维护情况</v>
      </c>
      <c r="R43" s="772" t="s">
        <v>17</v>
      </c>
      <c r="S43" s="773">
        <f t="shared" si="12"/>
        <v>100</v>
      </c>
      <c r="T43" s="772" t="s">
        <v>17</v>
      </c>
      <c r="U43" s="773">
        <f t="shared" si="13"/>
        <v>100</v>
      </c>
      <c r="V43" s="772" t="s">
        <v>17</v>
      </c>
      <c r="W43" s="773">
        <f t="shared" si="14"/>
        <v>100</v>
      </c>
      <c r="X43" s="1811"/>
      <c r="Y43" s="3250"/>
      <c r="Z43" s="1812" t="str">
        <f t="shared" si="15"/>
        <v>内部装修维护情况</v>
      </c>
      <c r="AA43" s="1809">
        <f t="shared" si="3"/>
        <v>1</v>
      </c>
      <c r="AB43" s="1809">
        <f t="shared" si="4"/>
        <v>1</v>
      </c>
      <c r="AC43" s="1809">
        <f t="shared" si="5"/>
        <v>1</v>
      </c>
    </row>
    <row r="44" spans="1:29" s="116"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266"/>
      <c r="Q44" s="1793">
        <f t="shared" si="11"/>
        <v>111</v>
      </c>
      <c r="R44" s="768" t="s">
        <v>17</v>
      </c>
      <c r="S44" s="769">
        <f t="shared" si="12"/>
        <v>100</v>
      </c>
      <c r="T44" s="768" t="s">
        <v>17</v>
      </c>
      <c r="U44" s="769">
        <f t="shared" si="13"/>
        <v>100</v>
      </c>
      <c r="V44" s="768" t="s">
        <v>17</v>
      </c>
      <c r="W44" s="769">
        <f t="shared" si="14"/>
        <v>100</v>
      </c>
      <c r="X44" s="770"/>
      <c r="Y44" s="3250"/>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266"/>
      <c r="Q45" s="1808">
        <f t="shared" si="11"/>
        <v>111</v>
      </c>
      <c r="R45" s="772" t="s">
        <v>17</v>
      </c>
      <c r="S45" s="773">
        <f t="shared" si="12"/>
        <v>100</v>
      </c>
      <c r="T45" s="772" t="s">
        <v>17</v>
      </c>
      <c r="U45" s="773">
        <f t="shared" si="13"/>
        <v>100</v>
      </c>
      <c r="V45" s="772" t="s">
        <v>17</v>
      </c>
      <c r="W45" s="773">
        <f t="shared" si="14"/>
        <v>100</v>
      </c>
      <c r="X45" s="1811"/>
      <c r="Y45" s="3250"/>
      <c r="Z45" s="1812">
        <f t="shared" si="15"/>
        <v>111</v>
      </c>
      <c r="AA45" s="1809">
        <f t="shared" si="3"/>
        <v>1</v>
      </c>
      <c r="AB45" s="1809">
        <f t="shared" si="4"/>
        <v>1</v>
      </c>
      <c r="AC45" s="1809">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267"/>
      <c r="Q46" s="1808">
        <f t="shared" si="11"/>
        <v>111</v>
      </c>
      <c r="R46" s="772" t="s">
        <v>17</v>
      </c>
      <c r="S46" s="773">
        <f t="shared" si="12"/>
        <v>100</v>
      </c>
      <c r="T46" s="772" t="s">
        <v>17</v>
      </c>
      <c r="U46" s="773">
        <f t="shared" si="13"/>
        <v>100</v>
      </c>
      <c r="V46" s="772" t="s">
        <v>17</v>
      </c>
      <c r="W46" s="773">
        <f t="shared" si="14"/>
        <v>100</v>
      </c>
      <c r="X46" s="1811"/>
      <c r="Y46" s="3268"/>
      <c r="Z46" s="1812">
        <f t="shared" si="15"/>
        <v>111</v>
      </c>
      <c r="AA46" s="1809">
        <f t="shared" si="3"/>
        <v>1</v>
      </c>
      <c r="AB46" s="1809">
        <f t="shared" si="4"/>
        <v>1</v>
      </c>
      <c r="AC46" s="1809">
        <f t="shared" si="5"/>
        <v>1</v>
      </c>
    </row>
    <row r="47" spans="1:29" ht="15">
      <c r="A47" s="477" t="s">
        <v>2570</v>
      </c>
      <c r="B47" s="478"/>
      <c r="C47" s="1406" t="s">
        <v>1</v>
      </c>
      <c r="D47" s="1407"/>
      <c r="E47" s="1408"/>
      <c r="F47" s="1409"/>
      <c r="G47" s="1410"/>
      <c r="H47" s="1411"/>
      <c r="I47" s="1408"/>
      <c r="J47" s="1411"/>
      <c r="K47" s="781"/>
      <c r="L47" s="1142"/>
      <c r="M47" s="1143"/>
      <c r="N47" s="1130"/>
      <c r="O47" s="1143"/>
      <c r="P47" s="3232" t="str">
        <f>A47</f>
        <v>成交单价（元/平方米）</v>
      </c>
      <c r="Q47" s="3232"/>
      <c r="R47" s="3245">
        <f>E47</f>
        <v>0</v>
      </c>
      <c r="S47" s="3245"/>
      <c r="T47" s="3245">
        <f>G47</f>
        <v>0</v>
      </c>
      <c r="U47" s="3245"/>
      <c r="V47" s="3245">
        <f>I47</f>
        <v>0</v>
      </c>
      <c r="W47" s="3245"/>
      <c r="X47" s="757"/>
      <c r="Y47" s="779"/>
      <c r="Z47" s="757"/>
      <c r="AA47" s="757"/>
      <c r="AB47" s="757"/>
      <c r="AC47" s="757"/>
    </row>
    <row r="48" spans="1:29" ht="15.75" thickBot="1">
      <c r="A48" s="484" t="s">
        <v>2662</v>
      </c>
      <c r="B48" s="485"/>
      <c r="C48" s="1412" t="e">
        <f>R49</f>
        <v>#DIV/0!</v>
      </c>
      <c r="D48" s="1413"/>
      <c r="E48" s="1414" t="e">
        <f>R48</f>
        <v>#DIV/0!</v>
      </c>
      <c r="F48" s="1414"/>
      <c r="G48" s="1412" t="e">
        <f>T48</f>
        <v>#DIV/0!</v>
      </c>
      <c r="H48" s="1413"/>
      <c r="I48" s="1414" t="e">
        <f>V48</f>
        <v>#DIV/0!</v>
      </c>
      <c r="J48" s="1413"/>
      <c r="K48" s="782"/>
      <c r="L48" s="1142"/>
      <c r="M48" s="1143"/>
      <c r="N48" s="1130"/>
      <c r="O48" s="1143"/>
      <c r="P48" s="3232" t="str">
        <f>A48</f>
        <v>比较价值（元/平方米）</v>
      </c>
      <c r="Q48" s="3232"/>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7"/>
      <c r="Y48" s="757"/>
      <c r="Z48" s="757"/>
      <c r="AA48" s="757"/>
      <c r="AB48" s="757"/>
      <c r="AC48" s="757"/>
    </row>
    <row r="49" spans="1:29" ht="15.75" thickBot="1">
      <c r="A49" s="490" t="s">
        <v>2663</v>
      </c>
      <c r="B49" s="491"/>
      <c r="C49" s="1416" t="e">
        <f>R49</f>
        <v>#DIV/0!</v>
      </c>
      <c r="D49" s="1416"/>
      <c r="E49" s="1416"/>
      <c r="F49" s="1416"/>
      <c r="G49" s="1416"/>
      <c r="H49" s="1416"/>
      <c r="I49" s="1416"/>
      <c r="J49" s="1416"/>
      <c r="K49" s="783"/>
      <c r="L49" s="1142"/>
      <c r="M49" s="1143"/>
      <c r="N49" s="1130"/>
      <c r="O49" s="1143"/>
      <c r="P49" s="3252" t="str">
        <f>A49</f>
        <v>估价对象XX用房的比较价值（楼面单价，元/平方米）</v>
      </c>
      <c r="Q49" s="3253"/>
      <c r="R49" s="3263" t="e">
        <f>IF(F1="售价",ROUND(AVERAGE(R48:V48),0),ROUND(AVERAGE(R48:V48),1))</f>
        <v>#DIV/0!</v>
      </c>
      <c r="S49" s="3263"/>
      <c r="T49" s="3263"/>
      <c r="U49" s="3263"/>
      <c r="V49" s="3263"/>
      <c r="W49" s="3263"/>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3"/>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3"/>
      <c r="Q51" s="757"/>
      <c r="R51" s="757"/>
      <c r="S51" s="757"/>
      <c r="T51" s="757"/>
      <c r="U51" s="757"/>
      <c r="V51" s="757"/>
      <c r="W51" s="757"/>
      <c r="X51" s="757"/>
      <c r="Y51" s="757"/>
      <c r="Z51" s="757"/>
      <c r="AA51" s="757"/>
      <c r="AB51" s="757"/>
      <c r="AC51" s="757"/>
    </row>
    <row r="52" spans="1:29" ht="13.5" customHeight="1">
      <c r="A52" s="1143"/>
      <c r="B52" s="1143"/>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7"/>
      <c r="R52" s="757"/>
      <c r="S52" s="757"/>
      <c r="T52" s="757"/>
      <c r="U52" s="757"/>
      <c r="V52" s="757"/>
      <c r="W52" s="757"/>
      <c r="X52" s="757"/>
      <c r="Y52" s="757"/>
      <c r="Z52" s="757"/>
      <c r="AA52" s="757"/>
      <c r="AB52" s="757"/>
      <c r="AC52" s="757"/>
    </row>
    <row r="53" spans="1:29" ht="13.5" customHeight="1">
      <c r="A53" s="1143"/>
      <c r="B53" s="1143"/>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7"/>
      <c r="R53" s="757"/>
      <c r="S53" s="757"/>
      <c r="T53" s="757"/>
      <c r="U53" s="757"/>
      <c r="V53" s="757"/>
      <c r="W53" s="757"/>
      <c r="X53" s="757"/>
      <c r="Y53" s="757"/>
      <c r="Z53" s="757"/>
      <c r="AA53" s="757"/>
      <c r="AB53" s="757"/>
      <c r="AC53" s="757"/>
    </row>
    <row r="54" spans="1:29" s="500" customFormat="1" ht="13.5" customHeight="1">
      <c r="A54" s="1144"/>
      <c r="B54" s="1144"/>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57"/>
      <c r="Q54" s="758"/>
      <c r="R54" s="758"/>
      <c r="S54" s="758"/>
      <c r="T54" s="758"/>
      <c r="U54" s="758"/>
      <c r="V54" s="758"/>
      <c r="W54" s="758"/>
      <c r="X54" s="758"/>
      <c r="Y54" s="758"/>
      <c r="Z54" s="758"/>
      <c r="AA54" s="758"/>
      <c r="AB54" s="758"/>
      <c r="AC54" s="758"/>
    </row>
    <row r="55" spans="1:29" s="500" customFormat="1">
      <c r="A55" s="1144"/>
      <c r="B55" s="1145"/>
      <c r="C55" s="1149"/>
      <c r="D55" s="1144"/>
      <c r="E55" s="1144"/>
      <c r="F55" s="1144"/>
      <c r="G55" s="1144"/>
      <c r="H55" s="1144"/>
      <c r="I55" s="1144"/>
      <c r="J55" s="1144"/>
      <c r="K55" s="1147"/>
      <c r="L55" s="1148"/>
      <c r="M55" s="1144"/>
      <c r="N55" s="1144"/>
      <c r="O55" s="1144"/>
      <c r="P55" s="2657"/>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3"/>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60"/>
      <c r="M57" s="1158"/>
      <c r="N57" s="1158"/>
      <c r="O57" s="1158"/>
      <c r="P57" s="2658"/>
      <c r="Q57" s="2659"/>
      <c r="R57" s="757"/>
      <c r="S57" s="757"/>
      <c r="T57" s="757"/>
      <c r="U57" s="757"/>
      <c r="V57" s="757"/>
      <c r="W57" s="757"/>
      <c r="X57" s="757"/>
      <c r="Y57" s="757"/>
      <c r="Z57" s="757"/>
      <c r="AA57" s="757"/>
      <c r="AB57" s="757"/>
      <c r="AC57" s="757"/>
    </row>
    <row r="58" spans="1:29" s="506" customFormat="1" ht="15">
      <c r="A58" s="503" t="s">
        <v>2541</v>
      </c>
      <c r="B58" s="504"/>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ht="15">
      <c r="A59" s="507"/>
      <c r="B59" s="508"/>
      <c r="C59" s="1571">
        <v>100</v>
      </c>
      <c r="D59" s="510"/>
      <c r="E59" s="510"/>
      <c r="F59" s="510"/>
      <c r="G59" s="510"/>
      <c r="H59" s="510"/>
      <c r="I59" s="510"/>
      <c r="J59" s="510"/>
      <c r="K59" s="510"/>
      <c r="L59" s="510"/>
      <c r="M59" s="511"/>
      <c r="N59" s="510"/>
      <c r="O59" s="511"/>
      <c r="P59" s="2619"/>
    </row>
    <row r="60" spans="1:29" s="116" customFormat="1" ht="15.75" thickBot="1">
      <c r="A60" s="513" t="s">
        <v>2578</v>
      </c>
      <c r="B60" s="514"/>
      <c r="C60" s="515"/>
      <c r="D60" s="516"/>
      <c r="E60" s="516"/>
      <c r="F60" s="516"/>
      <c r="G60" s="516"/>
      <c r="H60" s="516"/>
      <c r="I60" s="516"/>
      <c r="J60" s="516"/>
      <c r="K60" s="516"/>
      <c r="L60" s="516"/>
      <c r="M60" s="517"/>
      <c r="N60" s="516"/>
      <c r="O60" s="517"/>
      <c r="P60" s="2619"/>
      <c r="Q60" s="502"/>
    </row>
    <row r="61" spans="1:29" s="116" customFormat="1" ht="15">
      <c r="A61" s="519" t="s">
        <v>2543</v>
      </c>
      <c r="B61" s="508"/>
      <c r="C61" s="520" t="s">
        <v>2645</v>
      </c>
      <c r="D61" s="521"/>
      <c r="E61" s="521"/>
      <c r="F61" s="521"/>
      <c r="G61" s="521"/>
      <c r="H61" s="521"/>
      <c r="I61" s="521"/>
      <c r="J61" s="521"/>
      <c r="K61" s="521"/>
      <c r="L61" s="522"/>
      <c r="M61" s="523"/>
      <c r="N61" s="1150"/>
      <c r="O61" s="1150"/>
      <c r="P61" s="2620"/>
      <c r="Q61" s="502"/>
    </row>
    <row r="62" spans="1:29" s="116" customFormat="1" ht="15.75" thickBot="1">
      <c r="A62" s="519"/>
      <c r="B62" s="508"/>
      <c r="C62" s="509">
        <v>100</v>
      </c>
      <c r="D62" s="510"/>
      <c r="E62" s="510"/>
      <c r="F62" s="510"/>
      <c r="G62" s="510"/>
      <c r="H62" s="510"/>
      <c r="I62" s="510"/>
      <c r="J62" s="510"/>
      <c r="K62" s="510"/>
      <c r="L62" s="510"/>
      <c r="M62" s="512"/>
      <c r="N62" s="1150"/>
      <c r="O62" s="1150"/>
      <c r="P62" s="2619"/>
      <c r="Q62" s="502"/>
    </row>
    <row r="63" spans="1:29">
      <c r="A63" s="525" t="s">
        <v>2581</v>
      </c>
      <c r="B63" s="526" t="s">
        <v>2547</v>
      </c>
      <c r="C63" s="527">
        <f>C9</f>
        <v>0</v>
      </c>
      <c r="D63" s="528"/>
      <c r="E63" s="528"/>
      <c r="F63" s="528"/>
      <c r="G63" s="528"/>
      <c r="H63" s="528"/>
      <c r="I63" s="528"/>
      <c r="J63" s="528"/>
      <c r="K63" s="529"/>
      <c r="L63" s="530"/>
      <c r="M63" s="531"/>
      <c r="N63" s="1151"/>
      <c r="O63" s="1151"/>
      <c r="P63" s="2621"/>
      <c r="Q63" s="502"/>
    </row>
    <row r="64" spans="1:29" ht="15.75" thickBot="1">
      <c r="A64" s="532"/>
      <c r="B64" s="533"/>
      <c r="C64" s="534">
        <v>100</v>
      </c>
      <c r="D64" s="534"/>
      <c r="E64" s="534"/>
      <c r="F64" s="534"/>
      <c r="G64" s="534"/>
      <c r="H64" s="534"/>
      <c r="I64" s="534"/>
      <c r="J64" s="534"/>
      <c r="K64" s="534"/>
      <c r="L64" s="534"/>
      <c r="M64" s="535"/>
      <c r="N64" s="1152"/>
      <c r="O64" s="1152"/>
      <c r="P64" s="2621"/>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1"/>
      <c r="Q66" s="502"/>
    </row>
    <row r="67" spans="1:17" ht="15.7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1"/>
      <c r="Q67" s="502"/>
    </row>
    <row r="68" spans="1:17" ht="15">
      <c r="A68" s="532"/>
      <c r="B68" s="546"/>
      <c r="C68" s="547"/>
      <c r="D68" s="547"/>
      <c r="E68" s="547"/>
      <c r="F68" s="547"/>
      <c r="G68" s="547"/>
      <c r="H68" s="547"/>
      <c r="I68" s="547"/>
      <c r="J68" s="547"/>
      <c r="K68" s="548"/>
      <c r="L68" s="549"/>
      <c r="M68" s="550"/>
      <c r="N68" s="1151"/>
      <c r="O68" s="1151"/>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1"/>
      <c r="Q69" s="502"/>
    </row>
    <row r="70" spans="1:17" s="469" customFormat="1" ht="15.75" thickTop="1">
      <c r="A70" s="551"/>
      <c r="B70" s="536">
        <f>B12</f>
        <v>111</v>
      </c>
      <c r="C70" s="552"/>
      <c r="D70" s="552"/>
      <c r="E70" s="552"/>
      <c r="F70" s="552"/>
      <c r="G70" s="552"/>
      <c r="H70" s="553"/>
      <c r="I70" s="553"/>
      <c r="J70" s="553"/>
      <c r="K70" s="553"/>
      <c r="L70" s="554"/>
      <c r="M70" s="555"/>
      <c r="N70" s="1153"/>
      <c r="O70" s="1153"/>
      <c r="P70" s="2622"/>
      <c r="Q70" s="557"/>
    </row>
    <row r="71" spans="1:17" s="469" customFormat="1" ht="15.75" thickBot="1">
      <c r="A71" s="551"/>
      <c r="B71" s="541"/>
      <c r="C71" s="558"/>
      <c r="D71" s="534"/>
      <c r="E71" s="534"/>
      <c r="F71" s="534"/>
      <c r="G71" s="534"/>
      <c r="H71" s="534"/>
      <c r="I71" s="534"/>
      <c r="J71" s="534"/>
      <c r="K71" s="534"/>
      <c r="L71" s="534"/>
      <c r="M71" s="535"/>
      <c r="N71" s="1152"/>
      <c r="O71" s="1152"/>
      <c r="P71" s="2622"/>
      <c r="Q71" s="557"/>
    </row>
    <row r="72" spans="1:17" s="469" customFormat="1" ht="15.75" thickTop="1">
      <c r="A72" s="551"/>
      <c r="B72" s="536">
        <f>B13</f>
        <v>111</v>
      </c>
      <c r="C72" s="552"/>
      <c r="D72" s="552"/>
      <c r="E72" s="552"/>
      <c r="F72" s="552"/>
      <c r="G72" s="552"/>
      <c r="H72" s="553"/>
      <c r="I72" s="553"/>
      <c r="J72" s="553"/>
      <c r="K72" s="553"/>
      <c r="L72" s="554"/>
      <c r="M72" s="555"/>
      <c r="N72" s="1153"/>
      <c r="O72" s="1153"/>
      <c r="P72" s="2623"/>
      <c r="Q72" s="559"/>
    </row>
    <row r="73" spans="1:17" s="469" customFormat="1" ht="15.75" thickBot="1">
      <c r="A73" s="551"/>
      <c r="B73" s="541"/>
      <c r="C73" s="558"/>
      <c r="D73" s="534"/>
      <c r="E73" s="534"/>
      <c r="F73" s="534"/>
      <c r="G73" s="558"/>
      <c r="H73" s="560"/>
      <c r="I73" s="560"/>
      <c r="J73" s="560"/>
      <c r="K73" s="560"/>
      <c r="L73" s="560"/>
      <c r="M73" s="561"/>
      <c r="N73" s="1153"/>
      <c r="O73" s="1153"/>
      <c r="P73" s="2622"/>
      <c r="Q73" s="557"/>
    </row>
    <row r="74" spans="1:17" s="469" customFormat="1" ht="15.75" thickTop="1">
      <c r="A74" s="551"/>
      <c r="B74" s="544">
        <f>B14</f>
        <v>111</v>
      </c>
      <c r="C74" s="552"/>
      <c r="D74" s="552"/>
      <c r="E74" s="552"/>
      <c r="F74" s="552"/>
      <c r="G74" s="521"/>
      <c r="H74" s="562"/>
      <c r="I74" s="562"/>
      <c r="J74" s="562"/>
      <c r="K74" s="562"/>
      <c r="L74" s="563"/>
      <c r="M74" s="564"/>
      <c r="N74" s="1153"/>
      <c r="O74" s="1153"/>
      <c r="P74" s="2624"/>
      <c r="Q74" s="557"/>
    </row>
    <row r="75" spans="1:17" s="469" customFormat="1" ht="15.75" thickBot="1">
      <c r="A75" s="566"/>
      <c r="B75" s="567"/>
      <c r="C75" s="568"/>
      <c r="D75" s="568"/>
      <c r="E75" s="568"/>
      <c r="F75" s="568"/>
      <c r="G75" s="568"/>
      <c r="H75" s="569"/>
      <c r="I75" s="569"/>
      <c r="J75" s="569"/>
      <c r="K75" s="569"/>
      <c r="L75" s="569"/>
      <c r="M75" s="570"/>
      <c r="N75" s="1153"/>
      <c r="O75" s="1153"/>
      <c r="P75" s="2622"/>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1"/>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1"/>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1"/>
      <c r="Q81" s="502"/>
    </row>
    <row r="82" spans="1:17" ht="15.75" thickTop="1">
      <c r="A82" s="532"/>
      <c r="B82" s="544" t="s">
        <v>2648</v>
      </c>
      <c r="C82" s="658" t="s">
        <v>2668</v>
      </c>
      <c r="D82" s="658" t="s">
        <v>2669</v>
      </c>
      <c r="E82" s="658" t="s">
        <v>2670</v>
      </c>
      <c r="F82" s="658" t="s">
        <v>2671</v>
      </c>
      <c r="G82" s="658" t="s">
        <v>2672</v>
      </c>
      <c r="H82" s="537"/>
      <c r="I82" s="537"/>
      <c r="J82" s="537"/>
      <c r="K82" s="537"/>
      <c r="L82" s="537"/>
      <c r="M82" s="1381"/>
      <c r="N82" s="1152"/>
      <c r="O82" s="1152"/>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1"/>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1"/>
      <c r="Q85" s="502"/>
    </row>
    <row r="86" spans="1:17" s="116" customFormat="1" ht="15.75" thickTop="1">
      <c r="A86" s="577"/>
      <c r="B86" s="536" t="s">
        <v>2673</v>
      </c>
      <c r="C86" s="552"/>
      <c r="D86" s="552"/>
      <c r="E86" s="552"/>
      <c r="F86" s="552"/>
      <c r="G86" s="552"/>
      <c r="H86" s="552"/>
      <c r="I86" s="552"/>
      <c r="J86" s="552"/>
      <c r="K86" s="552"/>
      <c r="L86" s="578"/>
      <c r="M86" s="579"/>
      <c r="N86" s="1150"/>
      <c r="O86" s="1150"/>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50"/>
      <c r="O88" s="1150"/>
      <c r="P88" s="2621"/>
      <c r="Q88" s="502"/>
    </row>
    <row r="89" spans="1:17" s="116" customFormat="1" ht="15.75" thickBot="1">
      <c r="A89" s="577"/>
      <c r="B89" s="541"/>
      <c r="C89" s="558"/>
      <c r="D89" s="534"/>
      <c r="E89" s="534"/>
      <c r="F89" s="534"/>
      <c r="G89" s="534"/>
      <c r="H89" s="534"/>
      <c r="I89" s="534"/>
      <c r="J89" s="534"/>
      <c r="K89" s="534"/>
      <c r="L89" s="534"/>
      <c r="M89" s="534"/>
      <c r="N89" s="1152"/>
      <c r="O89" s="1152"/>
      <c r="P89" s="2621"/>
      <c r="Q89" s="502"/>
    </row>
    <row r="90" spans="1:17" s="469" customFormat="1" ht="15.75" thickTop="1">
      <c r="A90" s="551"/>
      <c r="B90" s="536" t="str">
        <f>B27</f>
        <v>人流量</v>
      </c>
      <c r="C90" s="552"/>
      <c r="D90" s="552"/>
      <c r="E90" s="552"/>
      <c r="F90" s="552"/>
      <c r="G90" s="552"/>
      <c r="H90" s="553"/>
      <c r="I90" s="553"/>
      <c r="J90" s="553"/>
      <c r="K90" s="553"/>
      <c r="L90" s="554"/>
      <c r="M90" s="555"/>
      <c r="N90" s="1153"/>
      <c r="O90" s="1153"/>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2"/>
      <c r="Q91" s="557"/>
    </row>
    <row r="92" spans="1:17" ht="15.75" thickTop="1">
      <c r="A92" s="532"/>
      <c r="B92" s="536" t="str">
        <f>B28</f>
        <v>楼层</v>
      </c>
      <c r="C92" s="552"/>
      <c r="D92" s="552"/>
      <c r="E92" s="552"/>
      <c r="F92" s="552"/>
      <c r="G92" s="552"/>
      <c r="H92" s="552"/>
      <c r="I92" s="552"/>
      <c r="J92" s="552"/>
      <c r="K92" s="552"/>
      <c r="L92" s="578"/>
      <c r="M92" s="579"/>
      <c r="N92" s="1151"/>
      <c r="O92" s="1151"/>
      <c r="P92" s="2621"/>
      <c r="Q92" s="502"/>
    </row>
    <row r="93" spans="1:17" ht="15.75" thickBot="1">
      <c r="A93" s="532"/>
      <c r="B93" s="541"/>
      <c r="C93" s="534"/>
      <c r="D93" s="534"/>
      <c r="E93" s="534"/>
      <c r="F93" s="534"/>
      <c r="G93" s="534"/>
      <c r="H93" s="534"/>
      <c r="I93" s="534"/>
      <c r="J93" s="534"/>
      <c r="K93" s="534"/>
      <c r="L93" s="534"/>
      <c r="M93" s="535"/>
      <c r="N93" s="1152"/>
      <c r="O93" s="1152"/>
      <c r="P93" s="2621"/>
      <c r="Q93" s="502"/>
    </row>
    <row r="94" spans="1:17" ht="15.75" thickTop="1">
      <c r="A94" s="532"/>
      <c r="B94" s="536">
        <f>B29</f>
        <v>111</v>
      </c>
      <c r="C94" s="552"/>
      <c r="D94" s="552"/>
      <c r="E94" s="552"/>
      <c r="F94" s="552"/>
      <c r="G94" s="581"/>
      <c r="H94" s="581"/>
      <c r="I94" s="581"/>
      <c r="J94" s="581"/>
      <c r="K94" s="582"/>
      <c r="L94" s="583"/>
      <c r="M94" s="584"/>
      <c r="N94" s="1151"/>
      <c r="O94" s="1151"/>
      <c r="P94" s="2621"/>
      <c r="Q94" s="502"/>
    </row>
    <row r="95" spans="1:17" ht="15.75" thickBot="1">
      <c r="A95" s="532"/>
      <c r="B95" s="541"/>
      <c r="C95" s="558"/>
      <c r="D95" s="534"/>
      <c r="E95" s="534"/>
      <c r="F95" s="534"/>
      <c r="G95" s="534"/>
      <c r="H95" s="534"/>
      <c r="I95" s="534"/>
      <c r="J95" s="534"/>
      <c r="K95" s="534"/>
      <c r="L95" s="534"/>
      <c r="M95" s="535"/>
      <c r="N95" s="1152"/>
      <c r="O95" s="1152"/>
      <c r="P95" s="2621"/>
      <c r="Q95" s="502"/>
    </row>
    <row r="96" spans="1:17" ht="15.75" thickTop="1">
      <c r="A96" s="532"/>
      <c r="B96" s="536">
        <f>B30</f>
        <v>111</v>
      </c>
      <c r="C96" s="552"/>
      <c r="D96" s="552"/>
      <c r="E96" s="552"/>
      <c r="F96" s="552"/>
      <c r="G96" s="581"/>
      <c r="H96" s="581"/>
      <c r="I96" s="581"/>
      <c r="J96" s="581"/>
      <c r="K96" s="582"/>
      <c r="L96" s="583"/>
      <c r="M96" s="584"/>
      <c r="N96" s="1151"/>
      <c r="O96" s="1151"/>
      <c r="P96" s="2621"/>
      <c r="Q96" s="502"/>
    </row>
    <row r="97" spans="1:17" ht="15.75" thickBot="1">
      <c r="A97" s="532"/>
      <c r="B97" s="541"/>
      <c r="C97" s="558"/>
      <c r="D97" s="534"/>
      <c r="E97" s="534"/>
      <c r="F97" s="534"/>
      <c r="G97" s="534"/>
      <c r="H97" s="534"/>
      <c r="I97" s="534"/>
      <c r="J97" s="534"/>
      <c r="K97" s="534"/>
      <c r="L97" s="534"/>
      <c r="M97" s="535"/>
      <c r="N97" s="1152"/>
      <c r="O97" s="1152"/>
      <c r="P97" s="2621"/>
      <c r="Q97" s="502"/>
    </row>
    <row r="98" spans="1:17" ht="15.75" thickTop="1">
      <c r="A98" s="532"/>
      <c r="B98" s="544">
        <f>B31</f>
        <v>111</v>
      </c>
      <c r="C98" s="552"/>
      <c r="D98" s="552"/>
      <c r="E98" s="552"/>
      <c r="F98" s="552"/>
      <c r="G98" s="585"/>
      <c r="H98" s="585"/>
      <c r="I98" s="585"/>
      <c r="J98" s="585"/>
      <c r="K98" s="586"/>
      <c r="L98" s="587"/>
      <c r="M98" s="588"/>
      <c r="N98" s="1151"/>
      <c r="O98" s="1151"/>
      <c r="P98" s="2621"/>
      <c r="Q98" s="502"/>
    </row>
    <row r="99" spans="1:17" ht="15.75" thickBot="1">
      <c r="A99" s="2627"/>
      <c r="B99" s="567"/>
      <c r="C99" s="568"/>
      <c r="D99" s="568"/>
      <c r="E99" s="568"/>
      <c r="F99" s="568"/>
      <c r="G99" s="589"/>
      <c r="H99" s="589"/>
      <c r="I99" s="589"/>
      <c r="J99" s="589"/>
      <c r="K99" s="589"/>
      <c r="L99" s="589"/>
      <c r="M99" s="590"/>
      <c r="N99" s="1152"/>
      <c r="O99" s="1152"/>
      <c r="P99" s="2621"/>
      <c r="Q99" s="502"/>
    </row>
    <row r="100" spans="1:17">
      <c r="A100" s="525" t="s">
        <v>2556</v>
      </c>
      <c r="B100" s="526" t="s">
        <v>2674</v>
      </c>
      <c r="C100" s="528"/>
      <c r="D100" s="528"/>
      <c r="E100" s="528"/>
      <c r="F100" s="528"/>
      <c r="G100" s="528"/>
      <c r="H100" s="528"/>
      <c r="I100" s="528"/>
      <c r="J100" s="528"/>
      <c r="K100" s="529"/>
      <c r="L100" s="530"/>
      <c r="M100" s="531"/>
      <c r="N100" s="1151"/>
      <c r="O100" s="1151"/>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1"/>
      <c r="Q101" s="502"/>
    </row>
    <row r="102" spans="1:17" ht="15.7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1"/>
      <c r="Q102" s="502"/>
    </row>
    <row r="103" spans="1:17" s="469" customFormat="1">
      <c r="A103" s="591"/>
      <c r="B103" s="592"/>
      <c r="C103" s="593"/>
      <c r="D103" s="593"/>
      <c r="E103" s="593"/>
      <c r="F103" s="593"/>
      <c r="G103" s="593"/>
      <c r="H103" s="593"/>
      <c r="I103" s="593"/>
      <c r="J103" s="594"/>
      <c r="K103" s="594"/>
      <c r="L103" s="595"/>
      <c r="M103" s="596"/>
      <c r="N103" s="1153"/>
      <c r="O103" s="1153"/>
      <c r="P103" s="2622"/>
      <c r="Q103" s="557"/>
    </row>
    <row r="104" spans="1:17" s="469" customFormat="1" ht="15.75" thickBot="1">
      <c r="A104" s="551"/>
      <c r="B104" s="541"/>
      <c r="C104" s="558"/>
      <c r="D104" s="534"/>
      <c r="E104" s="534"/>
      <c r="F104" s="534"/>
      <c r="G104" s="534"/>
      <c r="H104" s="534"/>
      <c r="I104" s="534"/>
      <c r="J104" s="534"/>
      <c r="K104" s="534"/>
      <c r="L104" s="534"/>
      <c r="M104" s="535"/>
      <c r="N104" s="1152"/>
      <c r="O104" s="1152"/>
      <c r="P104" s="2622"/>
      <c r="Q104" s="557"/>
    </row>
    <row r="105" spans="1:17" ht="15" thickTop="1">
      <c r="A105" s="597"/>
      <c r="B105" s="536" t="s">
        <v>2607</v>
      </c>
      <c r="C105" s="552"/>
      <c r="D105" s="552"/>
      <c r="E105" s="581"/>
      <c r="F105" s="581"/>
      <c r="G105" s="581"/>
      <c r="H105" s="581"/>
      <c r="I105" s="581"/>
      <c r="J105" s="581"/>
      <c r="K105" s="582"/>
      <c r="L105" s="583"/>
      <c r="M105" s="584"/>
      <c r="N105" s="1151"/>
      <c r="O105" s="1151"/>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1"/>
      <c r="Q106" s="502"/>
    </row>
    <row r="107" spans="1:17" ht="15" thickTop="1">
      <c r="A107" s="597"/>
      <c r="B107" s="536" t="s">
        <v>2609</v>
      </c>
      <c r="C107" s="552"/>
      <c r="D107" s="552"/>
      <c r="E107" s="552"/>
      <c r="F107" s="581"/>
      <c r="G107" s="581"/>
      <c r="H107" s="581"/>
      <c r="I107" s="581"/>
      <c r="J107" s="581"/>
      <c r="K107" s="582"/>
      <c r="L107" s="583"/>
      <c r="M107" s="584"/>
      <c r="N107" s="1151"/>
      <c r="O107" s="1151"/>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1"/>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1"/>
      <c r="Q111" s="502"/>
    </row>
    <row r="112" spans="1:17" s="469" customFormat="1" ht="15" thickTop="1">
      <c r="A112" s="591"/>
      <c r="B112" s="536" t="s">
        <v>2611</v>
      </c>
      <c r="C112" s="552"/>
      <c r="D112" s="552"/>
      <c r="E112" s="552"/>
      <c r="F112" s="552"/>
      <c r="G112" s="552"/>
      <c r="H112" s="581"/>
      <c r="I112" s="581"/>
      <c r="J112" s="581"/>
      <c r="K112" s="582"/>
      <c r="L112" s="583"/>
      <c r="M112" s="584"/>
      <c r="N112" s="1153"/>
      <c r="O112" s="1153"/>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2"/>
      <c r="Q113" s="557"/>
    </row>
    <row r="114" spans="1:17" ht="15" thickTop="1">
      <c r="A114" s="597"/>
      <c r="B114" s="536" t="s">
        <v>2675</v>
      </c>
      <c r="C114" s="552"/>
      <c r="D114" s="552"/>
      <c r="E114" s="581"/>
      <c r="F114" s="581"/>
      <c r="G114" s="581"/>
      <c r="H114" s="581"/>
      <c r="I114" s="581"/>
      <c r="J114" s="581"/>
      <c r="K114" s="582"/>
      <c r="L114" s="583"/>
      <c r="M114" s="584"/>
      <c r="N114" s="1151"/>
      <c r="O114" s="1151"/>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1"/>
      <c r="Q115" s="502"/>
    </row>
    <row r="116" spans="1:17" ht="15" thickTop="1">
      <c r="A116" s="597"/>
      <c r="B116" s="536" t="s">
        <v>2676</v>
      </c>
      <c r="C116" s="552"/>
      <c r="D116" s="552"/>
      <c r="E116" s="552"/>
      <c r="F116" s="552"/>
      <c r="G116" s="552"/>
      <c r="H116" s="581"/>
      <c r="I116" s="581"/>
      <c r="J116" s="581"/>
      <c r="K116" s="582"/>
      <c r="L116" s="583"/>
      <c r="M116" s="584"/>
      <c r="N116" s="1151"/>
      <c r="O116" s="1151"/>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1"/>
      <c r="Q117" s="502"/>
    </row>
    <row r="118" spans="1:17" ht="15" thickTop="1">
      <c r="A118" s="597"/>
      <c r="B118" s="536" t="s">
        <v>2677</v>
      </c>
      <c r="C118" s="625"/>
      <c r="D118" s="625"/>
      <c r="E118" s="625"/>
      <c r="F118" s="625"/>
      <c r="G118" s="625"/>
      <c r="H118" s="553"/>
      <c r="I118" s="553"/>
      <c r="J118" s="553"/>
      <c r="K118" s="553"/>
      <c r="L118" s="554"/>
      <c r="M118" s="555"/>
      <c r="N118" s="1151"/>
      <c r="O118" s="1151"/>
      <c r="P118" s="2621"/>
      <c r="Q118" s="502"/>
    </row>
    <row r="119" spans="1:17" ht="15.75" thickBot="1">
      <c r="A119" s="532"/>
      <c r="B119" s="541"/>
      <c r="C119" s="558"/>
      <c r="D119" s="534"/>
      <c r="E119" s="534"/>
      <c r="F119" s="534"/>
      <c r="G119" s="534"/>
      <c r="H119" s="534"/>
      <c r="I119" s="534"/>
      <c r="J119" s="534"/>
      <c r="K119" s="534"/>
      <c r="L119" s="534"/>
      <c r="M119" s="535"/>
      <c r="N119" s="1152"/>
      <c r="O119" s="1152"/>
      <c r="P119" s="2621"/>
      <c r="Q119" s="502"/>
    </row>
    <row r="120" spans="1:17" s="469" customFormat="1" ht="15" thickTop="1">
      <c r="A120" s="591"/>
      <c r="B120" s="536" t="s">
        <v>2678</v>
      </c>
      <c r="C120" s="581"/>
      <c r="D120" s="581"/>
      <c r="E120" s="581"/>
      <c r="F120" s="581"/>
      <c r="G120" s="553"/>
      <c r="H120" s="553"/>
      <c r="I120" s="553"/>
      <c r="J120" s="553"/>
      <c r="K120" s="553"/>
      <c r="L120" s="554"/>
      <c r="M120" s="555"/>
      <c r="N120" s="1153"/>
      <c r="O120" s="1153"/>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2"/>
      <c r="Q121" s="557"/>
    </row>
    <row r="122" spans="1:17" ht="15" thickTop="1">
      <c r="A122" s="597"/>
      <c r="B122" s="536" t="s">
        <v>2613</v>
      </c>
      <c r="C122" s="552"/>
      <c r="D122" s="552"/>
      <c r="E122" s="552"/>
      <c r="F122" s="581"/>
      <c r="G122" s="581"/>
      <c r="H122" s="581"/>
      <c r="I122" s="581"/>
      <c r="J122" s="581"/>
      <c r="K122" s="582"/>
      <c r="L122" s="583"/>
      <c r="M122" s="584"/>
      <c r="N122" s="1151"/>
      <c r="O122" s="1151"/>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1"/>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1"/>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2"/>
      <c r="Q127" s="557"/>
    </row>
    <row r="128" spans="1:17" ht="15" thickTop="1">
      <c r="A128" s="597"/>
      <c r="B128" s="536">
        <f>B45</f>
        <v>111</v>
      </c>
      <c r="C128" s="552"/>
      <c r="D128" s="552"/>
      <c r="E128" s="552"/>
      <c r="F128" s="552"/>
      <c r="G128" s="581"/>
      <c r="H128" s="581"/>
      <c r="I128" s="581"/>
      <c r="J128" s="581"/>
      <c r="K128" s="582"/>
      <c r="L128" s="583"/>
      <c r="M128" s="584"/>
      <c r="N128" s="1151"/>
      <c r="O128" s="1151"/>
      <c r="P128" s="2621"/>
      <c r="Q128" s="502"/>
    </row>
    <row r="129" spans="1:17" ht="15.75" thickBot="1">
      <c r="A129" s="532"/>
      <c r="B129" s="541"/>
      <c r="C129" s="558"/>
      <c r="D129" s="534"/>
      <c r="E129" s="534"/>
      <c r="F129" s="534"/>
      <c r="G129" s="534"/>
      <c r="H129" s="534"/>
      <c r="I129" s="534"/>
      <c r="J129" s="534"/>
      <c r="K129" s="534"/>
      <c r="L129" s="534"/>
      <c r="M129" s="535"/>
      <c r="N129" s="1152"/>
      <c r="O129" s="1152"/>
      <c r="P129" s="2621"/>
      <c r="Q129" s="502"/>
    </row>
    <row r="130" spans="1:17" ht="15" thickTop="1">
      <c r="A130" s="597"/>
      <c r="B130" s="544">
        <f>B46</f>
        <v>111</v>
      </c>
      <c r="C130" s="552"/>
      <c r="D130" s="552"/>
      <c r="E130" s="552"/>
      <c r="F130" s="552"/>
      <c r="G130" s="585"/>
      <c r="H130" s="585"/>
      <c r="I130" s="585"/>
      <c r="J130" s="585"/>
      <c r="K130" s="521"/>
      <c r="L130" s="522"/>
      <c r="M130" s="588"/>
      <c r="N130" s="1151"/>
      <c r="O130" s="1151"/>
      <c r="P130" s="2621"/>
      <c r="Q130" s="502"/>
    </row>
    <row r="131" spans="1:17" ht="15.75" thickBot="1">
      <c r="A131" s="2627"/>
      <c r="B131" s="567"/>
      <c r="C131" s="568"/>
      <c r="D131" s="568"/>
      <c r="E131" s="568"/>
      <c r="F131" s="568"/>
      <c r="G131" s="589"/>
      <c r="H131" s="589"/>
      <c r="I131" s="589"/>
      <c r="J131" s="589"/>
      <c r="K131" s="589"/>
      <c r="L131" s="589"/>
      <c r="M131" s="590"/>
      <c r="N131" s="1152"/>
      <c r="O131" s="1152"/>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660" t="s">
        <v>2679</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IF(C2="——",ROUND(C50*D3/10000,0),ROUND(C50*D3/10000,0)-D2)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269955.14</v>
      </c>
      <c r="E3" s="2654"/>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304" t="s">
        <v>2644</v>
      </c>
      <c r="Q4" s="3305"/>
      <c r="R4" s="3299" t="s">
        <v>2640</v>
      </c>
      <c r="S4" s="3300"/>
      <c r="T4" s="3299" t="s">
        <v>2641</v>
      </c>
      <c r="U4" s="3300"/>
      <c r="V4" s="3308" t="s">
        <v>2642</v>
      </c>
      <c r="W4" s="3308"/>
      <c r="X4" s="2661"/>
      <c r="Y4" s="3299" t="s">
        <v>2644</v>
      </c>
      <c r="Z4" s="3300"/>
      <c r="AA4" s="3298" t="s">
        <v>2640</v>
      </c>
      <c r="AB4" s="3298" t="s">
        <v>2641</v>
      </c>
      <c r="AC4" s="3301" t="s">
        <v>2642</v>
      </c>
    </row>
    <row r="5" spans="1:29" ht="15">
      <c r="A5" s="402"/>
      <c r="B5" s="403"/>
      <c r="C5" s="3226" t="s">
        <v>2535</v>
      </c>
      <c r="D5" s="3227"/>
      <c r="E5" s="3224" t="s">
        <v>2536</v>
      </c>
      <c r="F5" s="3225"/>
      <c r="G5" s="3226" t="s">
        <v>2537</v>
      </c>
      <c r="H5" s="3227"/>
      <c r="I5" s="3226" t="s">
        <v>2538</v>
      </c>
      <c r="J5" s="3227"/>
      <c r="K5" s="608"/>
      <c r="L5" s="1129"/>
      <c r="M5" s="1130"/>
      <c r="N5" s="1130"/>
      <c r="O5" s="1130"/>
      <c r="P5" s="3306"/>
      <c r="Q5" s="3240"/>
      <c r="R5" s="3222"/>
      <c r="S5" s="3223"/>
      <c r="T5" s="3222"/>
      <c r="U5" s="3223"/>
      <c r="V5" s="3245"/>
      <c r="W5" s="3245"/>
      <c r="X5" s="1811"/>
      <c r="Y5" s="3222"/>
      <c r="Z5" s="3223"/>
      <c r="AA5" s="3216"/>
      <c r="AB5" s="3216"/>
      <c r="AC5" s="3302"/>
    </row>
    <row r="6" spans="1:29" ht="15.75" thickBot="1">
      <c r="A6" s="404"/>
      <c r="B6" s="405"/>
      <c r="C6" s="3228" t="s">
        <v>2539</v>
      </c>
      <c r="D6" s="3229"/>
      <c r="E6" s="3230" t="s">
        <v>2539</v>
      </c>
      <c r="F6" s="3231"/>
      <c r="G6" s="3228" t="s">
        <v>2539</v>
      </c>
      <c r="H6" s="3229"/>
      <c r="I6" s="3228" t="s">
        <v>2539</v>
      </c>
      <c r="J6" s="3229"/>
      <c r="K6" s="608" t="s">
        <v>2540</v>
      </c>
      <c r="L6" s="1129"/>
      <c r="M6" s="1130"/>
      <c r="N6" s="1130"/>
      <c r="O6" s="1130"/>
      <c r="P6" s="3307"/>
      <c r="Q6" s="3242"/>
      <c r="R6" s="3222"/>
      <c r="S6" s="3223"/>
      <c r="T6" s="3243"/>
      <c r="U6" s="3244"/>
      <c r="V6" s="3245"/>
      <c r="W6" s="3245"/>
      <c r="X6" s="1811"/>
      <c r="Y6" s="3243"/>
      <c r="Z6" s="3244"/>
      <c r="AA6" s="3217"/>
      <c r="AB6" s="3217"/>
      <c r="AC6" s="3303"/>
    </row>
    <row r="7" spans="1:29" s="116" customFormat="1" ht="15.75" thickBot="1">
      <c r="A7" s="406" t="s">
        <v>2541</v>
      </c>
      <c r="B7" s="407"/>
      <c r="C7" s="408">
        <f>'数据-取费表'!B2</f>
        <v>43493</v>
      </c>
      <c r="D7" s="409">
        <v>100</v>
      </c>
      <c r="E7" s="410"/>
      <c r="F7" s="411">
        <f>SUMIF(59:59,YEAR(E7)&amp;"-"&amp;MONTH(E7),60:60)</f>
        <v>0</v>
      </c>
      <c r="G7" s="410"/>
      <c r="H7" s="409">
        <f>SUMIF(59:59,YEAR(G7)&amp;"-"&amp;MONTH(G7),60:60)</f>
        <v>0</v>
      </c>
      <c r="I7" s="410"/>
      <c r="J7" s="409">
        <f>SUMIF(59:59,YEAR(I7)&amp;"-"&amp;MONTH(I7),60:60)</f>
        <v>0</v>
      </c>
      <c r="K7" s="609"/>
      <c r="L7" s="1131"/>
      <c r="M7" s="1132"/>
      <c r="N7" s="1132"/>
      <c r="O7" s="1132"/>
      <c r="P7" s="3309" t="s">
        <v>2542</v>
      </c>
      <c r="Q7" s="3246"/>
      <c r="R7" s="768" t="s">
        <v>17</v>
      </c>
      <c r="S7" s="769">
        <f t="shared" ref="S7:S15" si="0">F7</f>
        <v>0</v>
      </c>
      <c r="T7" s="768" t="s">
        <v>17</v>
      </c>
      <c r="U7" s="769">
        <f t="shared" ref="U7:U15" si="1">H7</f>
        <v>0</v>
      </c>
      <c r="V7" s="768" t="s">
        <v>17</v>
      </c>
      <c r="W7" s="769">
        <f t="shared" ref="W7:W15" si="2">J7</f>
        <v>0</v>
      </c>
      <c r="X7" s="770"/>
      <c r="Y7" s="3218" t="s">
        <v>2542</v>
      </c>
      <c r="Z7" s="3219"/>
      <c r="AA7" s="771" t="e">
        <f>D7/F7</f>
        <v>#DIV/0!</v>
      </c>
      <c r="AB7" s="771" t="e">
        <f>D7/H7</f>
        <v>#DIV/0!</v>
      </c>
      <c r="AC7" s="2662" t="e">
        <f>D7/J7</f>
        <v>#DIV/0!</v>
      </c>
    </row>
    <row r="8" spans="1:29" s="116" customFormat="1" ht="15.7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309" t="s">
        <v>2545</v>
      </c>
      <c r="Q8" s="3219"/>
      <c r="R8" s="768" t="s">
        <v>17</v>
      </c>
      <c r="S8" s="769">
        <f t="shared" si="0"/>
        <v>0</v>
      </c>
      <c r="T8" s="768" t="s">
        <v>17</v>
      </c>
      <c r="U8" s="769">
        <f t="shared" si="1"/>
        <v>0</v>
      </c>
      <c r="V8" s="768" t="s">
        <v>17</v>
      </c>
      <c r="W8" s="769">
        <f t="shared" si="2"/>
        <v>0</v>
      </c>
      <c r="X8" s="770"/>
      <c r="Y8" s="3218" t="s">
        <v>2545</v>
      </c>
      <c r="Z8" s="3219"/>
      <c r="AA8" s="771" t="e">
        <f t="shared" ref="AA8:AA47" si="3">D8/F8</f>
        <v>#DIV/0!</v>
      </c>
      <c r="AB8" s="771" t="e">
        <f t="shared" ref="AB8:AB47" si="4">D8/H8</f>
        <v>#DIV/0!</v>
      </c>
      <c r="AC8" s="2662" t="e">
        <f t="shared" ref="AC8:AC47" si="5">D8/J8</f>
        <v>#DIV/0!</v>
      </c>
    </row>
    <row r="9" spans="1:29" s="116" customFormat="1">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256" t="s">
        <v>2548</v>
      </c>
      <c r="Q9" s="1793" t="str">
        <f t="shared" ref="Q9:Q15" si="6">B9</f>
        <v>用途</v>
      </c>
      <c r="R9" s="768" t="s">
        <v>17</v>
      </c>
      <c r="S9" s="769">
        <f t="shared" si="0"/>
        <v>100</v>
      </c>
      <c r="T9" s="768" t="s">
        <v>17</v>
      </c>
      <c r="U9" s="769">
        <f t="shared" si="1"/>
        <v>100</v>
      </c>
      <c r="V9" s="768" t="s">
        <v>17</v>
      </c>
      <c r="W9" s="769">
        <f t="shared" si="2"/>
        <v>100</v>
      </c>
      <c r="X9" s="770"/>
      <c r="Y9" s="3071" t="s">
        <v>2549</v>
      </c>
      <c r="Z9" s="55" t="str">
        <f t="shared" ref="Z9:Z15" si="7">Q9</f>
        <v>用途</v>
      </c>
      <c r="AA9" s="771">
        <f t="shared" si="3"/>
        <v>1</v>
      </c>
      <c r="AB9" s="771">
        <f t="shared" si="4"/>
        <v>1</v>
      </c>
      <c r="AC9" s="2662">
        <f t="shared" si="5"/>
        <v>1</v>
      </c>
    </row>
    <row r="10" spans="1:29" s="425" customFormat="1" ht="27">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256"/>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2662">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256"/>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31"/>
      <c r="M12" s="1132"/>
      <c r="N12" s="1132"/>
      <c r="O12" s="1132"/>
      <c r="P12" s="3256"/>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9"/>
      <c r="M13" s="1130"/>
      <c r="N13" s="1130"/>
      <c r="O13" s="1130"/>
      <c r="P13" s="3256"/>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9"/>
      <c r="M14" s="1130"/>
      <c r="N14" s="1130"/>
      <c r="O14" s="1130"/>
      <c r="P14" s="3256"/>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2662">
        <f t="shared" si="5"/>
        <v>1</v>
      </c>
    </row>
    <row r="15" spans="1:29" ht="15">
      <c r="A15" s="438" t="s">
        <v>2552</v>
      </c>
      <c r="B15" s="627" t="s">
        <v>2680</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269" t="s">
        <v>2553</v>
      </c>
      <c r="Q15" s="1808" t="str">
        <f t="shared" si="6"/>
        <v>办公集聚程度</v>
      </c>
      <c r="R15" s="772" t="s">
        <v>17</v>
      </c>
      <c r="S15" s="773">
        <f t="shared" si="0"/>
        <v>100</v>
      </c>
      <c r="T15" s="772" t="s">
        <v>17</v>
      </c>
      <c r="U15" s="773">
        <f t="shared" si="1"/>
        <v>100</v>
      </c>
      <c r="V15" s="772" t="s">
        <v>17</v>
      </c>
      <c r="W15" s="773">
        <f t="shared" si="2"/>
        <v>100</v>
      </c>
      <c r="X15" s="1811"/>
      <c r="Y15" s="3247" t="s">
        <v>2553</v>
      </c>
      <c r="Z15" s="1812" t="str">
        <f t="shared" si="7"/>
        <v>办公集聚程度</v>
      </c>
      <c r="AA15" s="1809">
        <f t="shared" si="3"/>
        <v>1</v>
      </c>
      <c r="AB15" s="1809">
        <f t="shared" si="4"/>
        <v>1</v>
      </c>
      <c r="AC15" s="2665">
        <f t="shared" si="5"/>
        <v>1</v>
      </c>
    </row>
    <row r="16" spans="1:29" ht="15">
      <c r="A16" s="426"/>
      <c r="B16" s="628"/>
      <c r="C16" s="2604"/>
      <c r="D16" s="446"/>
      <c r="E16" s="445"/>
      <c r="F16" s="446"/>
      <c r="G16" s="2604"/>
      <c r="H16" s="448"/>
      <c r="I16" s="445"/>
      <c r="J16" s="446"/>
      <c r="K16" s="613"/>
      <c r="L16" s="1139"/>
      <c r="M16" s="1130"/>
      <c r="N16" s="1130"/>
      <c r="O16" s="1130"/>
      <c r="P16" s="3270"/>
      <c r="Q16" s="1808"/>
      <c r="R16" s="772"/>
      <c r="S16" s="773"/>
      <c r="T16" s="772"/>
      <c r="U16" s="773"/>
      <c r="V16" s="772"/>
      <c r="W16" s="773"/>
      <c r="X16" s="1811"/>
      <c r="Y16" s="3248"/>
      <c r="Z16" s="1812"/>
      <c r="AA16" s="1809">
        <v>1</v>
      </c>
      <c r="AB16" s="1809">
        <v>1</v>
      </c>
      <c r="AC16" s="2665">
        <v>1</v>
      </c>
    </row>
    <row r="17" spans="1:29" ht="71.25">
      <c r="A17" s="426"/>
      <c r="B17" s="629" t="s">
        <v>2092</v>
      </c>
      <c r="C17" s="2666" t="str">
        <f>估价对象房地状况!C6</f>
        <v>估价对象周边有326、泾阳9、泾阳16等公交线路，综合评价交通便捷度较差</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270"/>
      <c r="Q17" s="1808" t="str">
        <f>B17</f>
        <v>交通便捷度</v>
      </c>
      <c r="R17" s="772" t="s">
        <v>17</v>
      </c>
      <c r="S17" s="773">
        <f>F17</f>
        <v>100</v>
      </c>
      <c r="T17" s="772" t="s">
        <v>17</v>
      </c>
      <c r="U17" s="773">
        <f>H17</f>
        <v>100</v>
      </c>
      <c r="V17" s="772" t="s">
        <v>17</v>
      </c>
      <c r="W17" s="773">
        <f>J17</f>
        <v>100</v>
      </c>
      <c r="X17" s="1811"/>
      <c r="Y17" s="3248"/>
      <c r="Z17" s="1812" t="str">
        <f>Q17</f>
        <v>交通便捷度</v>
      </c>
      <c r="AA17" s="1809">
        <f t="shared" si="3"/>
        <v>1</v>
      </c>
      <c r="AB17" s="1809">
        <f t="shared" si="4"/>
        <v>1</v>
      </c>
      <c r="AC17" s="2665">
        <f t="shared" si="5"/>
        <v>1</v>
      </c>
    </row>
    <row r="18" spans="1:29" ht="15">
      <c r="A18" s="426"/>
      <c r="B18" s="630"/>
      <c r="C18" s="2667"/>
      <c r="D18" s="448"/>
      <c r="E18" s="2602"/>
      <c r="F18" s="448"/>
      <c r="G18" s="2603"/>
      <c r="H18" s="446"/>
      <c r="I18" s="2603"/>
      <c r="J18" s="446"/>
      <c r="K18" s="613"/>
      <c r="L18" s="1139"/>
      <c r="M18" s="1130"/>
      <c r="N18" s="1130"/>
      <c r="O18" s="1130"/>
      <c r="P18" s="3270"/>
      <c r="Q18" s="1808"/>
      <c r="R18" s="772"/>
      <c r="S18" s="773"/>
      <c r="T18" s="772"/>
      <c r="U18" s="773"/>
      <c r="V18" s="772"/>
      <c r="W18" s="773"/>
      <c r="X18" s="1811"/>
      <c r="Y18" s="3248"/>
      <c r="Z18" s="1812"/>
      <c r="AA18" s="1809">
        <v>1</v>
      </c>
      <c r="AB18" s="1809">
        <v>1</v>
      </c>
      <c r="AC18" s="2665">
        <v>1</v>
      </c>
    </row>
    <row r="19" spans="1:29" ht="42.75">
      <c r="A19" s="426"/>
      <c r="B19" s="629" t="s">
        <v>2681</v>
      </c>
      <c r="C19" s="2666" t="str">
        <f>估价对象房地状况!C7</f>
        <v>估价对象所在区域公共配套设施齐备度较差</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270"/>
      <c r="Q19" s="1808" t="str">
        <f>B19</f>
        <v>公共配套设施</v>
      </c>
      <c r="R19" s="772" t="s">
        <v>17</v>
      </c>
      <c r="S19" s="773">
        <f>F19</f>
        <v>100</v>
      </c>
      <c r="T19" s="772" t="s">
        <v>17</v>
      </c>
      <c r="U19" s="773">
        <f>H19</f>
        <v>100</v>
      </c>
      <c r="V19" s="772" t="s">
        <v>17</v>
      </c>
      <c r="W19" s="773">
        <f>J19</f>
        <v>100</v>
      </c>
      <c r="X19" s="1811"/>
      <c r="Y19" s="3248"/>
      <c r="Z19" s="1812" t="str">
        <f>Q19</f>
        <v>公共配套设施</v>
      </c>
      <c r="AA19" s="1809">
        <f t="shared" si="3"/>
        <v>1</v>
      </c>
      <c r="AB19" s="1809">
        <f t="shared" si="4"/>
        <v>1</v>
      </c>
      <c r="AC19" s="2665">
        <f t="shared" si="5"/>
        <v>1</v>
      </c>
    </row>
    <row r="20" spans="1:29" ht="15">
      <c r="A20" s="426"/>
      <c r="B20" s="630"/>
      <c r="C20" s="2604"/>
      <c r="D20" s="446"/>
      <c r="E20" s="2597"/>
      <c r="F20" s="446"/>
      <c r="G20" s="2598"/>
      <c r="H20" s="446"/>
      <c r="I20" s="2598"/>
      <c r="J20" s="446"/>
      <c r="K20" s="613"/>
      <c r="L20" s="1139"/>
      <c r="M20" s="1130"/>
      <c r="N20" s="1130"/>
      <c r="O20" s="1130"/>
      <c r="P20" s="3270"/>
      <c r="Q20" s="1808"/>
      <c r="R20" s="772"/>
      <c r="S20" s="773"/>
      <c r="T20" s="772"/>
      <c r="U20" s="773"/>
      <c r="V20" s="772"/>
      <c r="W20" s="773"/>
      <c r="X20" s="1811"/>
      <c r="Y20" s="3248"/>
      <c r="Z20" s="1812"/>
      <c r="AA20" s="1809">
        <v>1</v>
      </c>
      <c r="AB20" s="1809">
        <v>1</v>
      </c>
      <c r="AC20" s="2665">
        <v>1</v>
      </c>
    </row>
    <row r="21" spans="1:29" ht="42.75">
      <c r="A21" s="426"/>
      <c r="B21" s="631" t="s">
        <v>2682</v>
      </c>
      <c r="C21" s="2666" t="str">
        <f>估价对象房地状况!C8</f>
        <v>估价对象所在区域基础设施水平达七通</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270"/>
      <c r="Q21" s="1808" t="str">
        <f>B21</f>
        <v>基础设施水平</v>
      </c>
      <c r="R21" s="772" t="s">
        <v>17</v>
      </c>
      <c r="S21" s="773">
        <f>F21</f>
        <v>100</v>
      </c>
      <c r="T21" s="772" t="s">
        <v>17</v>
      </c>
      <c r="U21" s="773">
        <f>H21</f>
        <v>100</v>
      </c>
      <c r="V21" s="772" t="s">
        <v>17</v>
      </c>
      <c r="W21" s="773">
        <f>J21</f>
        <v>100</v>
      </c>
      <c r="X21" s="1811"/>
      <c r="Y21" s="3248"/>
      <c r="Z21" s="1812" t="str">
        <f>Q21</f>
        <v>基础设施水平</v>
      </c>
      <c r="AA21" s="1809">
        <f t="shared" ref="AA21" si="8">D21/F21</f>
        <v>1</v>
      </c>
      <c r="AB21" s="1809">
        <f t="shared" ref="AB21" si="9">D21/H21</f>
        <v>1</v>
      </c>
      <c r="AC21" s="2665">
        <f t="shared" ref="AC21" si="10">D21/J21</f>
        <v>1</v>
      </c>
    </row>
    <row r="22" spans="1:29" ht="15">
      <c r="A22" s="426"/>
      <c r="B22" s="631"/>
      <c r="C22" s="2667"/>
      <c r="D22" s="446"/>
      <c r="E22" s="445"/>
      <c r="F22" s="446"/>
      <c r="G22" s="2604"/>
      <c r="H22" s="446"/>
      <c r="I22" s="2604"/>
      <c r="J22" s="446"/>
      <c r="K22" s="1382"/>
      <c r="L22" s="1139"/>
      <c r="M22" s="1130"/>
      <c r="N22" s="1130"/>
      <c r="O22" s="1130"/>
      <c r="P22" s="3270"/>
      <c r="Q22" s="1808"/>
      <c r="R22" s="772"/>
      <c r="S22" s="773"/>
      <c r="T22" s="772"/>
      <c r="U22" s="773"/>
      <c r="V22" s="772"/>
      <c r="W22" s="773"/>
      <c r="X22" s="1811"/>
      <c r="Y22" s="3248"/>
      <c r="Z22" s="1812"/>
      <c r="AA22" s="1809">
        <v>1</v>
      </c>
      <c r="AB22" s="1809">
        <v>1</v>
      </c>
      <c r="AC22" s="2665">
        <v>1</v>
      </c>
    </row>
    <row r="23" spans="1:29" ht="42.75">
      <c r="A23" s="426"/>
      <c r="B23" s="629" t="s">
        <v>2683</v>
      </c>
      <c r="C23" s="2666" t="str">
        <f>估价对象房地状况!C9</f>
        <v>周边1公里有泾河，综合评价环境状况一般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270"/>
      <c r="Q23" s="1808" t="str">
        <f>B23</f>
        <v>环境质量</v>
      </c>
      <c r="R23" s="772" t="s">
        <v>17</v>
      </c>
      <c r="S23" s="773">
        <f>F23</f>
        <v>100</v>
      </c>
      <c r="T23" s="772" t="s">
        <v>17</v>
      </c>
      <c r="U23" s="773">
        <f>H23</f>
        <v>100</v>
      </c>
      <c r="V23" s="772" t="s">
        <v>17</v>
      </c>
      <c r="W23" s="773">
        <f>J23</f>
        <v>100</v>
      </c>
      <c r="X23" s="1811"/>
      <c r="Y23" s="3248"/>
      <c r="Z23" s="1812" t="str">
        <f>Q23</f>
        <v>环境质量</v>
      </c>
      <c r="AA23" s="1809">
        <f t="shared" si="3"/>
        <v>1</v>
      </c>
      <c r="AB23" s="1809">
        <f t="shared" si="4"/>
        <v>1</v>
      </c>
      <c r="AC23" s="2665">
        <f t="shared" si="5"/>
        <v>1</v>
      </c>
    </row>
    <row r="24" spans="1:29" ht="15">
      <c r="A24" s="426"/>
      <c r="B24" s="631"/>
      <c r="C24" s="2604"/>
      <c r="D24" s="446"/>
      <c r="E24" s="2597"/>
      <c r="F24" s="446"/>
      <c r="G24" s="2598"/>
      <c r="H24" s="446"/>
      <c r="I24" s="2598"/>
      <c r="J24" s="446"/>
      <c r="K24" s="613"/>
      <c r="L24" s="1139"/>
      <c r="M24" s="1130"/>
      <c r="N24" s="1130"/>
      <c r="O24" s="1130"/>
      <c r="P24" s="3270"/>
      <c r="Q24" s="1808"/>
      <c r="R24" s="772"/>
      <c r="S24" s="773"/>
      <c r="T24" s="772"/>
      <c r="U24" s="773"/>
      <c r="V24" s="772"/>
      <c r="W24" s="773"/>
      <c r="X24" s="1811"/>
      <c r="Y24" s="3248"/>
      <c r="Z24" s="1812"/>
      <c r="AA24" s="1809">
        <v>1</v>
      </c>
      <c r="AB24" s="1809">
        <v>1</v>
      </c>
      <c r="AC24" s="2665">
        <v>1</v>
      </c>
    </row>
    <row r="25" spans="1:29" ht="27">
      <c r="A25" s="402"/>
      <c r="B25" s="629" t="s">
        <v>2684</v>
      </c>
      <c r="C25" s="2608"/>
      <c r="D25" s="433">
        <v>100</v>
      </c>
      <c r="E25" s="432"/>
      <c r="F25" s="433">
        <f>SUMIF(87:87,E26,88:88)-SUMIF(87:87,C26,88:88)+100</f>
        <v>100</v>
      </c>
      <c r="G25" s="2608"/>
      <c r="H25" s="433">
        <f>SUMIF(87:87,G26,88:88)-SUMIF(87:87,C26,88:88)+100</f>
        <v>100</v>
      </c>
      <c r="I25" s="432"/>
      <c r="J25" s="433">
        <f>SUMIF(87:87,I26,88:88)-SUMIF(87:87,C26,88:88)+100</f>
        <v>100</v>
      </c>
      <c r="K25" s="612"/>
      <c r="L25" s="1139"/>
      <c r="M25" s="1130"/>
      <c r="N25" s="1130"/>
      <c r="O25" s="1130"/>
      <c r="P25" s="3270"/>
      <c r="Q25" s="1808" t="str">
        <f>B25</f>
        <v>毗邻道路的类型与等级</v>
      </c>
      <c r="R25" s="772" t="s">
        <v>17</v>
      </c>
      <c r="S25" s="773">
        <f>F25</f>
        <v>100</v>
      </c>
      <c r="T25" s="772" t="s">
        <v>17</v>
      </c>
      <c r="U25" s="773">
        <f>H25</f>
        <v>100</v>
      </c>
      <c r="V25" s="772" t="s">
        <v>17</v>
      </c>
      <c r="W25" s="773">
        <f>J25</f>
        <v>100</v>
      </c>
      <c r="X25" s="1811"/>
      <c r="Y25" s="3248"/>
      <c r="Z25" s="1812" t="str">
        <f>Q25</f>
        <v>毗邻道路的类型与等级</v>
      </c>
      <c r="AA25" s="1809">
        <f t="shared" si="3"/>
        <v>1</v>
      </c>
      <c r="AB25" s="1809">
        <f t="shared" si="4"/>
        <v>1</v>
      </c>
      <c r="AC25" s="2665">
        <f t="shared" si="5"/>
        <v>1</v>
      </c>
    </row>
    <row r="26" spans="1:29" ht="15">
      <c r="A26" s="402"/>
      <c r="B26" s="630"/>
      <c r="C26" s="632"/>
      <c r="D26" s="433"/>
      <c r="E26" s="614"/>
      <c r="F26" s="433"/>
      <c r="G26" s="632"/>
      <c r="H26" s="433"/>
      <c r="I26" s="614"/>
      <c r="J26" s="433"/>
      <c r="K26" s="613"/>
      <c r="L26" s="1139"/>
      <c r="M26" s="1130"/>
      <c r="N26" s="1130"/>
      <c r="O26" s="1130"/>
      <c r="P26" s="3270"/>
      <c r="Q26" s="1808"/>
      <c r="R26" s="772"/>
      <c r="S26" s="773"/>
      <c r="T26" s="772"/>
      <c r="U26" s="773"/>
      <c r="V26" s="772"/>
      <c r="W26" s="773"/>
      <c r="X26" s="1811"/>
      <c r="Y26" s="3248"/>
      <c r="Z26" s="1812"/>
      <c r="AA26" s="1809">
        <v>1</v>
      </c>
      <c r="AB26" s="1809">
        <v>1</v>
      </c>
      <c r="AC26" s="2665">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270"/>
      <c r="Q27" s="1808" t="str">
        <f t="shared" ref="Q27:Q47" si="11">B27</f>
        <v>楼层</v>
      </c>
      <c r="R27" s="772" t="s">
        <v>17</v>
      </c>
      <c r="S27" s="773">
        <f>F27</f>
        <v>100</v>
      </c>
      <c r="T27" s="772" t="s">
        <v>17</v>
      </c>
      <c r="U27" s="773">
        <f>H27</f>
        <v>100</v>
      </c>
      <c r="V27" s="772" t="s">
        <v>17</v>
      </c>
      <c r="W27" s="773">
        <f>J27</f>
        <v>100</v>
      </c>
      <c r="X27" s="1811"/>
      <c r="Y27" s="3248"/>
      <c r="Z27" s="1812" t="str">
        <f>Q27</f>
        <v>楼层</v>
      </c>
      <c r="AA27" s="1809">
        <f t="shared" si="3"/>
        <v>1</v>
      </c>
      <c r="AB27" s="1809">
        <f t="shared" si="4"/>
        <v>1</v>
      </c>
      <c r="AC27" s="2665">
        <f t="shared" si="5"/>
        <v>1</v>
      </c>
    </row>
    <row r="28" spans="1:29" s="116" customFormat="1" ht="15">
      <c r="A28" s="429"/>
      <c r="B28" s="629" t="s">
        <v>2685</v>
      </c>
      <c r="C28" s="2668"/>
      <c r="D28" s="460">
        <v>100</v>
      </c>
      <c r="E28" s="2656"/>
      <c r="F28" s="460">
        <f>SUMIF(91:91,E28,92:92)-SUMIF(91:91,C28,92:92)+100</f>
        <v>100</v>
      </c>
      <c r="G28" s="2668"/>
      <c r="H28" s="460">
        <f>SUMIF(91:91,G28,92:92)-SUMIF(91:91,C28,92:92)+100</f>
        <v>100</v>
      </c>
      <c r="I28" s="2656"/>
      <c r="J28" s="460">
        <f>SUMIF(91:91,I28,92:92)-SUMIF(91:91,C28,92:92)+100</f>
        <v>100</v>
      </c>
      <c r="K28" s="610"/>
      <c r="L28" s="1131"/>
      <c r="M28" s="1132"/>
      <c r="N28" s="1132"/>
      <c r="O28" s="1132"/>
      <c r="P28" s="3270"/>
      <c r="Q28" s="1793" t="str">
        <f t="shared" si="11"/>
        <v>朝向</v>
      </c>
      <c r="R28" s="768" t="s">
        <v>17</v>
      </c>
      <c r="S28" s="769">
        <f>F28</f>
        <v>100</v>
      </c>
      <c r="T28" s="768" t="s">
        <v>17</v>
      </c>
      <c r="U28" s="769">
        <f>H28</f>
        <v>100</v>
      </c>
      <c r="V28" s="768" t="s">
        <v>17</v>
      </c>
      <c r="W28" s="769">
        <f>J28</f>
        <v>100</v>
      </c>
      <c r="X28" s="770"/>
      <c r="Y28" s="3248"/>
      <c r="Z28" s="55" t="str">
        <f>Q28</f>
        <v>朝向</v>
      </c>
      <c r="AA28" s="1809">
        <f>D28/F28</f>
        <v>1</v>
      </c>
      <c r="AB28" s="1809">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9"/>
      <c r="M29" s="1130"/>
      <c r="N29" s="1130"/>
      <c r="O29" s="1130"/>
      <c r="P29" s="3270"/>
      <c r="Q29" s="1808">
        <f t="shared" si="11"/>
        <v>111</v>
      </c>
      <c r="R29" s="772" t="s">
        <v>17</v>
      </c>
      <c r="S29" s="773">
        <f t="shared" ref="S29:S47" si="12">F29</f>
        <v>100</v>
      </c>
      <c r="T29" s="772" t="s">
        <v>17</v>
      </c>
      <c r="U29" s="773">
        <f t="shared" ref="U29:U47" si="13">H29</f>
        <v>100</v>
      </c>
      <c r="V29" s="772" t="s">
        <v>17</v>
      </c>
      <c r="W29" s="773">
        <f t="shared" ref="W29:W47" si="14">J29</f>
        <v>100</v>
      </c>
      <c r="X29" s="1811"/>
      <c r="Y29" s="3248"/>
      <c r="Z29" s="1812">
        <f t="shared" ref="Z29:Z47" si="15">Q29</f>
        <v>111</v>
      </c>
      <c r="AA29" s="1809">
        <f t="shared" si="3"/>
        <v>1</v>
      </c>
      <c r="AB29" s="1809">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9"/>
      <c r="M30" s="1130"/>
      <c r="N30" s="1130"/>
      <c r="O30" s="1130"/>
      <c r="P30" s="3270"/>
      <c r="Q30" s="1808">
        <f t="shared" si="11"/>
        <v>111</v>
      </c>
      <c r="R30" s="772" t="s">
        <v>17</v>
      </c>
      <c r="S30" s="773">
        <f t="shared" si="12"/>
        <v>100</v>
      </c>
      <c r="T30" s="772" t="s">
        <v>17</v>
      </c>
      <c r="U30" s="773">
        <f t="shared" si="13"/>
        <v>100</v>
      </c>
      <c r="V30" s="772" t="s">
        <v>17</v>
      </c>
      <c r="W30" s="773">
        <f t="shared" si="14"/>
        <v>100</v>
      </c>
      <c r="X30" s="1811"/>
      <c r="Y30" s="3248"/>
      <c r="Z30" s="1812">
        <f t="shared" si="15"/>
        <v>111</v>
      </c>
      <c r="AA30" s="1809">
        <f t="shared" si="3"/>
        <v>1</v>
      </c>
      <c r="AB30" s="1809">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9"/>
      <c r="M31" s="1130"/>
      <c r="N31" s="1130"/>
      <c r="O31" s="1130"/>
      <c r="P31" s="3270"/>
      <c r="Q31" s="1808">
        <f t="shared" si="11"/>
        <v>111</v>
      </c>
      <c r="R31" s="772" t="s">
        <v>17</v>
      </c>
      <c r="S31" s="773">
        <f t="shared" si="12"/>
        <v>100</v>
      </c>
      <c r="T31" s="772" t="s">
        <v>17</v>
      </c>
      <c r="U31" s="773">
        <f t="shared" si="13"/>
        <v>100</v>
      </c>
      <c r="V31" s="772" t="s">
        <v>17</v>
      </c>
      <c r="W31" s="773">
        <f t="shared" si="14"/>
        <v>100</v>
      </c>
      <c r="X31" s="1811"/>
      <c r="Y31" s="3248"/>
      <c r="Z31" s="1812">
        <f t="shared" si="15"/>
        <v>111</v>
      </c>
      <c r="AA31" s="1809">
        <f t="shared" si="3"/>
        <v>1</v>
      </c>
      <c r="AB31" s="1809">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9"/>
      <c r="M32" s="1130"/>
      <c r="N32" s="1130"/>
      <c r="O32" s="1130"/>
      <c r="P32" s="3270"/>
      <c r="Q32" s="1808">
        <f t="shared" si="11"/>
        <v>111</v>
      </c>
      <c r="R32" s="772" t="s">
        <v>17</v>
      </c>
      <c r="S32" s="773">
        <f t="shared" si="12"/>
        <v>100</v>
      </c>
      <c r="T32" s="772" t="s">
        <v>17</v>
      </c>
      <c r="U32" s="773">
        <f t="shared" si="13"/>
        <v>100</v>
      </c>
      <c r="V32" s="772" t="s">
        <v>17</v>
      </c>
      <c r="W32" s="773">
        <f t="shared" si="14"/>
        <v>100</v>
      </c>
      <c r="X32" s="1811"/>
      <c r="Y32" s="3248"/>
      <c r="Z32" s="1812">
        <f t="shared" si="15"/>
        <v>111</v>
      </c>
      <c r="AA32" s="1809">
        <f t="shared" si="3"/>
        <v>1</v>
      </c>
      <c r="AB32" s="1809">
        <f t="shared" si="4"/>
        <v>1</v>
      </c>
      <c r="AC32" s="2665">
        <f t="shared" si="5"/>
        <v>1</v>
      </c>
    </row>
    <row r="33" spans="1:29" ht="15">
      <c r="A33" s="438" t="s">
        <v>2556</v>
      </c>
      <c r="B33" s="71" t="s">
        <v>2686</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9"/>
      <c r="M33" s="1130"/>
      <c r="N33" s="1130"/>
      <c r="O33" s="1130"/>
      <c r="P33" s="3265" t="s">
        <v>2558</v>
      </c>
      <c r="Q33" s="1808" t="str">
        <f t="shared" si="11"/>
        <v>建筑类型</v>
      </c>
      <c r="R33" s="772" t="s">
        <v>17</v>
      </c>
      <c r="S33" s="773">
        <f t="shared" si="12"/>
        <v>100</v>
      </c>
      <c r="T33" s="772" t="s">
        <v>17</v>
      </c>
      <c r="U33" s="773">
        <f t="shared" si="13"/>
        <v>100</v>
      </c>
      <c r="V33" s="772" t="s">
        <v>17</v>
      </c>
      <c r="W33" s="773">
        <f t="shared" si="14"/>
        <v>100</v>
      </c>
      <c r="X33" s="1811"/>
      <c r="Y33" s="3250" t="s">
        <v>2558</v>
      </c>
      <c r="Z33" s="1812" t="str">
        <f t="shared" si="15"/>
        <v>建筑类型</v>
      </c>
      <c r="AA33" s="1809">
        <f t="shared" si="3"/>
        <v>1</v>
      </c>
      <c r="AB33" s="1809">
        <f t="shared" si="4"/>
        <v>1</v>
      </c>
      <c r="AC33" s="2665">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266"/>
      <c r="Q34" s="774" t="str">
        <f t="shared" si="11"/>
        <v>项目建筑规模</v>
      </c>
      <c r="R34" s="775" t="s">
        <v>17</v>
      </c>
      <c r="S34" s="776" t="e">
        <f t="shared" si="12"/>
        <v>#N/A</v>
      </c>
      <c r="T34" s="775" t="s">
        <v>17</v>
      </c>
      <c r="U34" s="776" t="e">
        <f t="shared" si="13"/>
        <v>#N/A</v>
      </c>
      <c r="V34" s="775" t="s">
        <v>17</v>
      </c>
      <c r="W34" s="776" t="e">
        <f t="shared" si="14"/>
        <v>#N/A</v>
      </c>
      <c r="X34" s="777"/>
      <c r="Y34" s="3250"/>
      <c r="Z34" s="778" t="str">
        <f t="shared" si="15"/>
        <v>项目建筑规模</v>
      </c>
      <c r="AA34" s="1809" t="e">
        <f t="shared" si="3"/>
        <v>#N/A</v>
      </c>
      <c r="AB34" s="1809" t="e">
        <f t="shared" si="4"/>
        <v>#N/A</v>
      </c>
      <c r="AC34" s="2665"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266"/>
      <c r="Q35" s="1808" t="str">
        <f t="shared" si="11"/>
        <v>建筑结构</v>
      </c>
      <c r="R35" s="772" t="s">
        <v>17</v>
      </c>
      <c r="S35" s="773">
        <f t="shared" si="12"/>
        <v>100</v>
      </c>
      <c r="T35" s="772" t="s">
        <v>17</v>
      </c>
      <c r="U35" s="773">
        <f t="shared" si="13"/>
        <v>100</v>
      </c>
      <c r="V35" s="772" t="s">
        <v>17</v>
      </c>
      <c r="W35" s="773">
        <f t="shared" si="14"/>
        <v>100</v>
      </c>
      <c r="X35" s="1811"/>
      <c r="Y35" s="3250"/>
      <c r="Z35" s="1812" t="str">
        <f t="shared" si="15"/>
        <v>建筑结构</v>
      </c>
      <c r="AA35" s="1809">
        <f t="shared" si="3"/>
        <v>1</v>
      </c>
      <c r="AB35" s="1809">
        <f t="shared" si="4"/>
        <v>1</v>
      </c>
      <c r="AC35" s="2665">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266"/>
      <c r="Q36" s="1808" t="str">
        <f t="shared" si="11"/>
        <v>公共部分装修</v>
      </c>
      <c r="R36" s="772" t="s">
        <v>17</v>
      </c>
      <c r="S36" s="773">
        <f t="shared" si="12"/>
        <v>100</v>
      </c>
      <c r="T36" s="772" t="s">
        <v>17</v>
      </c>
      <c r="U36" s="773">
        <f t="shared" si="13"/>
        <v>100</v>
      </c>
      <c r="V36" s="772" t="s">
        <v>17</v>
      </c>
      <c r="W36" s="773">
        <f t="shared" si="14"/>
        <v>100</v>
      </c>
      <c r="X36" s="1811"/>
      <c r="Y36" s="3250"/>
      <c r="Z36" s="1812" t="str">
        <f t="shared" si="15"/>
        <v>公共部分装修</v>
      </c>
      <c r="AA36" s="1809">
        <f t="shared" si="3"/>
        <v>1</v>
      </c>
      <c r="AB36" s="1809">
        <f t="shared" si="4"/>
        <v>1</v>
      </c>
      <c r="AC36" s="2665">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266"/>
      <c r="Q37" s="1808" t="str">
        <f t="shared" si="11"/>
        <v>成新度</v>
      </c>
      <c r="R37" s="772" t="s">
        <v>17</v>
      </c>
      <c r="S37" s="773" t="e">
        <f t="shared" si="12"/>
        <v>#N/A</v>
      </c>
      <c r="T37" s="772" t="s">
        <v>17</v>
      </c>
      <c r="U37" s="773" t="e">
        <f t="shared" si="13"/>
        <v>#N/A</v>
      </c>
      <c r="V37" s="772" t="s">
        <v>17</v>
      </c>
      <c r="W37" s="773" t="e">
        <f t="shared" si="14"/>
        <v>#N/A</v>
      </c>
      <c r="X37" s="1811"/>
      <c r="Y37" s="3250"/>
      <c r="Z37" s="1812" t="str">
        <f t="shared" si="15"/>
        <v>成新度</v>
      </c>
      <c r="AA37" s="1809" t="e">
        <f t="shared" si="3"/>
        <v>#N/A</v>
      </c>
      <c r="AB37" s="1809" t="e">
        <f t="shared" si="4"/>
        <v>#N/A</v>
      </c>
      <c r="AC37" s="2665" t="e">
        <f t="shared" si="5"/>
        <v>#N/A</v>
      </c>
    </row>
    <row r="38" spans="1:29" s="116"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266"/>
      <c r="Q38" s="1793" t="str">
        <f t="shared" si="11"/>
        <v>写字楼等级</v>
      </c>
      <c r="R38" s="768" t="s">
        <v>17</v>
      </c>
      <c r="S38" s="769">
        <f t="shared" si="12"/>
        <v>100</v>
      </c>
      <c r="T38" s="768" t="s">
        <v>17</v>
      </c>
      <c r="U38" s="769">
        <f t="shared" si="13"/>
        <v>100</v>
      </c>
      <c r="V38" s="768" t="s">
        <v>17</v>
      </c>
      <c r="W38" s="769">
        <f t="shared" si="14"/>
        <v>100</v>
      </c>
      <c r="X38" s="770"/>
      <c r="Y38" s="3250"/>
      <c r="Z38" s="55" t="str">
        <f t="shared" si="15"/>
        <v>写字楼等级</v>
      </c>
      <c r="AA38" s="771">
        <f t="shared" si="3"/>
        <v>1</v>
      </c>
      <c r="AB38" s="771">
        <f t="shared" si="4"/>
        <v>1</v>
      </c>
      <c r="AC38" s="2662">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266" t="s">
        <v>2558</v>
      </c>
      <c r="Q39" s="1808" t="str">
        <f t="shared" si="11"/>
        <v>物业管理</v>
      </c>
      <c r="R39" s="772" t="s">
        <v>17</v>
      </c>
      <c r="S39" s="773">
        <f t="shared" si="12"/>
        <v>100</v>
      </c>
      <c r="T39" s="772" t="s">
        <v>17</v>
      </c>
      <c r="U39" s="773">
        <f t="shared" si="13"/>
        <v>100</v>
      </c>
      <c r="V39" s="772" t="s">
        <v>17</v>
      </c>
      <c r="W39" s="773">
        <f t="shared" si="14"/>
        <v>100</v>
      </c>
      <c r="X39" s="1811"/>
      <c r="Y39" s="3250" t="s">
        <v>2558</v>
      </c>
      <c r="Z39" s="1812" t="str">
        <f t="shared" si="15"/>
        <v>物业管理</v>
      </c>
      <c r="AA39" s="1809">
        <f t="shared" si="3"/>
        <v>1</v>
      </c>
      <c r="AB39" s="1809">
        <f t="shared" si="4"/>
        <v>1</v>
      </c>
      <c r="AC39" s="2665">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266"/>
      <c r="Q40" s="1808" t="str">
        <f t="shared" si="11"/>
        <v>市政基础设施</v>
      </c>
      <c r="R40" s="772" t="s">
        <v>17</v>
      </c>
      <c r="S40" s="773">
        <f t="shared" si="12"/>
        <v>100</v>
      </c>
      <c r="T40" s="772" t="s">
        <v>17</v>
      </c>
      <c r="U40" s="773">
        <f t="shared" si="13"/>
        <v>100</v>
      </c>
      <c r="V40" s="772" t="s">
        <v>17</v>
      </c>
      <c r="W40" s="773">
        <f t="shared" si="14"/>
        <v>100</v>
      </c>
      <c r="X40" s="1811"/>
      <c r="Y40" s="3250"/>
      <c r="Z40" s="1812" t="str">
        <f t="shared" si="15"/>
        <v>市政基础设施</v>
      </c>
      <c r="AA40" s="1809">
        <f t="shared" si="3"/>
        <v>1</v>
      </c>
      <c r="AB40" s="1809">
        <f t="shared" si="4"/>
        <v>1</v>
      </c>
      <c r="AC40" s="2665">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266"/>
      <c r="Q41" s="1808" t="str">
        <f t="shared" si="11"/>
        <v>层高</v>
      </c>
      <c r="R41" s="772" t="s">
        <v>17</v>
      </c>
      <c r="S41" s="773">
        <f t="shared" si="12"/>
        <v>100</v>
      </c>
      <c r="T41" s="772" t="s">
        <v>17</v>
      </c>
      <c r="U41" s="773">
        <f t="shared" si="13"/>
        <v>100</v>
      </c>
      <c r="V41" s="772" t="s">
        <v>17</v>
      </c>
      <c r="W41" s="773">
        <f t="shared" si="14"/>
        <v>100</v>
      </c>
      <c r="X41" s="1811"/>
      <c r="Y41" s="3250"/>
      <c r="Z41" s="1812" t="str">
        <f t="shared" si="15"/>
        <v>层高</v>
      </c>
      <c r="AA41" s="1809">
        <f t="shared" si="3"/>
        <v>1</v>
      </c>
      <c r="AB41" s="1809">
        <f t="shared" si="4"/>
        <v>1</v>
      </c>
      <c r="AC41" s="2665">
        <f t="shared" si="5"/>
        <v>1</v>
      </c>
    </row>
    <row r="42" spans="1:29" s="469" customFormat="1" ht="15">
      <c r="A42" s="466"/>
      <c r="B42" s="1810"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266"/>
      <c r="Q42" s="774" t="str">
        <f t="shared" si="11"/>
        <v>单套建筑面积</v>
      </c>
      <c r="R42" s="775" t="s">
        <v>17</v>
      </c>
      <c r="S42" s="776">
        <f t="shared" si="12"/>
        <v>100</v>
      </c>
      <c r="T42" s="775" t="s">
        <v>17</v>
      </c>
      <c r="U42" s="776">
        <f t="shared" si="13"/>
        <v>100</v>
      </c>
      <c r="V42" s="775" t="s">
        <v>17</v>
      </c>
      <c r="W42" s="776">
        <f t="shared" si="14"/>
        <v>100</v>
      </c>
      <c r="X42" s="777"/>
      <c r="Y42" s="3250"/>
      <c r="Z42" s="778" t="str">
        <f t="shared" si="15"/>
        <v>单套建筑面积</v>
      </c>
      <c r="AA42" s="1809">
        <f t="shared" si="3"/>
        <v>1</v>
      </c>
      <c r="AB42" s="1809">
        <f t="shared" si="4"/>
        <v>1</v>
      </c>
      <c r="AC42" s="2665">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266"/>
      <c r="Q43" s="1808" t="str">
        <f t="shared" si="11"/>
        <v>内部装修</v>
      </c>
      <c r="R43" s="772" t="s">
        <v>17</v>
      </c>
      <c r="S43" s="773">
        <f t="shared" si="12"/>
        <v>100</v>
      </c>
      <c r="T43" s="772" t="s">
        <v>17</v>
      </c>
      <c r="U43" s="773">
        <f t="shared" si="13"/>
        <v>100</v>
      </c>
      <c r="V43" s="772" t="s">
        <v>17</v>
      </c>
      <c r="W43" s="773">
        <f t="shared" si="14"/>
        <v>100</v>
      </c>
      <c r="X43" s="1811"/>
      <c r="Y43" s="3250"/>
      <c r="Z43" s="1812" t="str">
        <f t="shared" si="15"/>
        <v>内部装修</v>
      </c>
      <c r="AA43" s="1809">
        <f t="shared" si="3"/>
        <v>1</v>
      </c>
      <c r="AB43" s="1809">
        <f t="shared" si="4"/>
        <v>1</v>
      </c>
      <c r="AC43" s="2665">
        <f t="shared" si="5"/>
        <v>1</v>
      </c>
    </row>
    <row r="44" spans="1:29" ht="15">
      <c r="A44" s="470"/>
      <c r="B44" s="420" t="s">
        <v>2569</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9"/>
      <c r="M44" s="1130"/>
      <c r="N44" s="1130"/>
      <c r="O44" s="1130"/>
      <c r="P44" s="3266"/>
      <c r="Q44" s="1808" t="str">
        <f t="shared" si="11"/>
        <v>内部装修维护情况</v>
      </c>
      <c r="R44" s="772" t="s">
        <v>17</v>
      </c>
      <c r="S44" s="773">
        <f t="shared" si="12"/>
        <v>100</v>
      </c>
      <c r="T44" s="772" t="s">
        <v>17</v>
      </c>
      <c r="U44" s="773">
        <f t="shared" si="13"/>
        <v>100</v>
      </c>
      <c r="V44" s="772" t="s">
        <v>17</v>
      </c>
      <c r="W44" s="773">
        <f t="shared" si="14"/>
        <v>100</v>
      </c>
      <c r="X44" s="1811"/>
      <c r="Y44" s="3250"/>
      <c r="Z44" s="1812" t="str">
        <f t="shared" si="15"/>
        <v>内部装修维护情况</v>
      </c>
      <c r="AA44" s="1809">
        <f t="shared" si="3"/>
        <v>1</v>
      </c>
      <c r="AB44" s="1809">
        <f t="shared" si="4"/>
        <v>1</v>
      </c>
      <c r="AC44" s="2665">
        <f t="shared" si="5"/>
        <v>1</v>
      </c>
    </row>
    <row r="45" spans="1:29" s="116"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266"/>
      <c r="Q45" s="1793">
        <f t="shared" si="11"/>
        <v>111</v>
      </c>
      <c r="R45" s="768" t="s">
        <v>17</v>
      </c>
      <c r="S45" s="769">
        <f t="shared" si="12"/>
        <v>100</v>
      </c>
      <c r="T45" s="768" t="s">
        <v>17</v>
      </c>
      <c r="U45" s="769">
        <f t="shared" si="13"/>
        <v>100</v>
      </c>
      <c r="V45" s="768" t="s">
        <v>17</v>
      </c>
      <c r="W45" s="769">
        <f t="shared" si="14"/>
        <v>100</v>
      </c>
      <c r="X45" s="770"/>
      <c r="Y45" s="3250"/>
      <c r="Z45" s="55">
        <f t="shared" si="15"/>
        <v>111</v>
      </c>
      <c r="AA45" s="771">
        <f t="shared" si="3"/>
        <v>1</v>
      </c>
      <c r="AB45" s="771">
        <f t="shared" si="4"/>
        <v>1</v>
      </c>
      <c r="AC45" s="2662">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266"/>
      <c r="Q46" s="1808">
        <f t="shared" si="11"/>
        <v>111</v>
      </c>
      <c r="R46" s="772" t="s">
        <v>17</v>
      </c>
      <c r="S46" s="773">
        <f t="shared" si="12"/>
        <v>100</v>
      </c>
      <c r="T46" s="772" t="s">
        <v>17</v>
      </c>
      <c r="U46" s="773">
        <f t="shared" si="13"/>
        <v>100</v>
      </c>
      <c r="V46" s="772" t="s">
        <v>17</v>
      </c>
      <c r="W46" s="773">
        <f t="shared" si="14"/>
        <v>100</v>
      </c>
      <c r="X46" s="1811"/>
      <c r="Y46" s="3250"/>
      <c r="Z46" s="1812">
        <f t="shared" si="15"/>
        <v>111</v>
      </c>
      <c r="AA46" s="1809">
        <f t="shared" si="3"/>
        <v>1</v>
      </c>
      <c r="AB46" s="1809">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267"/>
      <c r="Q47" s="1808">
        <f t="shared" si="11"/>
        <v>111</v>
      </c>
      <c r="R47" s="772" t="s">
        <v>17</v>
      </c>
      <c r="S47" s="773">
        <f t="shared" si="12"/>
        <v>100</v>
      </c>
      <c r="T47" s="772" t="s">
        <v>17</v>
      </c>
      <c r="U47" s="773">
        <f t="shared" si="13"/>
        <v>100</v>
      </c>
      <c r="V47" s="772" t="s">
        <v>17</v>
      </c>
      <c r="W47" s="773">
        <f t="shared" si="14"/>
        <v>100</v>
      </c>
      <c r="X47" s="1811"/>
      <c r="Y47" s="3268"/>
      <c r="Z47" s="1812">
        <f t="shared" si="15"/>
        <v>111</v>
      </c>
      <c r="AA47" s="1809">
        <f t="shared" si="3"/>
        <v>1</v>
      </c>
      <c r="AB47" s="1809">
        <f t="shared" si="4"/>
        <v>1</v>
      </c>
      <c r="AC47" s="2665">
        <f t="shared" si="5"/>
        <v>1</v>
      </c>
    </row>
    <row r="48" spans="1:29" ht="15">
      <c r="A48" s="477" t="s">
        <v>2570</v>
      </c>
      <c r="B48" s="478"/>
      <c r="C48" s="1406" t="s">
        <v>1</v>
      </c>
      <c r="D48" s="1407"/>
      <c r="E48" s="1408"/>
      <c r="F48" s="1409"/>
      <c r="G48" s="1410"/>
      <c r="H48" s="1411"/>
      <c r="I48" s="1408"/>
      <c r="J48" s="483"/>
      <c r="K48" s="781"/>
      <c r="L48" s="1142"/>
      <c r="M48" s="1130"/>
      <c r="N48" s="1130"/>
      <c r="O48" s="1130"/>
      <c r="P48" s="3256" t="str">
        <f>A48</f>
        <v>成交单价（元/平方米）</v>
      </c>
      <c r="Q48" s="3232"/>
      <c r="R48" s="3264">
        <f>E48</f>
        <v>0</v>
      </c>
      <c r="S48" s="3264"/>
      <c r="T48" s="3264">
        <f>G48</f>
        <v>0</v>
      </c>
      <c r="U48" s="3264"/>
      <c r="V48" s="3264">
        <f>I48</f>
        <v>0</v>
      </c>
      <c r="W48" s="3264"/>
      <c r="X48" s="444"/>
      <c r="Y48" s="779"/>
      <c r="Z48" s="444"/>
      <c r="AA48" s="444"/>
      <c r="AB48" s="444"/>
      <c r="AC48" s="628"/>
    </row>
    <row r="49" spans="1:29" ht="15.75" thickBot="1">
      <c r="A49" s="484" t="s">
        <v>2662</v>
      </c>
      <c r="B49" s="485"/>
      <c r="C49" s="1412" t="e">
        <f>R50</f>
        <v>#DIV/0!</v>
      </c>
      <c r="D49" s="1413"/>
      <c r="E49" s="1414" t="e">
        <f>R49</f>
        <v>#DIV/0!</v>
      </c>
      <c r="F49" s="1414"/>
      <c r="G49" s="1412" t="e">
        <f>T49</f>
        <v>#DIV/0!</v>
      </c>
      <c r="H49" s="1413"/>
      <c r="I49" s="1414" t="e">
        <f>V49</f>
        <v>#DIV/0!</v>
      </c>
      <c r="J49" s="487"/>
      <c r="K49" s="782"/>
      <c r="L49" s="1142"/>
      <c r="M49" s="1130"/>
      <c r="N49" s="1130"/>
      <c r="O49" s="1130"/>
      <c r="P49" s="3256" t="str">
        <f>A49</f>
        <v>比较价值（元/平方米）</v>
      </c>
      <c r="Q49" s="3232"/>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4"/>
      <c r="Y49" s="444"/>
      <c r="Z49" s="444"/>
      <c r="AA49" s="444"/>
      <c r="AB49" s="444"/>
      <c r="AC49" s="628"/>
    </row>
    <row r="50" spans="1:29" ht="15.75" thickBot="1">
      <c r="A50" s="490" t="s">
        <v>2663</v>
      </c>
      <c r="B50" s="491"/>
      <c r="C50" s="1416" t="e">
        <f>R50</f>
        <v>#DIV/0!</v>
      </c>
      <c r="D50" s="1416"/>
      <c r="E50" s="1416"/>
      <c r="F50" s="1416"/>
      <c r="G50" s="1416"/>
      <c r="H50" s="1416"/>
      <c r="I50" s="1416"/>
      <c r="J50" s="492"/>
      <c r="K50" s="783"/>
      <c r="L50" s="1142"/>
      <c r="M50" s="1130"/>
      <c r="N50" s="1130"/>
      <c r="O50" s="1130"/>
      <c r="P50" s="3310" t="str">
        <f>A50</f>
        <v>估价对象XX用房的比较价值（楼面单价，元/平方米）</v>
      </c>
      <c r="Q50" s="3311"/>
      <c r="R50" s="3312" t="e">
        <f>IF(F1="售价",ROUND(AVERAGE(R49:V49),0),ROUND(AVERAGE(R49:V49),1))</f>
        <v>#DIV/0!</v>
      </c>
      <c r="S50" s="3312"/>
      <c r="T50" s="3312"/>
      <c r="U50" s="3312"/>
      <c r="V50" s="3312"/>
      <c r="W50" s="3312"/>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1"/>
    </row>
    <row r="56" spans="1:29" s="500"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61" t="s">
        <v>2667</v>
      </c>
      <c r="B58" s="757"/>
      <c r="C58" s="762"/>
      <c r="D58" s="762"/>
      <c r="E58" s="762"/>
      <c r="F58" s="763"/>
      <c r="G58" s="763"/>
      <c r="H58" s="762"/>
      <c r="I58" s="762"/>
      <c r="J58" s="762"/>
      <c r="K58" s="764"/>
      <c r="L58" s="1160"/>
      <c r="M58" s="1158"/>
      <c r="N58" s="1158"/>
      <c r="O58" s="1158"/>
      <c r="P58" s="2672"/>
      <c r="Q58" s="502"/>
    </row>
    <row r="59" spans="1:29" s="506" customFormat="1" ht="15">
      <c r="A59" s="503" t="s">
        <v>2541</v>
      </c>
      <c r="B59" s="504"/>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ht="15">
      <c r="A60" s="507"/>
      <c r="B60" s="508"/>
      <c r="C60" s="1571">
        <v>100</v>
      </c>
      <c r="D60" s="510"/>
      <c r="E60" s="510"/>
      <c r="F60" s="510"/>
      <c r="G60" s="510"/>
      <c r="H60" s="510"/>
      <c r="I60" s="510"/>
      <c r="J60" s="510"/>
      <c r="K60" s="510"/>
      <c r="L60" s="510"/>
      <c r="M60" s="511"/>
      <c r="N60" s="510"/>
      <c r="O60" s="511"/>
      <c r="P60" s="2673"/>
    </row>
    <row r="61" spans="1:29" s="116" customFormat="1" ht="15.75" thickBot="1">
      <c r="A61" s="513" t="s">
        <v>2578</v>
      </c>
      <c r="B61" s="514"/>
      <c r="C61" s="515"/>
      <c r="D61" s="516"/>
      <c r="E61" s="516"/>
      <c r="F61" s="516"/>
      <c r="G61" s="516"/>
      <c r="H61" s="516"/>
      <c r="I61" s="516"/>
      <c r="J61" s="516"/>
      <c r="K61" s="516"/>
      <c r="L61" s="516"/>
      <c r="M61" s="517"/>
      <c r="N61" s="516"/>
      <c r="O61" s="517"/>
      <c r="P61" s="2673"/>
      <c r="Q61" s="502"/>
    </row>
    <row r="62" spans="1:29" s="116" customFormat="1" ht="15">
      <c r="A62" s="519" t="s">
        <v>2543</v>
      </c>
      <c r="B62" s="508"/>
      <c r="C62" s="520" t="s">
        <v>2645</v>
      </c>
      <c r="D62" s="521"/>
      <c r="E62" s="521"/>
      <c r="F62" s="521"/>
      <c r="G62" s="521"/>
      <c r="H62" s="521"/>
      <c r="I62" s="521"/>
      <c r="J62" s="521"/>
      <c r="K62" s="521"/>
      <c r="L62" s="522"/>
      <c r="M62" s="523"/>
      <c r="N62" s="1150"/>
      <c r="O62" s="1150"/>
      <c r="P62" s="2674"/>
      <c r="Q62" s="502"/>
    </row>
    <row r="63" spans="1:29" s="116" customFormat="1" ht="15.75" thickBot="1">
      <c r="A63" s="519"/>
      <c r="B63" s="508"/>
      <c r="C63" s="509">
        <v>100</v>
      </c>
      <c r="D63" s="510"/>
      <c r="E63" s="510"/>
      <c r="F63" s="510"/>
      <c r="G63" s="510"/>
      <c r="H63" s="510"/>
      <c r="I63" s="510"/>
      <c r="J63" s="510"/>
      <c r="K63" s="510"/>
      <c r="L63" s="510"/>
      <c r="M63" s="512"/>
      <c r="N63" s="1150"/>
      <c r="O63" s="1150"/>
      <c r="P63" s="2673"/>
      <c r="Q63" s="502"/>
    </row>
    <row r="64" spans="1:29">
      <c r="A64" s="525" t="s">
        <v>2581</v>
      </c>
      <c r="B64" s="526" t="s">
        <v>2547</v>
      </c>
      <c r="C64" s="527">
        <f>C9</f>
        <v>0</v>
      </c>
      <c r="D64" s="528"/>
      <c r="E64" s="528"/>
      <c r="F64" s="528"/>
      <c r="G64" s="528"/>
      <c r="H64" s="528"/>
      <c r="I64" s="528"/>
      <c r="J64" s="528"/>
      <c r="K64" s="529"/>
      <c r="L64" s="530"/>
      <c r="M64" s="531"/>
      <c r="N64" s="1151"/>
      <c r="O64" s="1151"/>
      <c r="P64" s="2675"/>
      <c r="Q64" s="502"/>
    </row>
    <row r="65" spans="1:17" ht="15.75" thickBot="1">
      <c r="A65" s="532"/>
      <c r="B65" s="533"/>
      <c r="C65" s="534">
        <v>100</v>
      </c>
      <c r="D65" s="534"/>
      <c r="E65" s="534"/>
      <c r="F65" s="534"/>
      <c r="G65" s="534"/>
      <c r="H65" s="534"/>
      <c r="I65" s="534"/>
      <c r="J65" s="534"/>
      <c r="K65" s="534"/>
      <c r="L65" s="534"/>
      <c r="M65" s="535"/>
      <c r="N65" s="1152"/>
      <c r="O65" s="1152"/>
      <c r="P65" s="2675"/>
      <c r="Q65" s="502"/>
    </row>
    <row r="66" spans="1:17" ht="27.75" thickTop="1">
      <c r="A66" s="532"/>
      <c r="B66" s="536" t="s">
        <v>2550</v>
      </c>
      <c r="C66" s="537" t="s">
        <v>2582</v>
      </c>
      <c r="D66" s="537" t="s">
        <v>2583</v>
      </c>
      <c r="E66" s="537" t="s">
        <v>2584</v>
      </c>
      <c r="F66" s="537" t="s">
        <v>2585</v>
      </c>
      <c r="G66" s="537" t="s">
        <v>2586</v>
      </c>
      <c r="H66" s="537" t="s">
        <v>2587</v>
      </c>
      <c r="I66" s="537" t="s">
        <v>2588</v>
      </c>
      <c r="J66" s="537"/>
      <c r="K66" s="538"/>
      <c r="L66" s="539"/>
      <c r="M66" s="540"/>
      <c r="N66" s="1151"/>
      <c r="O66" s="1151"/>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5"/>
      <c r="Q67" s="502"/>
    </row>
    <row r="68" spans="1:17" ht="15.7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5"/>
      <c r="Q68" s="502"/>
    </row>
    <row r="69" spans="1:17" ht="15">
      <c r="A69" s="532"/>
      <c r="B69" s="546"/>
      <c r="C69" s="547"/>
      <c r="D69" s="547"/>
      <c r="E69" s="547"/>
      <c r="F69" s="547"/>
      <c r="G69" s="547"/>
      <c r="H69" s="547"/>
      <c r="I69" s="547"/>
      <c r="J69" s="547"/>
      <c r="K69" s="548"/>
      <c r="L69" s="549"/>
      <c r="M69" s="550"/>
      <c r="N69" s="1151"/>
      <c r="O69" s="1151"/>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5"/>
      <c r="Q70" s="502"/>
    </row>
    <row r="71" spans="1:17" s="469" customFormat="1" ht="15.75" thickTop="1">
      <c r="A71" s="551"/>
      <c r="B71" s="536">
        <f>B12</f>
        <v>111</v>
      </c>
      <c r="C71" s="552"/>
      <c r="D71" s="552"/>
      <c r="E71" s="552"/>
      <c r="F71" s="552"/>
      <c r="G71" s="552"/>
      <c r="H71" s="553"/>
      <c r="I71" s="553"/>
      <c r="J71" s="553"/>
      <c r="K71" s="553"/>
      <c r="L71" s="554"/>
      <c r="M71" s="555"/>
      <c r="N71" s="1153"/>
      <c r="O71" s="1153"/>
      <c r="P71" s="2676"/>
      <c r="Q71" s="557"/>
    </row>
    <row r="72" spans="1:17" s="469" customFormat="1" ht="15.75" thickBot="1">
      <c r="A72" s="551"/>
      <c r="B72" s="541"/>
      <c r="C72" s="558"/>
      <c r="D72" s="534"/>
      <c r="E72" s="534"/>
      <c r="F72" s="534"/>
      <c r="G72" s="534"/>
      <c r="H72" s="534"/>
      <c r="I72" s="534"/>
      <c r="J72" s="534"/>
      <c r="K72" s="534"/>
      <c r="L72" s="534"/>
      <c r="M72" s="535"/>
      <c r="N72" s="1152"/>
      <c r="O72" s="1152"/>
      <c r="P72" s="2676"/>
      <c r="Q72" s="557"/>
    </row>
    <row r="73" spans="1:17" s="469" customFormat="1" ht="15.75" thickTop="1">
      <c r="A73" s="551"/>
      <c r="B73" s="536">
        <f>B13</f>
        <v>111</v>
      </c>
      <c r="C73" s="552"/>
      <c r="D73" s="552"/>
      <c r="E73" s="552"/>
      <c r="F73" s="552"/>
      <c r="G73" s="552"/>
      <c r="H73" s="553"/>
      <c r="I73" s="553"/>
      <c r="J73" s="553"/>
      <c r="K73" s="553"/>
      <c r="L73" s="554"/>
      <c r="M73" s="555"/>
      <c r="N73" s="1153"/>
      <c r="O73" s="1153"/>
      <c r="P73" s="2677"/>
      <c r="Q73" s="559"/>
    </row>
    <row r="74" spans="1:17" s="469" customFormat="1" ht="15.75" thickBot="1">
      <c r="A74" s="551"/>
      <c r="B74" s="541"/>
      <c r="C74" s="558"/>
      <c r="D74" s="558"/>
      <c r="E74" s="558"/>
      <c r="F74" s="558"/>
      <c r="G74" s="558"/>
      <c r="H74" s="560"/>
      <c r="I74" s="560"/>
      <c r="J74" s="560"/>
      <c r="K74" s="560"/>
      <c r="L74" s="560"/>
      <c r="M74" s="561"/>
      <c r="N74" s="1153"/>
      <c r="O74" s="1153"/>
      <c r="P74" s="2676"/>
      <c r="Q74" s="557"/>
    </row>
    <row r="75" spans="1:17" s="469" customFormat="1" ht="15.75" thickTop="1">
      <c r="A75" s="551"/>
      <c r="B75" s="544">
        <f>B14</f>
        <v>111</v>
      </c>
      <c r="C75" s="521"/>
      <c r="D75" s="521"/>
      <c r="E75" s="521"/>
      <c r="F75" s="521"/>
      <c r="G75" s="521"/>
      <c r="H75" s="562"/>
      <c r="I75" s="562"/>
      <c r="J75" s="562"/>
      <c r="K75" s="562"/>
      <c r="L75" s="563"/>
      <c r="M75" s="564"/>
      <c r="N75" s="1153"/>
      <c r="O75" s="1153"/>
      <c r="P75" s="2678"/>
      <c r="Q75" s="557"/>
    </row>
    <row r="76" spans="1:17" s="469" customFormat="1" ht="15.75" thickBot="1">
      <c r="A76" s="566"/>
      <c r="B76" s="567"/>
      <c r="C76" s="568"/>
      <c r="D76" s="568"/>
      <c r="E76" s="568"/>
      <c r="F76" s="568"/>
      <c r="G76" s="568"/>
      <c r="H76" s="569"/>
      <c r="I76" s="569"/>
      <c r="J76" s="569"/>
      <c r="K76" s="569"/>
      <c r="L76" s="569"/>
      <c r="M76" s="570"/>
      <c r="N76" s="1153"/>
      <c r="O76" s="1153"/>
      <c r="P76" s="2676"/>
      <c r="Q76" s="557"/>
    </row>
    <row r="77" spans="1:17">
      <c r="A77" s="525" t="s">
        <v>2552</v>
      </c>
      <c r="B77" s="526" t="s">
        <v>2690</v>
      </c>
      <c r="C77" s="571" t="s">
        <v>2590</v>
      </c>
      <c r="D77" s="571" t="s">
        <v>2591</v>
      </c>
      <c r="E77" s="571" t="s">
        <v>2592</v>
      </c>
      <c r="F77" s="571" t="s">
        <v>2593</v>
      </c>
      <c r="G77" s="571" t="s">
        <v>2594</v>
      </c>
      <c r="H77" s="527"/>
      <c r="I77" s="527"/>
      <c r="J77" s="527"/>
      <c r="K77" s="572"/>
      <c r="L77" s="573"/>
      <c r="M77" s="574"/>
      <c r="N77" s="1151"/>
      <c r="O77" s="1151"/>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5"/>
      <c r="Q78" s="502"/>
    </row>
    <row r="79" spans="1:17" ht="15.75" thickTop="1">
      <c r="A79" s="532"/>
      <c r="B79" s="536" t="s">
        <v>2595</v>
      </c>
      <c r="C79" s="576" t="s">
        <v>2590</v>
      </c>
      <c r="D79" s="576" t="s">
        <v>2591</v>
      </c>
      <c r="E79" s="576" t="s">
        <v>2592</v>
      </c>
      <c r="F79" s="576" t="s">
        <v>2593</v>
      </c>
      <c r="G79" s="576" t="s">
        <v>2594</v>
      </c>
      <c r="H79" s="537"/>
      <c r="I79" s="537"/>
      <c r="J79" s="537"/>
      <c r="K79" s="538"/>
      <c r="L79" s="539"/>
      <c r="M79" s="540"/>
      <c r="N79" s="1151"/>
      <c r="O79" s="1151"/>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5"/>
      <c r="Q80" s="502"/>
    </row>
    <row r="81" spans="1:17" ht="15.75" thickTop="1">
      <c r="A81" s="532"/>
      <c r="B81" s="536" t="s">
        <v>2596</v>
      </c>
      <c r="C81" s="576" t="s">
        <v>2590</v>
      </c>
      <c r="D81" s="576" t="s">
        <v>2591</v>
      </c>
      <c r="E81" s="576" t="s">
        <v>2592</v>
      </c>
      <c r="F81" s="576" t="s">
        <v>2593</v>
      </c>
      <c r="G81" s="576" t="s">
        <v>2594</v>
      </c>
      <c r="H81" s="537"/>
      <c r="I81" s="537"/>
      <c r="J81" s="537"/>
      <c r="K81" s="538"/>
      <c r="L81" s="539"/>
      <c r="M81" s="540"/>
      <c r="N81" s="1151"/>
      <c r="O81" s="1151"/>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5"/>
      <c r="Q82" s="502"/>
    </row>
    <row r="83" spans="1:17" ht="15.75" thickTop="1">
      <c r="A83" s="532"/>
      <c r="B83" s="544" t="s">
        <v>2682</v>
      </c>
      <c r="C83" s="658" t="s">
        <v>2668</v>
      </c>
      <c r="D83" s="658" t="s">
        <v>2669</v>
      </c>
      <c r="E83" s="658" t="s">
        <v>2670</v>
      </c>
      <c r="F83" s="658" t="s">
        <v>2671</v>
      </c>
      <c r="G83" s="658" t="s">
        <v>2672</v>
      </c>
      <c r="H83" s="537"/>
      <c r="I83" s="537"/>
      <c r="J83" s="537"/>
      <c r="K83" s="537"/>
      <c r="L83" s="537"/>
      <c r="M83" s="1381"/>
      <c r="N83" s="1152"/>
      <c r="O83" s="1152"/>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5"/>
      <c r="Q84" s="502"/>
    </row>
    <row r="85" spans="1:17" ht="15.75" thickTop="1">
      <c r="A85" s="532"/>
      <c r="B85" s="536" t="s">
        <v>2691</v>
      </c>
      <c r="C85" s="576" t="s">
        <v>2590</v>
      </c>
      <c r="D85" s="576" t="s">
        <v>2591</v>
      </c>
      <c r="E85" s="576" t="s">
        <v>2592</v>
      </c>
      <c r="F85" s="576" t="s">
        <v>2593</v>
      </c>
      <c r="G85" s="576" t="s">
        <v>2594</v>
      </c>
      <c r="H85" s="537"/>
      <c r="I85" s="537"/>
      <c r="J85" s="537"/>
      <c r="K85" s="538"/>
      <c r="L85" s="539"/>
      <c r="M85" s="540"/>
      <c r="N85" s="1151"/>
      <c r="O85" s="1151"/>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5"/>
      <c r="Q86" s="502"/>
    </row>
    <row r="87" spans="1:17" s="116" customFormat="1" ht="27.75" thickTop="1">
      <c r="A87" s="577"/>
      <c r="B87" s="536" t="s">
        <v>2692</v>
      </c>
      <c r="C87" s="552"/>
      <c r="D87" s="552"/>
      <c r="E87" s="552"/>
      <c r="F87" s="552"/>
      <c r="G87" s="552"/>
      <c r="H87" s="552"/>
      <c r="I87" s="552"/>
      <c r="J87" s="552"/>
      <c r="K87" s="552"/>
      <c r="L87" s="578"/>
      <c r="M87" s="579"/>
      <c r="N87" s="1150"/>
      <c r="O87" s="1150"/>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5"/>
      <c r="Q88" s="502"/>
    </row>
    <row r="89" spans="1:17" s="116" customFormat="1" ht="15.75" thickTop="1">
      <c r="A89" s="577"/>
      <c r="B89" s="536" t="str">
        <f>B27</f>
        <v>楼层</v>
      </c>
      <c r="C89" s="552"/>
      <c r="D89" s="552"/>
      <c r="E89" s="552"/>
      <c r="F89" s="2626"/>
      <c r="G89" s="552"/>
      <c r="H89" s="552"/>
      <c r="I89" s="552"/>
      <c r="J89" s="552"/>
      <c r="K89" s="552"/>
      <c r="L89" s="552"/>
      <c r="M89" s="579"/>
      <c r="N89" s="1150"/>
      <c r="O89" s="1150"/>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5"/>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76"/>
      <c r="Q92" s="557"/>
    </row>
    <row r="93" spans="1:17" ht="15.75" thickTop="1">
      <c r="A93" s="532"/>
      <c r="B93" s="536">
        <f>B29</f>
        <v>111</v>
      </c>
      <c r="C93" s="552"/>
      <c r="D93" s="552"/>
      <c r="E93" s="552"/>
      <c r="F93" s="552"/>
      <c r="G93" s="552"/>
      <c r="H93" s="552"/>
      <c r="I93" s="552"/>
      <c r="J93" s="552"/>
      <c r="K93" s="552"/>
      <c r="L93" s="578"/>
      <c r="M93" s="579"/>
      <c r="N93" s="1151"/>
      <c r="O93" s="1151"/>
      <c r="P93" s="2675"/>
      <c r="Q93" s="502"/>
    </row>
    <row r="94" spans="1:17" ht="15.75" thickBot="1">
      <c r="A94" s="532"/>
      <c r="B94" s="541"/>
      <c r="C94" s="558"/>
      <c r="D94" s="534"/>
      <c r="E94" s="534"/>
      <c r="F94" s="534"/>
      <c r="G94" s="534"/>
      <c r="H94" s="534"/>
      <c r="I94" s="534"/>
      <c r="J94" s="534"/>
      <c r="K94" s="534"/>
      <c r="L94" s="534"/>
      <c r="M94" s="535"/>
      <c r="N94" s="1152"/>
      <c r="O94" s="1152"/>
      <c r="P94" s="2675"/>
      <c r="Q94" s="502"/>
    </row>
    <row r="95" spans="1:17" ht="15.75" thickTop="1">
      <c r="A95" s="532"/>
      <c r="B95" s="536">
        <f>B30</f>
        <v>111</v>
      </c>
      <c r="C95" s="552"/>
      <c r="D95" s="552"/>
      <c r="E95" s="552"/>
      <c r="F95" s="552"/>
      <c r="G95" s="581"/>
      <c r="H95" s="581"/>
      <c r="I95" s="581"/>
      <c r="J95" s="581"/>
      <c r="K95" s="582"/>
      <c r="L95" s="583"/>
      <c r="M95" s="584"/>
      <c r="N95" s="1151"/>
      <c r="O95" s="1151"/>
      <c r="P95" s="2675"/>
      <c r="Q95" s="502"/>
    </row>
    <row r="96" spans="1:17" ht="15.75" thickBot="1">
      <c r="A96" s="532"/>
      <c r="B96" s="541"/>
      <c r="C96" s="558"/>
      <c r="D96" s="558"/>
      <c r="E96" s="558"/>
      <c r="F96" s="558"/>
      <c r="G96" s="534"/>
      <c r="H96" s="534"/>
      <c r="I96" s="534"/>
      <c r="J96" s="534"/>
      <c r="K96" s="534"/>
      <c r="L96" s="534"/>
      <c r="M96" s="535"/>
      <c r="N96" s="1152"/>
      <c r="O96" s="1152"/>
      <c r="P96" s="2675"/>
      <c r="Q96" s="502"/>
    </row>
    <row r="97" spans="1:17" ht="15.75" thickTop="1">
      <c r="A97" s="532"/>
      <c r="B97" s="536">
        <f>B31</f>
        <v>111</v>
      </c>
      <c r="C97" s="552"/>
      <c r="D97" s="552"/>
      <c r="E97" s="552"/>
      <c r="F97" s="552"/>
      <c r="G97" s="581"/>
      <c r="H97" s="581"/>
      <c r="I97" s="581"/>
      <c r="J97" s="581"/>
      <c r="K97" s="582"/>
      <c r="L97" s="583"/>
      <c r="M97" s="584"/>
      <c r="N97" s="1151"/>
      <c r="O97" s="1151"/>
      <c r="P97" s="2675"/>
      <c r="Q97" s="502"/>
    </row>
    <row r="98" spans="1:17" ht="15.75" thickBot="1">
      <c r="A98" s="532"/>
      <c r="B98" s="541"/>
      <c r="C98" s="558"/>
      <c r="D98" s="534"/>
      <c r="E98" s="534"/>
      <c r="F98" s="534"/>
      <c r="G98" s="534"/>
      <c r="H98" s="534"/>
      <c r="I98" s="534"/>
      <c r="J98" s="534"/>
      <c r="K98" s="534"/>
      <c r="L98" s="534"/>
      <c r="M98" s="535"/>
      <c r="N98" s="1152"/>
      <c r="O98" s="1152"/>
      <c r="P98" s="2675"/>
      <c r="Q98" s="502"/>
    </row>
    <row r="99" spans="1:17" ht="15.75" thickTop="1">
      <c r="A99" s="532"/>
      <c r="B99" s="544">
        <f>B32</f>
        <v>111</v>
      </c>
      <c r="C99" s="521"/>
      <c r="D99" s="521"/>
      <c r="E99" s="521"/>
      <c r="F99" s="521"/>
      <c r="G99" s="585"/>
      <c r="H99" s="585"/>
      <c r="I99" s="585"/>
      <c r="J99" s="585"/>
      <c r="K99" s="586"/>
      <c r="L99" s="587"/>
      <c r="M99" s="588"/>
      <c r="N99" s="1151"/>
      <c r="O99" s="1151"/>
      <c r="P99" s="2675"/>
      <c r="Q99" s="502"/>
    </row>
    <row r="100" spans="1:17" ht="15.75" thickBot="1">
      <c r="A100" s="2627"/>
      <c r="B100" s="567"/>
      <c r="C100" s="568"/>
      <c r="D100" s="568"/>
      <c r="E100" s="568"/>
      <c r="F100" s="568"/>
      <c r="G100" s="589"/>
      <c r="H100" s="589"/>
      <c r="I100" s="589"/>
      <c r="J100" s="589"/>
      <c r="K100" s="589"/>
      <c r="L100" s="589"/>
      <c r="M100" s="590"/>
      <c r="N100" s="1152"/>
      <c r="O100" s="1152"/>
      <c r="P100" s="2675"/>
      <c r="Q100" s="502"/>
    </row>
    <row r="101" spans="1:17">
      <c r="A101" s="525" t="s">
        <v>2556</v>
      </c>
      <c r="B101" s="526" t="s">
        <v>2605</v>
      </c>
      <c r="C101" s="528"/>
      <c r="D101" s="528"/>
      <c r="E101" s="528"/>
      <c r="F101" s="528"/>
      <c r="G101" s="528"/>
      <c r="H101" s="528"/>
      <c r="I101" s="528"/>
      <c r="J101" s="528"/>
      <c r="K101" s="529"/>
      <c r="L101" s="530"/>
      <c r="M101" s="531"/>
      <c r="N101" s="1151"/>
      <c r="O101" s="1151"/>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5"/>
      <c r="Q102" s="502"/>
    </row>
    <row r="103" spans="1:17" ht="15.7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5"/>
      <c r="Q103" s="502"/>
    </row>
    <row r="104" spans="1:17" s="469" customFormat="1">
      <c r="A104" s="591"/>
      <c r="B104" s="592"/>
      <c r="C104" s="593"/>
      <c r="D104" s="593"/>
      <c r="E104" s="593"/>
      <c r="F104" s="593"/>
      <c r="G104" s="593"/>
      <c r="H104" s="593"/>
      <c r="I104" s="593"/>
      <c r="J104" s="594"/>
      <c r="K104" s="594"/>
      <c r="L104" s="595"/>
      <c r="M104" s="596"/>
      <c r="N104" s="1153"/>
      <c r="O104" s="1153"/>
      <c r="P104" s="2676"/>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76"/>
      <c r="Q105" s="557"/>
    </row>
    <row r="106" spans="1:17" ht="15" thickTop="1">
      <c r="A106" s="597"/>
      <c r="B106" s="536" t="s">
        <v>2607</v>
      </c>
      <c r="C106" s="552"/>
      <c r="D106" s="552"/>
      <c r="E106" s="581"/>
      <c r="F106" s="581"/>
      <c r="G106" s="581"/>
      <c r="H106" s="581"/>
      <c r="I106" s="581"/>
      <c r="J106" s="581"/>
      <c r="K106" s="582"/>
      <c r="L106" s="583"/>
      <c r="M106" s="584"/>
      <c r="N106" s="1151"/>
      <c r="O106" s="1151"/>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5"/>
      <c r="Q107" s="502"/>
    </row>
    <row r="108" spans="1:17" ht="15" thickTop="1">
      <c r="A108" s="597"/>
      <c r="B108" s="536" t="s">
        <v>2609</v>
      </c>
      <c r="C108" s="552"/>
      <c r="D108" s="552"/>
      <c r="E108" s="552"/>
      <c r="F108" s="581"/>
      <c r="G108" s="581"/>
      <c r="H108" s="581"/>
      <c r="I108" s="581"/>
      <c r="J108" s="581"/>
      <c r="K108" s="582"/>
      <c r="L108" s="583"/>
      <c r="M108" s="584"/>
      <c r="N108" s="1151"/>
      <c r="O108" s="1151"/>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5"/>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5"/>
      <c r="Q112" s="502"/>
    </row>
    <row r="113" spans="1:17" s="469" customFormat="1" ht="15" thickTop="1">
      <c r="A113" s="591"/>
      <c r="B113" s="536" t="s">
        <v>2693</v>
      </c>
      <c r="C113" s="552"/>
      <c r="D113" s="552"/>
      <c r="E113" s="552"/>
      <c r="F113" s="552"/>
      <c r="G113" s="552"/>
      <c r="H113" s="581"/>
      <c r="I113" s="581"/>
      <c r="J113" s="581"/>
      <c r="K113" s="582"/>
      <c r="L113" s="583"/>
      <c r="M113" s="584"/>
      <c r="N113" s="1153"/>
      <c r="O113" s="1153"/>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76"/>
      <c r="Q114" s="557"/>
    </row>
    <row r="115" spans="1:17" ht="15" thickTop="1">
      <c r="A115" s="597"/>
      <c r="B115" s="536" t="s">
        <v>2610</v>
      </c>
      <c r="C115" s="552"/>
      <c r="D115" s="552"/>
      <c r="E115" s="581"/>
      <c r="F115" s="581"/>
      <c r="G115" s="581"/>
      <c r="H115" s="581"/>
      <c r="I115" s="581"/>
      <c r="J115" s="581"/>
      <c r="K115" s="582"/>
      <c r="L115" s="583"/>
      <c r="M115" s="584"/>
      <c r="N115" s="1151"/>
      <c r="O115" s="1151"/>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5"/>
      <c r="Q116" s="502"/>
    </row>
    <row r="117" spans="1:17" ht="15" thickTop="1">
      <c r="A117" s="597"/>
      <c r="B117" s="536" t="s">
        <v>2611</v>
      </c>
      <c r="C117" s="552"/>
      <c r="D117" s="552"/>
      <c r="E117" s="552"/>
      <c r="F117" s="552"/>
      <c r="G117" s="552"/>
      <c r="H117" s="581"/>
      <c r="I117" s="581"/>
      <c r="J117" s="581"/>
      <c r="K117" s="582"/>
      <c r="L117" s="583"/>
      <c r="M117" s="584"/>
      <c r="N117" s="1151"/>
      <c r="O117" s="1151"/>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5"/>
      <c r="Q118" s="502"/>
    </row>
    <row r="119" spans="1:17" ht="15" thickTop="1">
      <c r="A119" s="597"/>
      <c r="B119" s="634" t="s">
        <v>2694</v>
      </c>
      <c r="C119" s="581"/>
      <c r="D119" s="581"/>
      <c r="E119" s="581"/>
      <c r="F119" s="581"/>
      <c r="G119" s="581"/>
      <c r="H119" s="581"/>
      <c r="I119" s="581"/>
      <c r="J119" s="581"/>
      <c r="K119" s="581"/>
      <c r="L119" s="2680"/>
      <c r="M119" s="2681"/>
      <c r="N119" s="1152"/>
      <c r="O119" s="1152"/>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5"/>
      <c r="Q120" s="502"/>
    </row>
    <row r="121" spans="1:17" s="469" customFormat="1" ht="15" thickTop="1">
      <c r="A121" s="591"/>
      <c r="B121" s="536" t="s">
        <v>2677</v>
      </c>
      <c r="C121" s="552"/>
      <c r="D121" s="552"/>
      <c r="E121" s="552"/>
      <c r="F121" s="581"/>
      <c r="G121" s="553"/>
      <c r="H121" s="553"/>
      <c r="I121" s="553"/>
      <c r="J121" s="553"/>
      <c r="K121" s="553"/>
      <c r="L121" s="554"/>
      <c r="M121" s="555"/>
      <c r="N121" s="1153"/>
      <c r="O121" s="1153"/>
      <c r="P121" s="2676"/>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76"/>
      <c r="Q122" s="557"/>
    </row>
    <row r="123" spans="1:17" ht="15" thickTop="1">
      <c r="A123" s="597"/>
      <c r="B123" s="536" t="s">
        <v>2613</v>
      </c>
      <c r="C123" s="552"/>
      <c r="D123" s="552"/>
      <c r="E123" s="552"/>
      <c r="F123" s="581"/>
      <c r="G123" s="581"/>
      <c r="H123" s="581"/>
      <c r="I123" s="581"/>
      <c r="J123" s="581"/>
      <c r="K123" s="582"/>
      <c r="L123" s="583"/>
      <c r="M123" s="584"/>
      <c r="N123" s="1151"/>
      <c r="O123" s="1151"/>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5"/>
      <c r="Q124" s="502"/>
    </row>
    <row r="125" spans="1:17" ht="15" thickTop="1">
      <c r="A125" s="597"/>
      <c r="B125" s="536" t="s">
        <v>2614</v>
      </c>
      <c r="C125" s="576" t="s">
        <v>2590</v>
      </c>
      <c r="D125" s="576" t="s">
        <v>2591</v>
      </c>
      <c r="E125" s="576" t="s">
        <v>2592</v>
      </c>
      <c r="F125" s="576" t="s">
        <v>2593</v>
      </c>
      <c r="G125" s="576" t="s">
        <v>2594</v>
      </c>
      <c r="H125" s="537"/>
      <c r="I125" s="537"/>
      <c r="J125" s="537"/>
      <c r="K125" s="538"/>
      <c r="L125" s="539"/>
      <c r="M125" s="540"/>
      <c r="N125" s="1151"/>
      <c r="O125" s="1151"/>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5"/>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76"/>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76"/>
      <c r="Q128" s="557"/>
    </row>
    <row r="129" spans="1:17" ht="15" thickTop="1">
      <c r="A129" s="597"/>
      <c r="B129" s="536">
        <f>B46</f>
        <v>111</v>
      </c>
      <c r="C129" s="552"/>
      <c r="D129" s="552"/>
      <c r="E129" s="552"/>
      <c r="F129" s="552"/>
      <c r="G129" s="581"/>
      <c r="H129" s="581"/>
      <c r="I129" s="581"/>
      <c r="J129" s="581"/>
      <c r="K129" s="582"/>
      <c r="L129" s="583"/>
      <c r="M129" s="584"/>
      <c r="N129" s="1151"/>
      <c r="O129" s="1151"/>
      <c r="P129" s="2675"/>
      <c r="Q129" s="502"/>
    </row>
    <row r="130" spans="1:17" ht="15.75" thickBot="1">
      <c r="A130" s="532"/>
      <c r="B130" s="541"/>
      <c r="C130" s="558"/>
      <c r="D130" s="558"/>
      <c r="E130" s="558"/>
      <c r="F130" s="558"/>
      <c r="G130" s="534"/>
      <c r="H130" s="534"/>
      <c r="I130" s="534"/>
      <c r="J130" s="534"/>
      <c r="K130" s="534"/>
      <c r="L130" s="534"/>
      <c r="M130" s="535"/>
      <c r="N130" s="1152"/>
      <c r="O130" s="1152"/>
      <c r="P130" s="2675"/>
      <c r="Q130" s="502"/>
    </row>
    <row r="131" spans="1:17" ht="15" thickTop="1">
      <c r="A131" s="597"/>
      <c r="B131" s="544">
        <f>B47</f>
        <v>111</v>
      </c>
      <c r="C131" s="521"/>
      <c r="D131" s="521"/>
      <c r="E131" s="521"/>
      <c r="F131" s="521"/>
      <c r="G131" s="585"/>
      <c r="H131" s="585"/>
      <c r="I131" s="585"/>
      <c r="J131" s="585"/>
      <c r="K131" s="521"/>
      <c r="L131" s="522"/>
      <c r="M131" s="588"/>
      <c r="N131" s="1151"/>
      <c r="O131" s="1151"/>
      <c r="P131" s="2675"/>
      <c r="Q131" s="502"/>
    </row>
    <row r="132" spans="1:17" ht="15.75" thickBot="1">
      <c r="A132" s="2627"/>
      <c r="B132" s="567"/>
      <c r="C132" s="568"/>
      <c r="D132" s="568"/>
      <c r="E132" s="568"/>
      <c r="F132" s="568"/>
      <c r="G132" s="589"/>
      <c r="H132" s="589"/>
      <c r="I132" s="589"/>
      <c r="J132" s="589"/>
      <c r="K132" s="589"/>
      <c r="L132" s="589"/>
      <c r="M132" s="590"/>
      <c r="N132" s="1152"/>
      <c r="O132" s="1152"/>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2521</v>
      </c>
      <c r="B1" s="2660" t="s">
        <v>2695</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IF(C2="——",ROUND(C43*D3/10000,0),ROUND(C43*D3/10000,0)-D2)</f>
        <v>#DIV/0!</v>
      </c>
      <c r="C2" s="2580"/>
      <c r="D2" s="1123"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269955.14</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16" t="s">
        <v>2641</v>
      </c>
      <c r="AC4" s="3215" t="s">
        <v>2642</v>
      </c>
    </row>
    <row r="5" spans="1:29" ht="15">
      <c r="A5" s="402"/>
      <c r="B5" s="403"/>
      <c r="C5" s="3226" t="s">
        <v>2535</v>
      </c>
      <c r="D5" s="3227"/>
      <c r="E5" s="3224" t="s">
        <v>2536</v>
      </c>
      <c r="F5" s="3225"/>
      <c r="G5" s="3226" t="s">
        <v>2537</v>
      </c>
      <c r="H5" s="3227"/>
      <c r="I5" s="3226" t="s">
        <v>2538</v>
      </c>
      <c r="J5" s="3227"/>
      <c r="K5" s="608"/>
      <c r="L5" s="1129"/>
      <c r="M5" s="1130"/>
      <c r="N5" s="1130"/>
      <c r="O5" s="1130"/>
      <c r="P5" s="3239"/>
      <c r="Q5" s="3240"/>
      <c r="R5" s="3222"/>
      <c r="S5" s="3223"/>
      <c r="T5" s="3222"/>
      <c r="U5" s="3223"/>
      <c r="V5" s="3245"/>
      <c r="W5" s="3245"/>
      <c r="X5" s="1811"/>
      <c r="Y5" s="3222"/>
      <c r="Z5" s="3223"/>
      <c r="AA5" s="3216"/>
      <c r="AB5" s="3216"/>
      <c r="AC5" s="3216"/>
    </row>
    <row r="6" spans="1:29" ht="15.75" thickBot="1">
      <c r="A6" s="404"/>
      <c r="B6" s="405"/>
      <c r="C6" s="3228" t="s">
        <v>2539</v>
      </c>
      <c r="D6" s="3229"/>
      <c r="E6" s="3230" t="s">
        <v>2539</v>
      </c>
      <c r="F6" s="3231"/>
      <c r="G6" s="3228" t="s">
        <v>2539</v>
      </c>
      <c r="H6" s="3229"/>
      <c r="I6" s="3228" t="s">
        <v>2539</v>
      </c>
      <c r="J6" s="3229"/>
      <c r="K6" s="608" t="s">
        <v>2540</v>
      </c>
      <c r="L6" s="1129"/>
      <c r="M6" s="1130"/>
      <c r="N6" s="1130"/>
      <c r="O6" s="1130"/>
      <c r="P6" s="3241"/>
      <c r="Q6" s="3242"/>
      <c r="R6" s="3222"/>
      <c r="S6" s="3223"/>
      <c r="T6" s="3243"/>
      <c r="U6" s="3244"/>
      <c r="V6" s="3245"/>
      <c r="W6" s="3245"/>
      <c r="X6" s="1811"/>
      <c r="Y6" s="3243"/>
      <c r="Z6" s="3244"/>
      <c r="AA6" s="3217"/>
      <c r="AB6" s="3217"/>
      <c r="AC6" s="3217"/>
    </row>
    <row r="7" spans="1:29" s="116" customFormat="1" ht="15.75" thickBot="1">
      <c r="A7" s="406" t="s">
        <v>2541</v>
      </c>
      <c r="B7" s="407"/>
      <c r="C7" s="408">
        <f>'数据-取费表'!B2</f>
        <v>43493</v>
      </c>
      <c r="D7" s="409">
        <v>100</v>
      </c>
      <c r="E7" s="410"/>
      <c r="F7" s="411">
        <f>SUMIF(52:52,YEAR(E7)&amp;"-"&amp;MONTH(E7),53:53)</f>
        <v>0</v>
      </c>
      <c r="G7" s="410"/>
      <c r="H7" s="409">
        <f>SUMIF(52:52,YEAR(G7)&amp;"-"&amp;MONTH(G7),53:53)</f>
        <v>0</v>
      </c>
      <c r="I7" s="410"/>
      <c r="J7" s="409">
        <f>SUMIF(52:52,YEAR(I7)&amp;"-"&amp;MONTH(I7),53:53)</f>
        <v>0</v>
      </c>
      <c r="K7" s="609"/>
      <c r="L7" s="1131"/>
      <c r="M7" s="1132"/>
      <c r="N7" s="1132"/>
      <c r="O7" s="1132"/>
      <c r="P7" s="3218" t="s">
        <v>2542</v>
      </c>
      <c r="Q7" s="3246"/>
      <c r="R7" s="768" t="s">
        <v>17</v>
      </c>
      <c r="S7" s="769">
        <f t="shared" ref="S7:S15" si="0">F7</f>
        <v>0</v>
      </c>
      <c r="T7" s="768" t="s">
        <v>17</v>
      </c>
      <c r="U7" s="769">
        <f t="shared" ref="U7:U15" si="1">H7</f>
        <v>0</v>
      </c>
      <c r="V7" s="768" t="s">
        <v>17</v>
      </c>
      <c r="W7" s="769">
        <f t="shared" ref="W7:W15" si="2">J7</f>
        <v>0</v>
      </c>
      <c r="X7" s="770"/>
      <c r="Y7" s="3218" t="s">
        <v>2542</v>
      </c>
      <c r="Z7" s="3219"/>
      <c r="AA7" s="771" t="e">
        <f>D7/F7</f>
        <v>#DIV/0!</v>
      </c>
      <c r="AB7" s="771" t="e">
        <f>D7/H7</f>
        <v>#DIV/0!</v>
      </c>
      <c r="AC7" s="771" t="e">
        <f>D7/J7</f>
        <v>#DIV/0!</v>
      </c>
    </row>
    <row r="8" spans="1:29" s="116" customFormat="1" ht="15.7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218" t="s">
        <v>2545</v>
      </c>
      <c r="Q8" s="3219"/>
      <c r="R8" s="768" t="s">
        <v>17</v>
      </c>
      <c r="S8" s="769">
        <f t="shared" si="0"/>
        <v>0</v>
      </c>
      <c r="T8" s="768" t="s">
        <v>17</v>
      </c>
      <c r="U8" s="769">
        <f t="shared" si="1"/>
        <v>0</v>
      </c>
      <c r="V8" s="768" t="s">
        <v>17</v>
      </c>
      <c r="W8" s="769">
        <f t="shared" si="2"/>
        <v>0</v>
      </c>
      <c r="X8" s="770"/>
      <c r="Y8" s="3218" t="s">
        <v>2545</v>
      </c>
      <c r="Z8" s="3219"/>
      <c r="AA8" s="771" t="e">
        <f t="shared" ref="AA8:AA40" si="3">D8/F8</f>
        <v>#DIV/0!</v>
      </c>
      <c r="AB8" s="771" t="e">
        <f t="shared" ref="AB8:AB40" si="4">D8/H8</f>
        <v>#DIV/0!</v>
      </c>
      <c r="AC8" s="771" t="e">
        <f t="shared" ref="AC8:AC40" si="5">D8/J8</f>
        <v>#DIV/0!</v>
      </c>
    </row>
    <row r="9" spans="1:29" s="116" customFormat="1">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232" t="s">
        <v>2548</v>
      </c>
      <c r="Q9" s="1793" t="str">
        <f t="shared" ref="Q9:Q15" si="6">B9</f>
        <v>用途</v>
      </c>
      <c r="R9" s="768" t="s">
        <v>17</v>
      </c>
      <c r="S9" s="769">
        <f t="shared" si="0"/>
        <v>100</v>
      </c>
      <c r="T9" s="768" t="s">
        <v>17</v>
      </c>
      <c r="U9" s="769">
        <f t="shared" si="1"/>
        <v>100</v>
      </c>
      <c r="V9" s="768" t="s">
        <v>17</v>
      </c>
      <c r="W9" s="769">
        <f t="shared" si="2"/>
        <v>100</v>
      </c>
      <c r="X9" s="770"/>
      <c r="Y9" s="3071"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232"/>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232"/>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31"/>
      <c r="M12" s="1132"/>
      <c r="N12" s="1132"/>
      <c r="O12" s="1133"/>
      <c r="P12" s="3232"/>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9"/>
      <c r="M13" s="1130"/>
      <c r="N13" s="1130"/>
      <c r="O13" s="1138"/>
      <c r="P13" s="3232"/>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9"/>
      <c r="M14" s="1130"/>
      <c r="N14" s="1130"/>
      <c r="O14" s="1138"/>
      <c r="P14" s="3232"/>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38" t="s">
        <v>2552</v>
      </c>
      <c r="B15" s="69" t="s">
        <v>2696</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247" t="s">
        <v>2553</v>
      </c>
      <c r="Q15" s="1808" t="str">
        <f t="shared" si="6"/>
        <v>产业集聚程度</v>
      </c>
      <c r="R15" s="772" t="s">
        <v>17</v>
      </c>
      <c r="S15" s="773">
        <f t="shared" si="0"/>
        <v>100</v>
      </c>
      <c r="T15" s="772" t="s">
        <v>17</v>
      </c>
      <c r="U15" s="773">
        <f t="shared" si="1"/>
        <v>100</v>
      </c>
      <c r="V15" s="772" t="s">
        <v>17</v>
      </c>
      <c r="W15" s="773">
        <f t="shared" si="2"/>
        <v>100</v>
      </c>
      <c r="X15" s="1811"/>
      <c r="Y15" s="3247" t="s">
        <v>2553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8"/>
      <c r="P16" s="3248"/>
      <c r="Q16" s="1808"/>
      <c r="R16" s="772"/>
      <c r="S16" s="773"/>
      <c r="T16" s="772"/>
      <c r="U16" s="773"/>
      <c r="V16" s="772"/>
      <c r="W16" s="773"/>
      <c r="X16" s="1811"/>
      <c r="Y16" s="3248"/>
      <c r="Z16" s="1812"/>
      <c r="AA16" s="1809">
        <v>1</v>
      </c>
      <c r="AB16" s="1809">
        <v>1</v>
      </c>
      <c r="AC16" s="1809">
        <v>1</v>
      </c>
    </row>
    <row r="17" spans="1:29" ht="85.5">
      <c r="A17" s="426"/>
      <c r="B17" s="449" t="s">
        <v>2092</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248"/>
      <c r="Q17" s="1808" t="str">
        <f>B17</f>
        <v>交通便捷度</v>
      </c>
      <c r="R17" s="772" t="s">
        <v>17</v>
      </c>
      <c r="S17" s="773">
        <f>F17</f>
        <v>100</v>
      </c>
      <c r="T17" s="772" t="s">
        <v>17</v>
      </c>
      <c r="U17" s="773">
        <f>H17</f>
        <v>100</v>
      </c>
      <c r="V17" s="772" t="s">
        <v>17</v>
      </c>
      <c r="W17" s="773">
        <f>J17</f>
        <v>100</v>
      </c>
      <c r="X17" s="1811"/>
      <c r="Y17" s="3248"/>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8"/>
      <c r="P18" s="3248"/>
      <c r="Q18" s="1808"/>
      <c r="R18" s="772"/>
      <c r="S18" s="773"/>
      <c r="T18" s="772"/>
      <c r="U18" s="773"/>
      <c r="V18" s="772"/>
      <c r="W18" s="773"/>
      <c r="X18" s="1811"/>
      <c r="Y18" s="3248"/>
      <c r="Z18" s="1812"/>
      <c r="AA18" s="1809">
        <v>1</v>
      </c>
      <c r="AB18" s="1809">
        <v>1</v>
      </c>
      <c r="AC18" s="1809">
        <v>1</v>
      </c>
    </row>
    <row r="19" spans="1:29" ht="42.75">
      <c r="A19" s="426"/>
      <c r="B19" s="449" t="s">
        <v>2681</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248"/>
      <c r="Q19" s="1808" t="str">
        <f>B19</f>
        <v>公共配套设施</v>
      </c>
      <c r="R19" s="772" t="s">
        <v>17</v>
      </c>
      <c r="S19" s="773">
        <f>F19</f>
        <v>100</v>
      </c>
      <c r="T19" s="772" t="s">
        <v>17</v>
      </c>
      <c r="U19" s="773">
        <f>H19</f>
        <v>100</v>
      </c>
      <c r="V19" s="772" t="s">
        <v>17</v>
      </c>
      <c r="W19" s="773">
        <f>J19</f>
        <v>100</v>
      </c>
      <c r="X19" s="1811"/>
      <c r="Y19" s="3248"/>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8"/>
      <c r="P20" s="3248"/>
      <c r="Q20" s="1808"/>
      <c r="R20" s="772"/>
      <c r="S20" s="773"/>
      <c r="T20" s="772"/>
      <c r="U20" s="773"/>
      <c r="V20" s="772"/>
      <c r="W20" s="773"/>
      <c r="X20" s="1811"/>
      <c r="Y20" s="3248"/>
      <c r="Z20" s="1812"/>
      <c r="AA20" s="1809">
        <v>1</v>
      </c>
      <c r="AB20" s="1809">
        <v>1</v>
      </c>
      <c r="AC20" s="1809">
        <v>1</v>
      </c>
    </row>
    <row r="21" spans="1:29" ht="28.5">
      <c r="A21" s="426"/>
      <c r="B21" s="1383" t="s">
        <v>2682</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248"/>
      <c r="Q21" s="1808" t="str">
        <f>B21</f>
        <v>基础设施水平</v>
      </c>
      <c r="R21" s="772" t="s">
        <v>17</v>
      </c>
      <c r="S21" s="773">
        <f>F21</f>
        <v>100</v>
      </c>
      <c r="T21" s="772" t="s">
        <v>17</v>
      </c>
      <c r="U21" s="773">
        <f>H21</f>
        <v>100</v>
      </c>
      <c r="V21" s="772" t="s">
        <v>17</v>
      </c>
      <c r="W21" s="773">
        <f>J21</f>
        <v>100</v>
      </c>
      <c r="X21" s="1811"/>
      <c r="Y21" s="3248"/>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8"/>
      <c r="P22" s="3248"/>
      <c r="Q22" s="1808"/>
      <c r="R22" s="772"/>
      <c r="S22" s="773"/>
      <c r="T22" s="772"/>
      <c r="U22" s="773"/>
      <c r="V22" s="772"/>
      <c r="W22" s="773"/>
      <c r="X22" s="1811"/>
      <c r="Y22" s="3248"/>
      <c r="Z22" s="1812"/>
      <c r="AA22" s="1809">
        <v>1</v>
      </c>
      <c r="AB22" s="1809">
        <v>1</v>
      </c>
      <c r="AC22" s="1809">
        <v>1</v>
      </c>
    </row>
    <row r="23" spans="1:29" ht="71.25">
      <c r="A23" s="426"/>
      <c r="B23" s="449" t="s">
        <v>2683</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248"/>
      <c r="Q23" s="1808" t="str">
        <f>B23</f>
        <v>环境质量</v>
      </c>
      <c r="R23" s="772" t="s">
        <v>17</v>
      </c>
      <c r="S23" s="773">
        <f>F23</f>
        <v>100</v>
      </c>
      <c r="T23" s="772" t="s">
        <v>17</v>
      </c>
      <c r="U23" s="773">
        <f>H23</f>
        <v>100</v>
      </c>
      <c r="V23" s="772" t="s">
        <v>17</v>
      </c>
      <c r="W23" s="773">
        <f>J23</f>
        <v>100</v>
      </c>
      <c r="X23" s="1811"/>
      <c r="Y23" s="3248"/>
      <c r="Z23" s="1812" t="str">
        <f>Q23</f>
        <v>环境质量</v>
      </c>
      <c r="AA23" s="1809">
        <f t="shared" si="3"/>
        <v>1</v>
      </c>
      <c r="AB23" s="1809">
        <f t="shared" si="4"/>
        <v>1</v>
      </c>
      <c r="AC23" s="1809">
        <f t="shared" si="5"/>
        <v>1</v>
      </c>
    </row>
    <row r="24" spans="1:29" ht="15">
      <c r="A24" s="426"/>
      <c r="B24" s="1383"/>
      <c r="C24" s="445"/>
      <c r="D24" s="446"/>
      <c r="E24" s="2598"/>
      <c r="F24" s="447"/>
      <c r="G24" s="2597"/>
      <c r="H24" s="446"/>
      <c r="I24" s="2598"/>
      <c r="J24" s="446"/>
      <c r="K24" s="613"/>
      <c r="L24" s="1139"/>
      <c r="M24" s="1130"/>
      <c r="N24" s="1130"/>
      <c r="O24" s="1138"/>
      <c r="P24" s="3248"/>
      <c r="Q24" s="1808"/>
      <c r="R24" s="772"/>
      <c r="S24" s="773"/>
      <c r="T24" s="772"/>
      <c r="U24" s="773"/>
      <c r="V24" s="772"/>
      <c r="W24" s="773"/>
      <c r="X24" s="1811"/>
      <c r="Y24" s="3248"/>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248"/>
      <c r="Q25" s="1808">
        <f>B25</f>
        <v>111</v>
      </c>
      <c r="R25" s="772" t="s">
        <v>17</v>
      </c>
      <c r="S25" s="773">
        <f>F25</f>
        <v>100</v>
      </c>
      <c r="T25" s="772" t="s">
        <v>17</v>
      </c>
      <c r="U25" s="773">
        <f>H25</f>
        <v>100</v>
      </c>
      <c r="V25" s="772" t="s">
        <v>17</v>
      </c>
      <c r="W25" s="773">
        <f>J25</f>
        <v>100</v>
      </c>
      <c r="X25" s="1811"/>
      <c r="Y25" s="3248"/>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248"/>
      <c r="Q26" s="1808">
        <f t="shared" ref="Q26:Q40" si="11">B26</f>
        <v>111</v>
      </c>
      <c r="R26" s="772" t="s">
        <v>17</v>
      </c>
      <c r="S26" s="773">
        <f>F26</f>
        <v>100</v>
      </c>
      <c r="T26" s="772" t="s">
        <v>17</v>
      </c>
      <c r="U26" s="773">
        <f>H26</f>
        <v>100</v>
      </c>
      <c r="V26" s="772" t="s">
        <v>17</v>
      </c>
      <c r="W26" s="773">
        <f>J26</f>
        <v>100</v>
      </c>
      <c r="X26" s="1811"/>
      <c r="Y26" s="3248"/>
      <c r="Z26" s="1812">
        <f>Q26</f>
        <v>111</v>
      </c>
      <c r="AA26" s="1809">
        <f t="shared" si="3"/>
        <v>1</v>
      </c>
      <c r="AB26" s="1809">
        <f t="shared" si="4"/>
        <v>1</v>
      </c>
      <c r="AC26" s="1809">
        <f t="shared" si="5"/>
        <v>1</v>
      </c>
    </row>
    <row r="27" spans="1:29" s="116"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248"/>
      <c r="Q27" s="1793">
        <f t="shared" si="11"/>
        <v>111</v>
      </c>
      <c r="R27" s="768" t="s">
        <v>17</v>
      </c>
      <c r="S27" s="769">
        <f>F27</f>
        <v>100</v>
      </c>
      <c r="T27" s="768" t="s">
        <v>17</v>
      </c>
      <c r="U27" s="769">
        <f>H27</f>
        <v>100</v>
      </c>
      <c r="V27" s="768" t="s">
        <v>17</v>
      </c>
      <c r="W27" s="769">
        <f>J27</f>
        <v>100</v>
      </c>
      <c r="X27" s="770"/>
      <c r="Y27" s="3248"/>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248"/>
      <c r="Q28" s="1808">
        <f t="shared" si="11"/>
        <v>111</v>
      </c>
      <c r="R28" s="772" t="s">
        <v>17</v>
      </c>
      <c r="S28" s="773">
        <f t="shared" ref="S28:S40" si="12">F28</f>
        <v>100</v>
      </c>
      <c r="T28" s="772" t="s">
        <v>17</v>
      </c>
      <c r="U28" s="773">
        <f t="shared" ref="U28:U40" si="13">H28</f>
        <v>100</v>
      </c>
      <c r="V28" s="772" t="s">
        <v>17</v>
      </c>
      <c r="W28" s="773">
        <f t="shared" ref="W28:W40" si="14">J28</f>
        <v>100</v>
      </c>
      <c r="X28" s="1811"/>
      <c r="Y28" s="3248"/>
      <c r="Z28" s="1812">
        <f t="shared" ref="Z28:Z40" si="15">Q28</f>
        <v>111</v>
      </c>
      <c r="AA28" s="1809">
        <f t="shared" si="3"/>
        <v>1</v>
      </c>
      <c r="AB28" s="1809">
        <f t="shared" si="4"/>
        <v>1</v>
      </c>
      <c r="AC28" s="1809">
        <f t="shared" si="5"/>
        <v>1</v>
      </c>
    </row>
    <row r="29" spans="1:29" ht="28.5">
      <c r="A29" s="464" t="s">
        <v>2556</v>
      </c>
      <c r="B29" s="71" t="s">
        <v>2686</v>
      </c>
      <c r="C29" s="2670"/>
      <c r="D29" s="465">
        <v>100</v>
      </c>
      <c r="E29" s="2670"/>
      <c r="F29" s="459">
        <f>SUMIF(88:88,E29,89:89)-SUMIF(88:88,C29,89:89)+100</f>
        <v>100</v>
      </c>
      <c r="G29" s="2670"/>
      <c r="H29" s="433">
        <f>SUMIF(88:88,G29,89:89)-SUMIF(88:88,C29,89:89)+100</f>
        <v>100</v>
      </c>
      <c r="I29" s="2670"/>
      <c r="J29" s="465">
        <f>SUMIF(88:88,I29,89:89)-SUMIF(88:88,C29,89:89)+100</f>
        <v>100</v>
      </c>
      <c r="K29" s="610"/>
      <c r="L29" s="1139"/>
      <c r="M29" s="1130"/>
      <c r="N29" s="1130"/>
      <c r="O29" s="1138"/>
      <c r="P29" s="3249" t="s">
        <v>2558</v>
      </c>
      <c r="Q29" s="1808" t="str">
        <f t="shared" si="11"/>
        <v>建筑类型</v>
      </c>
      <c r="R29" s="772" t="s">
        <v>17</v>
      </c>
      <c r="S29" s="773">
        <f t="shared" si="12"/>
        <v>100</v>
      </c>
      <c r="T29" s="772" t="s">
        <v>17</v>
      </c>
      <c r="U29" s="773">
        <f t="shared" si="13"/>
        <v>100</v>
      </c>
      <c r="V29" s="772" t="s">
        <v>17</v>
      </c>
      <c r="W29" s="773">
        <f t="shared" si="14"/>
        <v>100</v>
      </c>
      <c r="X29" s="1811"/>
      <c r="Y29" s="3250" t="s">
        <v>2558</v>
      </c>
      <c r="Z29" s="1812" t="str">
        <f t="shared" si="15"/>
        <v>建筑类型</v>
      </c>
      <c r="AA29" s="1809">
        <f t="shared" si="3"/>
        <v>1</v>
      </c>
      <c r="AB29" s="1809">
        <f t="shared" si="4"/>
        <v>1</v>
      </c>
      <c r="AC29" s="1809">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250"/>
      <c r="Q30" s="774" t="str">
        <f t="shared" si="11"/>
        <v>项目建筑规模</v>
      </c>
      <c r="R30" s="775" t="s">
        <v>17</v>
      </c>
      <c r="S30" s="776" t="e">
        <f t="shared" si="12"/>
        <v>#N/A</v>
      </c>
      <c r="T30" s="775" t="s">
        <v>17</v>
      </c>
      <c r="U30" s="776" t="e">
        <f t="shared" si="13"/>
        <v>#N/A</v>
      </c>
      <c r="V30" s="775" t="s">
        <v>17</v>
      </c>
      <c r="W30" s="776" t="e">
        <f t="shared" si="14"/>
        <v>#N/A</v>
      </c>
      <c r="X30" s="777"/>
      <c r="Y30" s="3250"/>
      <c r="Z30" s="778" t="str">
        <f t="shared" si="15"/>
        <v>项目建筑规模</v>
      </c>
      <c r="AA30" s="1809" t="e">
        <f t="shared" si="3"/>
        <v>#N/A</v>
      </c>
      <c r="AB30" s="1809" t="e">
        <f t="shared" si="4"/>
        <v>#N/A</v>
      </c>
      <c r="AC30" s="1809"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250"/>
      <c r="Q31" s="1808" t="str">
        <f t="shared" si="11"/>
        <v>建筑结构</v>
      </c>
      <c r="R31" s="772" t="s">
        <v>17</v>
      </c>
      <c r="S31" s="773">
        <f t="shared" si="12"/>
        <v>100</v>
      </c>
      <c r="T31" s="772" t="s">
        <v>17</v>
      </c>
      <c r="U31" s="773">
        <f t="shared" si="13"/>
        <v>100</v>
      </c>
      <c r="V31" s="772" t="s">
        <v>17</v>
      </c>
      <c r="W31" s="773">
        <f t="shared" si="14"/>
        <v>100</v>
      </c>
      <c r="X31" s="1811"/>
      <c r="Y31" s="3250"/>
      <c r="Z31" s="1812" t="str">
        <f t="shared" si="15"/>
        <v>建筑结构</v>
      </c>
      <c r="AA31" s="1809">
        <f t="shared" si="3"/>
        <v>1</v>
      </c>
      <c r="AB31" s="1809">
        <f t="shared" si="4"/>
        <v>1</v>
      </c>
      <c r="AC31" s="1809">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250"/>
      <c r="Q32" s="1808" t="str">
        <f t="shared" si="11"/>
        <v>公共部分装修</v>
      </c>
      <c r="R32" s="772" t="s">
        <v>17</v>
      </c>
      <c r="S32" s="773">
        <f t="shared" si="12"/>
        <v>100</v>
      </c>
      <c r="T32" s="772" t="s">
        <v>17</v>
      </c>
      <c r="U32" s="773">
        <f t="shared" si="13"/>
        <v>100</v>
      </c>
      <c r="V32" s="772" t="s">
        <v>17</v>
      </c>
      <c r="W32" s="773">
        <f t="shared" si="14"/>
        <v>100</v>
      </c>
      <c r="X32" s="1811"/>
      <c r="Y32" s="3250"/>
      <c r="Z32" s="1812" t="str">
        <f t="shared" si="15"/>
        <v>公共部分装修</v>
      </c>
      <c r="AA32" s="1809">
        <f t="shared" si="3"/>
        <v>1</v>
      </c>
      <c r="AB32" s="1809">
        <f t="shared" si="4"/>
        <v>1</v>
      </c>
      <c r="AC32" s="1809">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250"/>
      <c r="Q33" s="1808" t="str">
        <f t="shared" si="11"/>
        <v>成新度</v>
      </c>
      <c r="R33" s="772" t="s">
        <v>17</v>
      </c>
      <c r="S33" s="773" t="e">
        <f t="shared" si="12"/>
        <v>#N/A</v>
      </c>
      <c r="T33" s="772" t="s">
        <v>17</v>
      </c>
      <c r="U33" s="773" t="e">
        <f t="shared" si="13"/>
        <v>#N/A</v>
      </c>
      <c r="V33" s="772" t="s">
        <v>17</v>
      </c>
      <c r="W33" s="773" t="e">
        <f t="shared" si="14"/>
        <v>#N/A</v>
      </c>
      <c r="X33" s="1811"/>
      <c r="Y33" s="3250"/>
      <c r="Z33" s="1812" t="str">
        <f t="shared" si="15"/>
        <v>成新度</v>
      </c>
      <c r="AA33" s="1809" t="e">
        <f t="shared" si="3"/>
        <v>#N/A</v>
      </c>
      <c r="AB33" s="1809" t="e">
        <f t="shared" si="4"/>
        <v>#N/A</v>
      </c>
      <c r="AC33" s="1809" t="e">
        <f t="shared" si="5"/>
        <v>#N/A</v>
      </c>
    </row>
    <row r="34" spans="1:29" s="116"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250"/>
      <c r="Q34" s="1793" t="str">
        <f t="shared" si="11"/>
        <v>物业管理</v>
      </c>
      <c r="R34" s="768" t="s">
        <v>17</v>
      </c>
      <c r="S34" s="769">
        <f t="shared" si="12"/>
        <v>100</v>
      </c>
      <c r="T34" s="768" t="s">
        <v>17</v>
      </c>
      <c r="U34" s="769">
        <f t="shared" si="13"/>
        <v>100</v>
      </c>
      <c r="V34" s="768" t="s">
        <v>17</v>
      </c>
      <c r="W34" s="769">
        <f t="shared" si="14"/>
        <v>100</v>
      </c>
      <c r="X34" s="770"/>
      <c r="Y34" s="3250"/>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250" t="s">
        <v>2558</v>
      </c>
      <c r="Q35" s="1808" t="str">
        <f t="shared" si="11"/>
        <v>市政基础设施</v>
      </c>
      <c r="R35" s="772" t="s">
        <v>17</v>
      </c>
      <c r="S35" s="773">
        <f t="shared" si="12"/>
        <v>100</v>
      </c>
      <c r="T35" s="772" t="s">
        <v>17</v>
      </c>
      <c r="U35" s="773">
        <f t="shared" si="13"/>
        <v>100</v>
      </c>
      <c r="V35" s="772" t="s">
        <v>17</v>
      </c>
      <c r="W35" s="773">
        <f t="shared" si="14"/>
        <v>100</v>
      </c>
      <c r="X35" s="1811"/>
      <c r="Y35" s="3250" t="s">
        <v>2558</v>
      </c>
      <c r="Z35" s="1812" t="str">
        <f t="shared" si="15"/>
        <v>市政基础设施</v>
      </c>
      <c r="AA35" s="1809">
        <f t="shared" si="3"/>
        <v>1</v>
      </c>
      <c r="AB35" s="1809">
        <f t="shared" si="4"/>
        <v>1</v>
      </c>
      <c r="AC35" s="1809">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250"/>
      <c r="Q36" s="1808" t="str">
        <f t="shared" si="11"/>
        <v>内部装修</v>
      </c>
      <c r="R36" s="772" t="s">
        <v>17</v>
      </c>
      <c r="S36" s="773">
        <f t="shared" si="12"/>
        <v>100</v>
      </c>
      <c r="T36" s="772" t="s">
        <v>17</v>
      </c>
      <c r="U36" s="773">
        <f t="shared" si="13"/>
        <v>100</v>
      </c>
      <c r="V36" s="772" t="s">
        <v>17</v>
      </c>
      <c r="W36" s="773">
        <f t="shared" si="14"/>
        <v>100</v>
      </c>
      <c r="X36" s="1811"/>
      <c r="Y36" s="3250"/>
      <c r="Z36" s="1812" t="str">
        <f t="shared" si="15"/>
        <v>内部装修</v>
      </c>
      <c r="AA36" s="1809">
        <f t="shared" si="3"/>
        <v>1</v>
      </c>
      <c r="AB36" s="1809">
        <f t="shared" si="4"/>
        <v>1</v>
      </c>
      <c r="AC36" s="1809">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250"/>
      <c r="Q37" s="1808" t="str">
        <f t="shared" si="11"/>
        <v>内部装修状况</v>
      </c>
      <c r="R37" s="772" t="s">
        <v>17</v>
      </c>
      <c r="S37" s="773">
        <f t="shared" si="12"/>
        <v>100</v>
      </c>
      <c r="T37" s="772" t="s">
        <v>17</v>
      </c>
      <c r="U37" s="773">
        <f t="shared" si="13"/>
        <v>100</v>
      </c>
      <c r="V37" s="772" t="s">
        <v>17</v>
      </c>
      <c r="W37" s="773">
        <f t="shared" si="14"/>
        <v>100</v>
      </c>
      <c r="X37" s="1811"/>
      <c r="Y37" s="3250"/>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250"/>
      <c r="Q38" s="774">
        <f t="shared" si="11"/>
        <v>111</v>
      </c>
      <c r="R38" s="775" t="s">
        <v>17</v>
      </c>
      <c r="S38" s="776">
        <f t="shared" si="12"/>
        <v>100</v>
      </c>
      <c r="T38" s="775" t="s">
        <v>17</v>
      </c>
      <c r="U38" s="776">
        <f t="shared" si="13"/>
        <v>100</v>
      </c>
      <c r="V38" s="775" t="s">
        <v>17</v>
      </c>
      <c r="W38" s="776">
        <f t="shared" si="14"/>
        <v>100</v>
      </c>
      <c r="X38" s="777"/>
      <c r="Y38" s="3250"/>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250"/>
      <c r="Q39" s="1808">
        <f t="shared" si="11"/>
        <v>111</v>
      </c>
      <c r="R39" s="772" t="s">
        <v>17</v>
      </c>
      <c r="S39" s="773">
        <f t="shared" si="12"/>
        <v>100</v>
      </c>
      <c r="T39" s="772" t="s">
        <v>17</v>
      </c>
      <c r="U39" s="773">
        <f t="shared" si="13"/>
        <v>100</v>
      </c>
      <c r="V39" s="772" t="s">
        <v>17</v>
      </c>
      <c r="W39" s="773">
        <f t="shared" si="14"/>
        <v>100</v>
      </c>
      <c r="X39" s="1811"/>
      <c r="Y39" s="3250"/>
      <c r="Z39" s="1812">
        <f t="shared" si="15"/>
        <v>111</v>
      </c>
      <c r="AA39" s="1809">
        <f t="shared" si="3"/>
        <v>1</v>
      </c>
      <c r="AB39" s="1809">
        <f t="shared" si="4"/>
        <v>1</v>
      </c>
      <c r="AC39" s="1809">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268"/>
      <c r="Q40" s="1808">
        <f t="shared" si="11"/>
        <v>111</v>
      </c>
      <c r="R40" s="772" t="s">
        <v>17</v>
      </c>
      <c r="S40" s="773">
        <f t="shared" si="12"/>
        <v>100</v>
      </c>
      <c r="T40" s="772" t="s">
        <v>17</v>
      </c>
      <c r="U40" s="773">
        <f t="shared" si="13"/>
        <v>100</v>
      </c>
      <c r="V40" s="772" t="s">
        <v>17</v>
      </c>
      <c r="W40" s="773">
        <f t="shared" si="14"/>
        <v>100</v>
      </c>
      <c r="X40" s="1811"/>
      <c r="Y40" s="3268"/>
      <c r="Z40" s="1812">
        <f t="shared" si="15"/>
        <v>111</v>
      </c>
      <c r="AA40" s="1809">
        <f t="shared" si="3"/>
        <v>1</v>
      </c>
      <c r="AB40" s="1809">
        <f t="shared" si="4"/>
        <v>1</v>
      </c>
      <c r="AC40" s="1809">
        <f t="shared" si="5"/>
        <v>1</v>
      </c>
    </row>
    <row r="41" spans="1:29" ht="15">
      <c r="A41" s="477" t="s">
        <v>2570</v>
      </c>
      <c r="B41" s="478"/>
      <c r="C41" s="1406" t="s">
        <v>1</v>
      </c>
      <c r="D41" s="1407"/>
      <c r="E41" s="1408"/>
      <c r="F41" s="1409"/>
      <c r="G41" s="1410"/>
      <c r="H41" s="1411"/>
      <c r="I41" s="1408"/>
      <c r="J41" s="1411"/>
      <c r="K41" s="781"/>
      <c r="L41" s="1142"/>
      <c r="M41" s="1143"/>
      <c r="N41" s="1130"/>
      <c r="O41" s="1143"/>
      <c r="P41" s="3232" t="str">
        <f>A41</f>
        <v>成交单价（元/平方米）</v>
      </c>
      <c r="Q41" s="3232"/>
      <c r="R41" s="3264">
        <f>E41</f>
        <v>0</v>
      </c>
      <c r="S41" s="3264"/>
      <c r="T41" s="3264">
        <f>G41</f>
        <v>0</v>
      </c>
      <c r="U41" s="3264"/>
      <c r="V41" s="3264">
        <f>I41</f>
        <v>0</v>
      </c>
      <c r="W41" s="3264"/>
      <c r="X41" s="757"/>
      <c r="Y41" s="779"/>
      <c r="Z41" s="757"/>
      <c r="AA41" s="757"/>
      <c r="AB41" s="757"/>
      <c r="AC41" s="757"/>
    </row>
    <row r="42" spans="1:29" ht="15.75" thickBot="1">
      <c r="A42" s="484" t="s">
        <v>2662</v>
      </c>
      <c r="B42" s="485"/>
      <c r="C42" s="1412" t="e">
        <f>R43</f>
        <v>#DIV/0!</v>
      </c>
      <c r="D42" s="1413"/>
      <c r="E42" s="1414" t="e">
        <f>R42</f>
        <v>#DIV/0!</v>
      </c>
      <c r="F42" s="1414"/>
      <c r="G42" s="1412" t="e">
        <f>T42</f>
        <v>#DIV/0!</v>
      </c>
      <c r="H42" s="1413"/>
      <c r="I42" s="1414" t="e">
        <f>V42</f>
        <v>#DIV/0!</v>
      </c>
      <c r="J42" s="1413"/>
      <c r="K42" s="782"/>
      <c r="L42" s="1142"/>
      <c r="M42" s="1143"/>
      <c r="N42" s="1130"/>
      <c r="O42" s="1143"/>
      <c r="P42" s="3232" t="str">
        <f>A42</f>
        <v>比较价值（元/平方米）</v>
      </c>
      <c r="Q42" s="3232"/>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7"/>
      <c r="Y42" s="757"/>
      <c r="Z42" s="757"/>
      <c r="AA42" s="757"/>
      <c r="AB42" s="757"/>
      <c r="AC42" s="757"/>
    </row>
    <row r="43" spans="1:29" ht="15.75" thickBot="1">
      <c r="A43" s="490" t="s">
        <v>2663</v>
      </c>
      <c r="B43" s="491"/>
      <c r="C43" s="1416" t="e">
        <f>R43</f>
        <v>#DIV/0!</v>
      </c>
      <c r="D43" s="1416"/>
      <c r="E43" s="1416"/>
      <c r="F43" s="1416"/>
      <c r="G43" s="1416"/>
      <c r="H43" s="1416"/>
      <c r="I43" s="1416"/>
      <c r="J43" s="1416"/>
      <c r="K43" s="783"/>
      <c r="L43" s="1142"/>
      <c r="M43" s="1143"/>
      <c r="N43" s="1143"/>
      <c r="O43" s="1143"/>
      <c r="P43" s="3252" t="str">
        <f>A43</f>
        <v>估价对象XX用房的比较价值（楼面单价，元/平方米）</v>
      </c>
      <c r="Q43" s="3253"/>
      <c r="R43" s="3263" t="e">
        <f>IF(F1="售价",ROUND(AVERAGE(R42:V42),0),ROUND(AVERAGE(R42:V42),1))</f>
        <v>#DIV/0!</v>
      </c>
      <c r="S43" s="3263"/>
      <c r="T43" s="3263"/>
      <c r="U43" s="3263"/>
      <c r="V43" s="3263"/>
      <c r="W43" s="3263"/>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1" t="s">
        <v>2667</v>
      </c>
      <c r="B51" s="757"/>
      <c r="C51" s="762"/>
      <c r="D51" s="762"/>
      <c r="E51" s="762"/>
      <c r="F51" s="763"/>
      <c r="G51" s="763"/>
      <c r="H51" s="762"/>
      <c r="I51" s="762"/>
      <c r="J51" s="762"/>
      <c r="K51" s="1159"/>
      <c r="L51" s="1160"/>
      <c r="M51" s="1158"/>
      <c r="N51" s="1158"/>
      <c r="O51" s="1158"/>
      <c r="P51" s="501"/>
      <c r="Q51" s="502"/>
    </row>
    <row r="52" spans="1:17" s="506" customFormat="1" ht="15">
      <c r="A52" s="503" t="s">
        <v>2541</v>
      </c>
      <c r="B52" s="504"/>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2578</v>
      </c>
      <c r="B54" s="514"/>
      <c r="C54" s="515"/>
      <c r="D54" s="516"/>
      <c r="E54" s="516"/>
      <c r="F54" s="516"/>
      <c r="G54" s="516"/>
      <c r="H54" s="516"/>
      <c r="I54" s="516"/>
      <c r="J54" s="516"/>
      <c r="K54" s="516"/>
      <c r="L54" s="516"/>
      <c r="M54" s="517"/>
      <c r="N54" s="516"/>
      <c r="O54" s="518"/>
      <c r="P54" s="502"/>
      <c r="Q54" s="502"/>
    </row>
    <row r="55" spans="1:17" s="116" customFormat="1" ht="15">
      <c r="A55" s="519" t="s">
        <v>2543</v>
      </c>
      <c r="B55" s="508"/>
      <c r="C55" s="520" t="s">
        <v>2645</v>
      </c>
      <c r="D55" s="521"/>
      <c r="E55" s="521"/>
      <c r="F55" s="521"/>
      <c r="G55" s="521"/>
      <c r="H55" s="521"/>
      <c r="I55" s="521"/>
      <c r="J55" s="521"/>
      <c r="K55" s="521"/>
      <c r="L55" s="522"/>
      <c r="M55" s="523"/>
      <c r="N55" s="1150"/>
      <c r="O55" s="1150"/>
      <c r="P55" s="524"/>
      <c r="Q55" s="502"/>
    </row>
    <row r="56" spans="1:17" s="116"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2581</v>
      </c>
      <c r="B57" s="526" t="s">
        <v>2547</v>
      </c>
      <c r="C57" s="527">
        <f>C9</f>
        <v>0</v>
      </c>
      <c r="D57" s="528"/>
      <c r="E57" s="528"/>
      <c r="F57" s="528"/>
      <c r="G57" s="528"/>
      <c r="H57" s="528"/>
      <c r="I57" s="528"/>
      <c r="J57" s="528"/>
      <c r="K57" s="529"/>
      <c r="L57" s="530"/>
      <c r="M57" s="531"/>
      <c r="N57" s="1151"/>
      <c r="O57" s="1151"/>
      <c r="P57" s="45"/>
      <c r="Q57" s="502"/>
    </row>
    <row r="58" spans="1:17" ht="15.75" thickBot="1">
      <c r="A58" s="532"/>
      <c r="B58" s="533"/>
      <c r="C58" s="534">
        <v>100</v>
      </c>
      <c r="D58" s="534"/>
      <c r="E58" s="534"/>
      <c r="F58" s="534"/>
      <c r="G58" s="534"/>
      <c r="H58" s="534"/>
      <c r="I58" s="534"/>
      <c r="J58" s="534"/>
      <c r="K58" s="534"/>
      <c r="L58" s="534"/>
      <c r="M58" s="535"/>
      <c r="N58" s="1152"/>
      <c r="O58" s="1152"/>
      <c r="P58" s="45"/>
      <c r="Q58" s="502"/>
    </row>
    <row r="59" spans="1:17" ht="27.75" thickTop="1">
      <c r="A59" s="532"/>
      <c r="B59" s="536" t="s">
        <v>2550</v>
      </c>
      <c r="C59" s="537" t="s">
        <v>2582</v>
      </c>
      <c r="D59" s="537" t="s">
        <v>2583</v>
      </c>
      <c r="E59" s="537" t="s">
        <v>2584</v>
      </c>
      <c r="F59" s="537" t="s">
        <v>2585</v>
      </c>
      <c r="G59" s="537" t="s">
        <v>2586</v>
      </c>
      <c r="H59" s="537" t="s">
        <v>2587</v>
      </c>
      <c r="I59" s="537" t="s">
        <v>2588</v>
      </c>
      <c r="J59" s="537"/>
      <c r="K59" s="538"/>
      <c r="L59" s="539"/>
      <c r="M59" s="540"/>
      <c r="N59" s="1151"/>
      <c r="O59" s="1151"/>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5"/>
      <c r="Q60" s="502"/>
    </row>
    <row r="61" spans="1:17" ht="15.7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5"/>
      <c r="Q61" s="502"/>
    </row>
    <row r="62" spans="1:17" ht="15">
      <c r="A62" s="532"/>
      <c r="B62" s="546"/>
      <c r="C62" s="547"/>
      <c r="D62" s="547"/>
      <c r="E62" s="547"/>
      <c r="F62" s="547"/>
      <c r="G62" s="547"/>
      <c r="H62" s="547"/>
      <c r="I62" s="547"/>
      <c r="J62" s="547"/>
      <c r="K62" s="548"/>
      <c r="L62" s="549"/>
      <c r="M62" s="550"/>
      <c r="N62" s="1151"/>
      <c r="O62" s="1151"/>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5"/>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2552</v>
      </c>
      <c r="B70" s="526" t="s">
        <v>2698</v>
      </c>
      <c r="C70" s="571" t="s">
        <v>2590</v>
      </c>
      <c r="D70" s="571" t="s">
        <v>2591</v>
      </c>
      <c r="E70" s="571" t="s">
        <v>2592</v>
      </c>
      <c r="F70" s="571" t="s">
        <v>2593</v>
      </c>
      <c r="G70" s="571" t="s">
        <v>2594</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5"/>
      <c r="Q71" s="502"/>
    </row>
    <row r="72" spans="1:17" ht="15.75" thickTop="1">
      <c r="A72" s="532"/>
      <c r="B72" s="536" t="s">
        <v>2595</v>
      </c>
      <c r="C72" s="576" t="s">
        <v>2590</v>
      </c>
      <c r="D72" s="576" t="s">
        <v>2591</v>
      </c>
      <c r="E72" s="576" t="s">
        <v>2592</v>
      </c>
      <c r="F72" s="576" t="s">
        <v>2593</v>
      </c>
      <c r="G72" s="576" t="s">
        <v>2594</v>
      </c>
      <c r="H72" s="537"/>
      <c r="I72" s="537"/>
      <c r="J72" s="537"/>
      <c r="K72" s="538"/>
      <c r="L72" s="539"/>
      <c r="M72" s="540"/>
      <c r="N72" s="1151"/>
      <c r="O72" s="1151"/>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5"/>
      <c r="Q73" s="502"/>
    </row>
    <row r="74" spans="1:17" ht="15.75" thickTop="1">
      <c r="A74" s="532"/>
      <c r="B74" s="536" t="s">
        <v>2596</v>
      </c>
      <c r="C74" s="576" t="s">
        <v>2590</v>
      </c>
      <c r="D74" s="576" t="s">
        <v>2591</v>
      </c>
      <c r="E74" s="576" t="s">
        <v>2592</v>
      </c>
      <c r="F74" s="576" t="s">
        <v>2593</v>
      </c>
      <c r="G74" s="576" t="s">
        <v>2594</v>
      </c>
      <c r="H74" s="537"/>
      <c r="I74" s="537"/>
      <c r="J74" s="537"/>
      <c r="K74" s="538"/>
      <c r="L74" s="539"/>
      <c r="M74" s="540"/>
      <c r="N74" s="1151"/>
      <c r="O74" s="1151"/>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5"/>
      <c r="Q75" s="502"/>
    </row>
    <row r="76" spans="1:17" ht="15.75" thickTop="1">
      <c r="A76" s="532"/>
      <c r="B76" s="544" t="s">
        <v>2682</v>
      </c>
      <c r="C76" s="658" t="s">
        <v>2668</v>
      </c>
      <c r="D76" s="658" t="s">
        <v>2669</v>
      </c>
      <c r="E76" s="658" t="s">
        <v>2670</v>
      </c>
      <c r="F76" s="658" t="s">
        <v>2671</v>
      </c>
      <c r="G76" s="658" t="s">
        <v>2672</v>
      </c>
      <c r="H76" s="537"/>
      <c r="I76" s="537"/>
      <c r="J76" s="537"/>
      <c r="K76" s="537"/>
      <c r="L76" s="537"/>
      <c r="M76" s="1381"/>
      <c r="N76" s="1152"/>
      <c r="O76" s="1152"/>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5"/>
      <c r="Q77" s="502"/>
    </row>
    <row r="78" spans="1:17" ht="15.75" thickTop="1">
      <c r="A78" s="532"/>
      <c r="B78" s="536" t="s">
        <v>2691</v>
      </c>
      <c r="C78" s="576" t="s">
        <v>2590</v>
      </c>
      <c r="D78" s="576" t="s">
        <v>2591</v>
      </c>
      <c r="E78" s="576" t="s">
        <v>2592</v>
      </c>
      <c r="F78" s="576" t="s">
        <v>2593</v>
      </c>
      <c r="G78" s="576" t="s">
        <v>2594</v>
      </c>
      <c r="H78" s="537"/>
      <c r="I78" s="537"/>
      <c r="J78" s="537"/>
      <c r="K78" s="538"/>
      <c r="L78" s="539"/>
      <c r="M78" s="540"/>
      <c r="N78" s="1151"/>
      <c r="O78" s="1151"/>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5"/>
      <c r="Q79" s="502"/>
    </row>
    <row r="80" spans="1:17" s="116" customFormat="1" ht="15.75" thickTop="1">
      <c r="A80" s="577"/>
      <c r="B80" s="536">
        <f>B25</f>
        <v>111</v>
      </c>
      <c r="C80" s="552"/>
      <c r="D80" s="552"/>
      <c r="E80" s="552"/>
      <c r="F80" s="552"/>
      <c r="G80" s="552"/>
      <c r="H80" s="552"/>
      <c r="I80" s="552"/>
      <c r="J80" s="552"/>
      <c r="K80" s="552"/>
      <c r="L80" s="578"/>
      <c r="M80" s="579"/>
      <c r="N80" s="1150"/>
      <c r="O80" s="1150"/>
      <c r="P80" s="45"/>
      <c r="Q80" s="502"/>
    </row>
    <row r="81" spans="1:17" s="116" customFormat="1" ht="15.75" thickBot="1">
      <c r="A81" s="577"/>
      <c r="B81" s="541"/>
      <c r="C81" s="558"/>
      <c r="D81" s="534"/>
      <c r="E81" s="534"/>
      <c r="F81" s="534"/>
      <c r="G81" s="534"/>
      <c r="H81" s="534"/>
      <c r="I81" s="534"/>
      <c r="J81" s="534"/>
      <c r="K81" s="534"/>
      <c r="L81" s="534"/>
      <c r="M81" s="535"/>
      <c r="N81" s="1152"/>
      <c r="O81" s="1152"/>
      <c r="P81" s="45"/>
      <c r="Q81" s="502"/>
    </row>
    <row r="82" spans="1:17" s="116" customFormat="1" ht="15.75" thickTop="1">
      <c r="A82" s="577"/>
      <c r="B82" s="536">
        <f>B26</f>
        <v>111</v>
      </c>
      <c r="C82" s="552"/>
      <c r="D82" s="552"/>
      <c r="E82" s="552"/>
      <c r="F82" s="552"/>
      <c r="G82" s="552"/>
      <c r="H82" s="552"/>
      <c r="I82" s="552"/>
      <c r="J82" s="552"/>
      <c r="K82" s="552"/>
      <c r="L82" s="578"/>
      <c r="M82" s="579"/>
      <c r="N82" s="1150"/>
      <c r="O82" s="1150"/>
      <c r="P82" s="45"/>
      <c r="Q82" s="502"/>
    </row>
    <row r="83" spans="1:17" s="116" customFormat="1" ht="15.75" thickBot="1">
      <c r="A83" s="577"/>
      <c r="B83" s="541"/>
      <c r="C83" s="558"/>
      <c r="D83" s="534"/>
      <c r="E83" s="534"/>
      <c r="F83" s="534"/>
      <c r="G83" s="534"/>
      <c r="H83" s="534"/>
      <c r="I83" s="534"/>
      <c r="J83" s="534"/>
      <c r="K83" s="534"/>
      <c r="L83" s="534"/>
      <c r="M83" s="535"/>
      <c r="N83" s="1152"/>
      <c r="O83" s="1152"/>
      <c r="P83" s="45"/>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5"/>
      <c r="Q86" s="502"/>
    </row>
    <row r="87" spans="1:17" ht="15.75" thickBot="1">
      <c r="A87" s="2627"/>
      <c r="B87" s="567"/>
      <c r="C87" s="568"/>
      <c r="D87" s="568"/>
      <c r="E87" s="568"/>
      <c r="F87" s="568"/>
      <c r="G87" s="589"/>
      <c r="H87" s="589"/>
      <c r="I87" s="589"/>
      <c r="J87" s="589"/>
      <c r="K87" s="589"/>
      <c r="L87" s="589"/>
      <c r="M87" s="590"/>
      <c r="N87" s="1152"/>
      <c r="O87" s="1152"/>
      <c r="P87" s="45"/>
      <c r="Q87" s="502"/>
    </row>
    <row r="88" spans="1:17">
      <c r="A88" s="525" t="s">
        <v>2556</v>
      </c>
      <c r="B88" s="526" t="s">
        <v>2605</v>
      </c>
      <c r="C88" s="528"/>
      <c r="D88" s="528"/>
      <c r="E88" s="528"/>
      <c r="F88" s="528"/>
      <c r="G88" s="528"/>
      <c r="H88" s="528"/>
      <c r="I88" s="528"/>
      <c r="J88" s="528"/>
      <c r="K88" s="529"/>
      <c r="L88" s="530"/>
      <c r="M88" s="531"/>
      <c r="N88" s="1151"/>
      <c r="O88" s="1151"/>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5"/>
      <c r="Q89" s="502"/>
    </row>
    <row r="90" spans="1:17" ht="15.7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5"/>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2607</v>
      </c>
      <c r="C93" s="552"/>
      <c r="D93" s="552"/>
      <c r="E93" s="581"/>
      <c r="F93" s="581"/>
      <c r="G93" s="581"/>
      <c r="H93" s="581"/>
      <c r="I93" s="581"/>
      <c r="J93" s="581"/>
      <c r="K93" s="582"/>
      <c r="L93" s="583"/>
      <c r="M93" s="584"/>
      <c r="N93" s="1151"/>
      <c r="O93" s="1151"/>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5"/>
      <c r="Q94" s="502"/>
    </row>
    <row r="95" spans="1:17" ht="15" thickTop="1">
      <c r="A95" s="597"/>
      <c r="B95" s="536" t="s">
        <v>2609</v>
      </c>
      <c r="C95" s="552"/>
      <c r="D95" s="552"/>
      <c r="E95" s="552"/>
      <c r="F95" s="581"/>
      <c r="G95" s="581"/>
      <c r="H95" s="581"/>
      <c r="I95" s="581"/>
      <c r="J95" s="581"/>
      <c r="K95" s="582"/>
      <c r="L95" s="583"/>
      <c r="M95" s="584"/>
      <c r="N95" s="1151"/>
      <c r="O95" s="1151"/>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5"/>
      <c r="Q97" s="502"/>
    </row>
    <row r="98" spans="1:17">
      <c r="A98" s="597"/>
      <c r="B98" s="544"/>
      <c r="C98" s="601">
        <v>0.5</v>
      </c>
      <c r="D98" s="601">
        <v>0.6</v>
      </c>
      <c r="E98" s="601">
        <v>0.7</v>
      </c>
      <c r="F98" s="601">
        <v>0.8</v>
      </c>
      <c r="G98" s="601">
        <v>0.9</v>
      </c>
      <c r="H98" s="601">
        <v>1.0001</v>
      </c>
      <c r="I98" s="621"/>
      <c r="J98" s="621"/>
      <c r="K98" s="622"/>
      <c r="L98" s="623"/>
      <c r="M98" s="624"/>
      <c r="N98" s="1151"/>
      <c r="O98" s="1151"/>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5"/>
      <c r="Q99" s="502"/>
    </row>
    <row r="100" spans="1:17" s="469" customFormat="1" ht="15" thickTop="1">
      <c r="A100" s="591"/>
      <c r="B100" s="536" t="s">
        <v>2610</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2611</v>
      </c>
      <c r="C102" s="552"/>
      <c r="D102" s="552"/>
      <c r="E102" s="552"/>
      <c r="F102" s="552"/>
      <c r="G102" s="552"/>
      <c r="H102" s="581"/>
      <c r="I102" s="581"/>
      <c r="J102" s="581"/>
      <c r="K102" s="582"/>
      <c r="L102" s="583"/>
      <c r="M102" s="584"/>
      <c r="N102" s="1151"/>
      <c r="O102" s="1151"/>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5"/>
      <c r="Q103" s="502"/>
    </row>
    <row r="104" spans="1:17" ht="15" thickTop="1">
      <c r="A104" s="597"/>
      <c r="B104" s="536" t="s">
        <v>2613</v>
      </c>
      <c r="C104" s="552"/>
      <c r="D104" s="552"/>
      <c r="E104" s="552"/>
      <c r="F104" s="552"/>
      <c r="G104" s="552"/>
      <c r="H104" s="581"/>
      <c r="I104" s="581"/>
      <c r="J104" s="581"/>
      <c r="K104" s="582"/>
      <c r="L104" s="583"/>
      <c r="M104" s="584"/>
      <c r="N104" s="1151"/>
      <c r="O104" s="1151"/>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5"/>
      <c r="Q105" s="502"/>
    </row>
    <row r="106" spans="1:17" ht="15" thickTop="1">
      <c r="A106" s="597"/>
      <c r="B106" s="634" t="s">
        <v>2699</v>
      </c>
      <c r="C106" s="576" t="s">
        <v>2590</v>
      </c>
      <c r="D106" s="576" t="s">
        <v>2591</v>
      </c>
      <c r="E106" s="576" t="s">
        <v>2592</v>
      </c>
      <c r="F106" s="576" t="s">
        <v>2593</v>
      </c>
      <c r="G106" s="576" t="s">
        <v>2594</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5"/>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5"/>
      <c r="Q110" s="502"/>
    </row>
    <row r="111" spans="1:17" ht="15.75" thickBot="1">
      <c r="A111" s="532"/>
      <c r="B111" s="541"/>
      <c r="C111" s="558"/>
      <c r="D111" s="534"/>
      <c r="E111" s="534"/>
      <c r="F111" s="534"/>
      <c r="G111" s="558"/>
      <c r="H111" s="560"/>
      <c r="I111" s="560"/>
      <c r="J111" s="560"/>
      <c r="K111" s="560"/>
      <c r="L111" s="560"/>
      <c r="M111" s="561"/>
      <c r="N111" s="1152"/>
      <c r="O111" s="1152"/>
      <c r="P111" s="45"/>
      <c r="Q111" s="502"/>
    </row>
    <row r="112" spans="1:17" ht="15" thickTop="1">
      <c r="A112" s="597"/>
      <c r="B112" s="544">
        <f>B40</f>
        <v>111</v>
      </c>
      <c r="C112" s="521"/>
      <c r="D112" s="521"/>
      <c r="E112" s="521"/>
      <c r="F112" s="521"/>
      <c r="G112" s="585"/>
      <c r="H112" s="585"/>
      <c r="I112" s="585"/>
      <c r="J112" s="585"/>
      <c r="K112" s="521"/>
      <c r="L112" s="522"/>
      <c r="M112" s="588"/>
      <c r="N112" s="1151"/>
      <c r="O112" s="1151"/>
      <c r="P112" s="45"/>
      <c r="Q112" s="502"/>
    </row>
    <row r="113" spans="1:17" ht="15.75" thickBot="1">
      <c r="A113" s="2627"/>
      <c r="B113" s="567"/>
      <c r="C113" s="568"/>
      <c r="D113" s="568"/>
      <c r="E113" s="568"/>
      <c r="F113" s="568"/>
      <c r="G113" s="589"/>
      <c r="H113" s="589"/>
      <c r="I113" s="589"/>
      <c r="J113" s="589"/>
      <c r="K113" s="589"/>
      <c r="L113" s="589"/>
      <c r="M113" s="590"/>
      <c r="N113" s="1152"/>
      <c r="O113" s="1152"/>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2700</v>
      </c>
      <c r="B1" s="1617"/>
      <c r="C1" s="1618" t="s">
        <v>2523</v>
      </c>
      <c r="D1" s="1619"/>
      <c r="E1" s="1620"/>
      <c r="F1" s="2578"/>
      <c r="G1" s="1621" t="s">
        <v>2636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2323</v>
      </c>
      <c r="B2" s="1417" t="e">
        <f ca="1">IF(C2="——",IF(B37="元/平方米",ROUND(C39*D3/10000,0),ROUND(F3*C39/10000,0)),IF(B37="元/平方米",ROUND(C39*D3/10000,0),ROUND(F3*C39/10000,0))-D2)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16" t="s">
        <v>2641</v>
      </c>
      <c r="AC4" s="3215" t="s">
        <v>2642</v>
      </c>
    </row>
    <row r="5" spans="1:29" ht="15">
      <c r="A5" s="402"/>
      <c r="B5" s="403"/>
      <c r="C5" s="3226" t="s">
        <v>2535</v>
      </c>
      <c r="D5" s="3227"/>
      <c r="E5" s="3224" t="s">
        <v>2536</v>
      </c>
      <c r="F5" s="3225"/>
      <c r="G5" s="3226" t="s">
        <v>2537</v>
      </c>
      <c r="H5" s="3227"/>
      <c r="I5" s="3226" t="s">
        <v>2538</v>
      </c>
      <c r="J5" s="3227"/>
      <c r="K5" s="608"/>
      <c r="L5" s="1129"/>
      <c r="M5" s="1130"/>
      <c r="N5" s="1130"/>
      <c r="O5" s="1130"/>
      <c r="P5" s="3239"/>
      <c r="Q5" s="3240"/>
      <c r="R5" s="3222"/>
      <c r="S5" s="3223"/>
      <c r="T5" s="3222"/>
      <c r="U5" s="3223"/>
      <c r="V5" s="3245"/>
      <c r="W5" s="3245"/>
      <c r="X5" s="1811"/>
      <c r="Y5" s="3222"/>
      <c r="Z5" s="3223"/>
      <c r="AA5" s="3216"/>
      <c r="AB5" s="3216"/>
      <c r="AC5" s="3216"/>
    </row>
    <row r="6" spans="1:29" ht="15.75" thickBot="1">
      <c r="A6" s="404"/>
      <c r="B6" s="405"/>
      <c r="C6" s="3228" t="s">
        <v>2539</v>
      </c>
      <c r="D6" s="3229"/>
      <c r="E6" s="3230" t="s">
        <v>2539</v>
      </c>
      <c r="F6" s="3231"/>
      <c r="G6" s="3228" t="s">
        <v>2539</v>
      </c>
      <c r="H6" s="3229"/>
      <c r="I6" s="3228" t="s">
        <v>2539</v>
      </c>
      <c r="J6" s="3229"/>
      <c r="K6" s="608" t="s">
        <v>2540</v>
      </c>
      <c r="L6" s="1129"/>
      <c r="M6" s="1130"/>
      <c r="N6" s="1130"/>
      <c r="O6" s="1130"/>
      <c r="P6" s="3241"/>
      <c r="Q6" s="3242"/>
      <c r="R6" s="3222"/>
      <c r="S6" s="3223"/>
      <c r="T6" s="3243"/>
      <c r="U6" s="3244"/>
      <c r="V6" s="3245"/>
      <c r="W6" s="3245"/>
      <c r="X6" s="1811"/>
      <c r="Y6" s="3243"/>
      <c r="Z6" s="3244"/>
      <c r="AA6" s="3217"/>
      <c r="AB6" s="3217"/>
      <c r="AC6" s="3217"/>
    </row>
    <row r="7" spans="1:29" s="116" customFormat="1" ht="15.75" thickBot="1">
      <c r="A7" s="406" t="s">
        <v>2541</v>
      </c>
      <c r="B7" s="407"/>
      <c r="C7" s="408">
        <f>'数据-取费表'!B2</f>
        <v>43493</v>
      </c>
      <c r="D7" s="409">
        <v>100</v>
      </c>
      <c r="E7" s="410"/>
      <c r="F7" s="411">
        <f>SUMIF(48:48,YEAR(E7)&amp;"-"&amp;MONTH(E7),49:49)</f>
        <v>0</v>
      </c>
      <c r="G7" s="410"/>
      <c r="H7" s="409">
        <f>SUMIF(48:48,YEAR(G7)&amp;"-"&amp;MONTH(G7),49:49)</f>
        <v>0</v>
      </c>
      <c r="I7" s="410"/>
      <c r="J7" s="409">
        <f>SUMIF(48:48,YEAR(I7)&amp;"-"&amp;MONTH(I7),49:49)</f>
        <v>0</v>
      </c>
      <c r="K7" s="609"/>
      <c r="L7" s="1131"/>
      <c r="M7" s="1132"/>
      <c r="N7" s="1132"/>
      <c r="O7" s="1132"/>
      <c r="P7" s="3218" t="s">
        <v>2542</v>
      </c>
      <c r="Q7" s="3246"/>
      <c r="R7" s="768" t="s">
        <v>17</v>
      </c>
      <c r="S7" s="769">
        <f t="shared" ref="S7:S14" si="0">F7</f>
        <v>0</v>
      </c>
      <c r="T7" s="768" t="s">
        <v>17</v>
      </c>
      <c r="U7" s="769">
        <f t="shared" ref="U7:U14" si="1">H7</f>
        <v>0</v>
      </c>
      <c r="V7" s="768" t="s">
        <v>17</v>
      </c>
      <c r="W7" s="769">
        <f t="shared" ref="W7:W14" si="2">J7</f>
        <v>0</v>
      </c>
      <c r="X7" s="770"/>
      <c r="Y7" s="3218" t="s">
        <v>2542</v>
      </c>
      <c r="Z7" s="3219"/>
      <c r="AA7" s="771" t="e">
        <f>D7/F7</f>
        <v>#DIV/0!</v>
      </c>
      <c r="AB7" s="771" t="e">
        <f>D7/H7</f>
        <v>#DIV/0!</v>
      </c>
      <c r="AC7" s="771" t="e">
        <f>D7/J7</f>
        <v>#DIV/0!</v>
      </c>
    </row>
    <row r="8" spans="1:29" s="116" customFormat="1" ht="15.7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218" t="s">
        <v>2545</v>
      </c>
      <c r="Q8" s="3219"/>
      <c r="R8" s="768" t="s">
        <v>17</v>
      </c>
      <c r="S8" s="769">
        <f t="shared" si="0"/>
        <v>0</v>
      </c>
      <c r="T8" s="768" t="s">
        <v>17</v>
      </c>
      <c r="U8" s="769">
        <f t="shared" si="1"/>
        <v>0</v>
      </c>
      <c r="V8" s="768" t="s">
        <v>17</v>
      </c>
      <c r="W8" s="769">
        <f t="shared" si="2"/>
        <v>0</v>
      </c>
      <c r="X8" s="770"/>
      <c r="Y8" s="3218" t="s">
        <v>2545</v>
      </c>
      <c r="Z8" s="3219"/>
      <c r="AA8" s="771" t="e">
        <f t="shared" ref="AA8:AA36" si="3">D8/F8</f>
        <v>#DIV/0!</v>
      </c>
      <c r="AB8" s="771" t="e">
        <f t="shared" ref="AB8:AB36" si="4">D8/H8</f>
        <v>#DIV/0!</v>
      </c>
      <c r="AC8" s="771" t="e">
        <f t="shared" ref="AC8:AC36" si="5">D8/J8</f>
        <v>#DIV/0!</v>
      </c>
    </row>
    <row r="9" spans="1:29" s="116" customFormat="1">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232" t="s">
        <v>2548</v>
      </c>
      <c r="Q9" s="1793" t="str">
        <f t="shared" ref="Q9:Q14" si="6">B9</f>
        <v>用途</v>
      </c>
      <c r="R9" s="768" t="s">
        <v>17</v>
      </c>
      <c r="S9" s="769">
        <f t="shared" si="0"/>
        <v>100</v>
      </c>
      <c r="T9" s="768" t="s">
        <v>17</v>
      </c>
      <c r="U9" s="769">
        <f t="shared" si="1"/>
        <v>100</v>
      </c>
      <c r="V9" s="768" t="s">
        <v>17</v>
      </c>
      <c r="W9" s="769">
        <f t="shared" si="2"/>
        <v>100</v>
      </c>
      <c r="X9" s="770"/>
      <c r="Y9" s="3071" t="s">
        <v>2549</v>
      </c>
      <c r="Z9" s="55" t="str">
        <f t="shared" ref="Z9:Z14" si="7">Q9</f>
        <v>用途</v>
      </c>
      <c r="AA9" s="771">
        <f t="shared" si="3"/>
        <v>1</v>
      </c>
      <c r="AB9" s="771">
        <f t="shared" si="4"/>
        <v>1</v>
      </c>
      <c r="AC9" s="771">
        <f t="shared" si="5"/>
        <v>1</v>
      </c>
    </row>
    <row r="10" spans="1:29" s="425" customFormat="1" ht="27">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232"/>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232"/>
      <c r="Q11" s="1793">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232"/>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232"/>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71.25">
      <c r="A14" s="399" t="s">
        <v>2552</v>
      </c>
      <c r="B14" s="627" t="s">
        <v>2702</v>
      </c>
      <c r="C14" s="2684" t="str">
        <f>IF(B1="工业",估价对象房地状况!G4,估价对象房地状况!C6)</f>
        <v>估价对象周边有326、泾阳9、泾阳16等公交线路，综合评价交通便捷度较差</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247" t="s">
        <v>2553</v>
      </c>
      <c r="Q14" s="1808" t="str">
        <f t="shared" si="6"/>
        <v>交通便捷度</v>
      </c>
      <c r="R14" s="772" t="s">
        <v>17</v>
      </c>
      <c r="S14" s="773">
        <f t="shared" si="0"/>
        <v>100</v>
      </c>
      <c r="T14" s="772" t="s">
        <v>17</v>
      </c>
      <c r="U14" s="773">
        <f t="shared" si="1"/>
        <v>100</v>
      </c>
      <c r="V14" s="772" t="s">
        <v>17</v>
      </c>
      <c r="W14" s="773">
        <f t="shared" si="2"/>
        <v>100</v>
      </c>
      <c r="X14" s="1811"/>
      <c r="Y14" s="3247" t="s">
        <v>2553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9"/>
      <c r="M15" s="1130"/>
      <c r="N15" s="1130"/>
      <c r="O15" s="1130"/>
      <c r="P15" s="3248"/>
      <c r="Q15" s="1808"/>
      <c r="R15" s="772"/>
      <c r="S15" s="773"/>
      <c r="T15" s="772"/>
      <c r="U15" s="773"/>
      <c r="V15" s="772"/>
      <c r="W15" s="773"/>
      <c r="X15" s="1811"/>
      <c r="Y15" s="3248"/>
      <c r="Z15" s="1812"/>
      <c r="AA15" s="1809">
        <v>1</v>
      </c>
      <c r="AB15" s="1809">
        <v>1</v>
      </c>
      <c r="AC15" s="1809">
        <v>1</v>
      </c>
    </row>
    <row r="16" spans="1:29" ht="42.75">
      <c r="A16" s="402"/>
      <c r="B16" s="629" t="s">
        <v>2681</v>
      </c>
      <c r="C16" s="2600" t="str">
        <f>IF(B1="工业",估价对象房地状况!G5,估价对象房地状况!C7)</f>
        <v>估价对象所在区域公共配套设施齐备度较差</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248"/>
      <c r="Q16" s="1808" t="str">
        <f>B16</f>
        <v>公共配套设施</v>
      </c>
      <c r="R16" s="772" t="s">
        <v>17</v>
      </c>
      <c r="S16" s="773">
        <f>F16</f>
        <v>100</v>
      </c>
      <c r="T16" s="772" t="s">
        <v>17</v>
      </c>
      <c r="U16" s="773">
        <f>H16</f>
        <v>100</v>
      </c>
      <c r="V16" s="772" t="s">
        <v>17</v>
      </c>
      <c r="W16" s="773">
        <f>J16</f>
        <v>100</v>
      </c>
      <c r="X16" s="1811"/>
      <c r="Y16" s="3248"/>
      <c r="Z16" s="1812" t="str">
        <f>Q16</f>
        <v>公共配套设施</v>
      </c>
      <c r="AA16" s="1809">
        <f t="shared" si="3"/>
        <v>1</v>
      </c>
      <c r="AB16" s="1809">
        <f t="shared" si="4"/>
        <v>1</v>
      </c>
      <c r="AC16" s="1809">
        <f t="shared" si="5"/>
        <v>1</v>
      </c>
    </row>
    <row r="17" spans="1:29" ht="15">
      <c r="A17" s="402"/>
      <c r="B17" s="630"/>
      <c r="C17" s="2601"/>
      <c r="D17" s="446"/>
      <c r="E17" s="445"/>
      <c r="F17" s="447"/>
      <c r="G17" s="445"/>
      <c r="H17" s="446"/>
      <c r="I17" s="445"/>
      <c r="J17" s="446"/>
      <c r="K17" s="613"/>
      <c r="L17" s="1139"/>
      <c r="M17" s="1130"/>
      <c r="N17" s="1130"/>
      <c r="O17" s="1130"/>
      <c r="P17" s="3248"/>
      <c r="Q17" s="1808"/>
      <c r="R17" s="772"/>
      <c r="S17" s="773"/>
      <c r="T17" s="772"/>
      <c r="U17" s="773"/>
      <c r="V17" s="772"/>
      <c r="W17" s="773"/>
      <c r="X17" s="1811"/>
      <c r="Y17" s="3248"/>
      <c r="Z17" s="1812"/>
      <c r="AA17" s="1809">
        <v>1</v>
      </c>
      <c r="AB17" s="1809">
        <v>1</v>
      </c>
      <c r="AC17" s="1809">
        <v>1</v>
      </c>
    </row>
    <row r="18" spans="1:29" ht="42.75">
      <c r="A18" s="402"/>
      <c r="B18" s="631" t="s">
        <v>2682</v>
      </c>
      <c r="C18" s="2600" t="str">
        <f>IF(B1="工业",估价对象房地状况!G6,估价对象房地状况!C8)</f>
        <v>估价对象所在区域基础设施水平达七通</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248"/>
      <c r="Q18" s="1808" t="str">
        <f>B18</f>
        <v>基础设施水平</v>
      </c>
      <c r="R18" s="772" t="s">
        <v>17</v>
      </c>
      <c r="S18" s="773">
        <f>F18</f>
        <v>100</v>
      </c>
      <c r="T18" s="772" t="s">
        <v>17</v>
      </c>
      <c r="U18" s="773">
        <f>H18</f>
        <v>100</v>
      </c>
      <c r="V18" s="772" t="s">
        <v>17</v>
      </c>
      <c r="W18" s="773">
        <f>J18</f>
        <v>100</v>
      </c>
      <c r="X18" s="1811"/>
      <c r="Y18" s="3248"/>
      <c r="Z18" s="1812" t="str">
        <f>Q18</f>
        <v>基础设施水平</v>
      </c>
      <c r="AA18" s="1809">
        <f t="shared" ref="AA18" si="8">D18/F18</f>
        <v>1</v>
      </c>
      <c r="AB18" s="1809">
        <f t="shared" ref="AB18" si="9">D18/H18</f>
        <v>1</v>
      </c>
      <c r="AC18" s="1809">
        <f t="shared" ref="AC18" si="10">D18/J18</f>
        <v>1</v>
      </c>
    </row>
    <row r="19" spans="1:29" ht="15">
      <c r="A19" s="402"/>
      <c r="B19" s="631"/>
      <c r="C19" s="2601"/>
      <c r="D19" s="448"/>
      <c r="E19" s="2601"/>
      <c r="F19" s="451"/>
      <c r="G19" s="2601"/>
      <c r="H19" s="446"/>
      <c r="I19" s="445"/>
      <c r="J19" s="446"/>
      <c r="K19" s="1382"/>
      <c r="L19" s="1139"/>
      <c r="M19" s="1130"/>
      <c r="N19" s="1130"/>
      <c r="O19" s="1130"/>
      <c r="P19" s="3248"/>
      <c r="Q19" s="1808"/>
      <c r="R19" s="772"/>
      <c r="S19" s="773"/>
      <c r="T19" s="772"/>
      <c r="U19" s="773"/>
      <c r="V19" s="772"/>
      <c r="W19" s="773"/>
      <c r="X19" s="1811"/>
      <c r="Y19" s="3248"/>
      <c r="Z19" s="1812"/>
      <c r="AA19" s="1809">
        <v>1</v>
      </c>
      <c r="AB19" s="1809">
        <v>1</v>
      </c>
      <c r="AC19" s="1809">
        <v>1</v>
      </c>
    </row>
    <row r="20" spans="1:29" ht="42.75">
      <c r="A20" s="402"/>
      <c r="B20" s="629" t="s">
        <v>2703</v>
      </c>
      <c r="C20" s="2600" t="str">
        <f>IF(B1="工业",估价对象房地状况!G7,估价对象房地状况!C9)</f>
        <v>周边1公里有泾河，综合评价环境状况一般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248"/>
      <c r="Q20" s="1808" t="str">
        <f>B20</f>
        <v>自然及人文环境</v>
      </c>
      <c r="R20" s="772" t="s">
        <v>17</v>
      </c>
      <c r="S20" s="773">
        <f>F20</f>
        <v>100</v>
      </c>
      <c r="T20" s="772" t="s">
        <v>17</v>
      </c>
      <c r="U20" s="773">
        <f>H20</f>
        <v>100</v>
      </c>
      <c r="V20" s="772" t="s">
        <v>17</v>
      </c>
      <c r="W20" s="773">
        <f>J20</f>
        <v>100</v>
      </c>
      <c r="X20" s="1811"/>
      <c r="Y20" s="324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9"/>
      <c r="M21" s="1130"/>
      <c r="N21" s="1130"/>
      <c r="O21" s="1130"/>
      <c r="P21" s="3248"/>
      <c r="Q21" s="1808"/>
      <c r="R21" s="772"/>
      <c r="S21" s="773"/>
      <c r="T21" s="772"/>
      <c r="U21" s="773"/>
      <c r="V21" s="772"/>
      <c r="W21" s="773"/>
      <c r="X21" s="1811"/>
      <c r="Y21" s="3248"/>
      <c r="Z21" s="1812"/>
      <c r="AA21" s="1809">
        <v>1</v>
      </c>
      <c r="AB21" s="1809">
        <v>1</v>
      </c>
      <c r="AC21" s="1809">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248"/>
      <c r="Q22" s="1808" t="str">
        <f>B22</f>
        <v>楼层</v>
      </c>
      <c r="R22" s="772" t="s">
        <v>17</v>
      </c>
      <c r="S22" s="773">
        <f>F22</f>
        <v>100</v>
      </c>
      <c r="T22" s="772" t="s">
        <v>17</v>
      </c>
      <c r="U22" s="773">
        <f>H22</f>
        <v>100</v>
      </c>
      <c r="V22" s="772" t="s">
        <v>17</v>
      </c>
      <c r="W22" s="773">
        <f>J22</f>
        <v>100</v>
      </c>
      <c r="X22" s="1811"/>
      <c r="Y22" s="324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248"/>
      <c r="Q23" s="1808">
        <f>B23</f>
        <v>111</v>
      </c>
      <c r="R23" s="772" t="s">
        <v>17</v>
      </c>
      <c r="S23" s="773">
        <f>F23</f>
        <v>100</v>
      </c>
      <c r="T23" s="772" t="s">
        <v>17</v>
      </c>
      <c r="U23" s="773">
        <f>H23</f>
        <v>100</v>
      </c>
      <c r="V23" s="772" t="s">
        <v>17</v>
      </c>
      <c r="W23" s="773">
        <f>J23</f>
        <v>100</v>
      </c>
      <c r="X23" s="1811"/>
      <c r="Y23" s="324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248"/>
      <c r="Q24" s="1808">
        <f t="shared" ref="Q24:Q36" si="11">B24</f>
        <v>111</v>
      </c>
      <c r="R24" s="772" t="s">
        <v>17</v>
      </c>
      <c r="S24" s="773">
        <f>F24</f>
        <v>100</v>
      </c>
      <c r="T24" s="772" t="s">
        <v>17</v>
      </c>
      <c r="U24" s="773">
        <f>H24</f>
        <v>100</v>
      </c>
      <c r="V24" s="772" t="s">
        <v>17</v>
      </c>
      <c r="W24" s="773">
        <f>J24</f>
        <v>100</v>
      </c>
      <c r="X24" s="1811"/>
      <c r="Y24" s="3248"/>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248"/>
      <c r="Q25" s="1793">
        <f t="shared" si="11"/>
        <v>111</v>
      </c>
      <c r="R25" s="768" t="s">
        <v>17</v>
      </c>
      <c r="S25" s="769">
        <f>F25</f>
        <v>100</v>
      </c>
      <c r="T25" s="768" t="s">
        <v>17</v>
      </c>
      <c r="U25" s="769">
        <f>H25</f>
        <v>100</v>
      </c>
      <c r="V25" s="768" t="s">
        <v>17</v>
      </c>
      <c r="W25" s="769">
        <f>J25</f>
        <v>100</v>
      </c>
      <c r="X25" s="770"/>
      <c r="Y25" s="3248"/>
      <c r="Z25" s="55">
        <f>Q25</f>
        <v>111</v>
      </c>
      <c r="AA25" s="1809">
        <f>D25/F25</f>
        <v>1</v>
      </c>
      <c r="AB25" s="1809">
        <f>D25/H25</f>
        <v>1</v>
      </c>
      <c r="AC25" s="1809">
        <f>D25/J25</f>
        <v>1</v>
      </c>
    </row>
    <row r="26" spans="1:29" ht="28.5">
      <c r="A26" s="650" t="s">
        <v>2556</v>
      </c>
      <c r="B26" s="70" t="s">
        <v>2705</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249" t="s">
        <v>2558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50" t="s">
        <v>2558</v>
      </c>
      <c r="Z26" s="1812" t="str">
        <f t="shared" ref="Z26:Z36" si="15">Q26</f>
        <v>配套类型</v>
      </c>
      <c r="AA26" s="1809">
        <f t="shared" si="3"/>
        <v>1</v>
      </c>
      <c r="AB26" s="1809">
        <f t="shared" si="4"/>
        <v>1</v>
      </c>
      <c r="AC26" s="1809">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250"/>
      <c r="Q27" s="774" t="str">
        <f t="shared" si="11"/>
        <v>项目停车位配比</v>
      </c>
      <c r="R27" s="775" t="s">
        <v>17</v>
      </c>
      <c r="S27" s="776">
        <f t="shared" si="12"/>
        <v>100</v>
      </c>
      <c r="T27" s="775" t="s">
        <v>17</v>
      </c>
      <c r="U27" s="776">
        <f t="shared" si="13"/>
        <v>100</v>
      </c>
      <c r="V27" s="775" t="s">
        <v>17</v>
      </c>
      <c r="W27" s="776">
        <f t="shared" si="14"/>
        <v>100</v>
      </c>
      <c r="X27" s="777"/>
      <c r="Y27" s="3250"/>
      <c r="Z27" s="778" t="str">
        <f t="shared" si="15"/>
        <v>项目停车位配比</v>
      </c>
      <c r="AA27" s="1809">
        <f t="shared" si="3"/>
        <v>1</v>
      </c>
      <c r="AB27" s="1809">
        <f t="shared" si="4"/>
        <v>1</v>
      </c>
      <c r="AC27" s="1809">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250"/>
      <c r="Q28" s="1808" t="str">
        <f t="shared" si="11"/>
        <v>公共部分装修</v>
      </c>
      <c r="R28" s="772" t="s">
        <v>17</v>
      </c>
      <c r="S28" s="773">
        <f t="shared" si="12"/>
        <v>100</v>
      </c>
      <c r="T28" s="772" t="s">
        <v>17</v>
      </c>
      <c r="U28" s="773">
        <f t="shared" si="13"/>
        <v>100</v>
      </c>
      <c r="V28" s="772" t="s">
        <v>17</v>
      </c>
      <c r="W28" s="773">
        <f t="shared" si="14"/>
        <v>100</v>
      </c>
      <c r="X28" s="1811"/>
      <c r="Y28" s="3250"/>
      <c r="Z28" s="1812" t="str">
        <f t="shared" si="15"/>
        <v>公共部分装修</v>
      </c>
      <c r="AA28" s="1809">
        <f t="shared" si="3"/>
        <v>1</v>
      </c>
      <c r="AB28" s="1809">
        <f t="shared" si="4"/>
        <v>1</v>
      </c>
      <c r="AC28" s="1809">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250"/>
      <c r="Q29" s="1808" t="str">
        <f t="shared" si="11"/>
        <v>成新率</v>
      </c>
      <c r="R29" s="772" t="s">
        <v>17</v>
      </c>
      <c r="S29" s="773" t="e">
        <f t="shared" si="12"/>
        <v>#N/A</v>
      </c>
      <c r="T29" s="772" t="s">
        <v>17</v>
      </c>
      <c r="U29" s="773" t="e">
        <f t="shared" si="13"/>
        <v>#N/A</v>
      </c>
      <c r="V29" s="772" t="s">
        <v>17</v>
      </c>
      <c r="W29" s="773" t="e">
        <f t="shared" si="14"/>
        <v>#N/A</v>
      </c>
      <c r="X29" s="1811"/>
      <c r="Y29" s="3250"/>
      <c r="Z29" s="1812" t="str">
        <f t="shared" si="15"/>
        <v>成新率</v>
      </c>
      <c r="AA29" s="1809" t="e">
        <f t="shared" si="3"/>
        <v>#N/A</v>
      </c>
      <c r="AB29" s="1809" t="e">
        <f t="shared" si="4"/>
        <v>#N/A</v>
      </c>
      <c r="AC29" s="1809"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250"/>
      <c r="Q30" s="1808" t="str">
        <f t="shared" si="11"/>
        <v>物业等级</v>
      </c>
      <c r="R30" s="772" t="s">
        <v>17</v>
      </c>
      <c r="S30" s="773">
        <f t="shared" si="12"/>
        <v>100</v>
      </c>
      <c r="T30" s="772" t="s">
        <v>17</v>
      </c>
      <c r="U30" s="773">
        <f t="shared" si="13"/>
        <v>100</v>
      </c>
      <c r="V30" s="772" t="s">
        <v>17</v>
      </c>
      <c r="W30" s="773">
        <f t="shared" si="14"/>
        <v>100</v>
      </c>
      <c r="X30" s="1811"/>
      <c r="Y30" s="3250"/>
      <c r="Z30" s="1812" t="str">
        <f t="shared" si="15"/>
        <v>物业等级</v>
      </c>
      <c r="AA30" s="1809">
        <f t="shared" si="3"/>
        <v>1</v>
      </c>
      <c r="AB30" s="1809">
        <f t="shared" si="4"/>
        <v>1</v>
      </c>
      <c r="AC30" s="1809">
        <f t="shared" si="5"/>
        <v>1</v>
      </c>
    </row>
    <row r="31" spans="1:29" s="116"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250"/>
      <c r="Q31" s="1793" t="str">
        <f t="shared" si="11"/>
        <v>停车位面积</v>
      </c>
      <c r="R31" s="768" t="s">
        <v>17</v>
      </c>
      <c r="S31" s="769" t="e">
        <f t="shared" si="12"/>
        <v>#N/A</v>
      </c>
      <c r="T31" s="768" t="s">
        <v>17</v>
      </c>
      <c r="U31" s="769" t="e">
        <f t="shared" si="13"/>
        <v>#N/A</v>
      </c>
      <c r="V31" s="768" t="s">
        <v>17</v>
      </c>
      <c r="W31" s="769" t="e">
        <f t="shared" si="14"/>
        <v>#N/A</v>
      </c>
      <c r="X31" s="770"/>
      <c r="Y31" s="3250"/>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250" t="s">
        <v>2558</v>
      </c>
      <c r="Q32" s="1808" t="str">
        <f t="shared" si="11"/>
        <v>车位类型</v>
      </c>
      <c r="R32" s="772" t="s">
        <v>17</v>
      </c>
      <c r="S32" s="773">
        <f t="shared" si="12"/>
        <v>100</v>
      </c>
      <c r="T32" s="772" t="s">
        <v>17</v>
      </c>
      <c r="U32" s="773">
        <f t="shared" si="13"/>
        <v>100</v>
      </c>
      <c r="V32" s="772" t="s">
        <v>17</v>
      </c>
      <c r="W32" s="773">
        <f t="shared" si="14"/>
        <v>100</v>
      </c>
      <c r="X32" s="1811"/>
      <c r="Y32" s="3250" t="s">
        <v>2558</v>
      </c>
      <c r="Z32" s="1812" t="str">
        <f t="shared" si="15"/>
        <v>车位类型</v>
      </c>
      <c r="AA32" s="1809">
        <f t="shared" si="3"/>
        <v>1</v>
      </c>
      <c r="AB32" s="1809">
        <f t="shared" si="4"/>
        <v>1</v>
      </c>
      <c r="AC32" s="1809">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250"/>
      <c r="Q33" s="1808" t="str">
        <f t="shared" si="11"/>
        <v>是否直接入户</v>
      </c>
      <c r="R33" s="772" t="s">
        <v>17</v>
      </c>
      <c r="S33" s="773">
        <f t="shared" si="12"/>
        <v>100</v>
      </c>
      <c r="T33" s="772" t="s">
        <v>17</v>
      </c>
      <c r="U33" s="773">
        <f t="shared" si="13"/>
        <v>100</v>
      </c>
      <c r="V33" s="772" t="s">
        <v>17</v>
      </c>
      <c r="W33" s="773">
        <f t="shared" si="14"/>
        <v>100</v>
      </c>
      <c r="X33" s="1811"/>
      <c r="Y33" s="325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250"/>
      <c r="Q34" s="1808">
        <f t="shared" si="11"/>
        <v>111</v>
      </c>
      <c r="R34" s="772" t="s">
        <v>17</v>
      </c>
      <c r="S34" s="773">
        <f t="shared" si="12"/>
        <v>100</v>
      </c>
      <c r="T34" s="772" t="s">
        <v>17</v>
      </c>
      <c r="U34" s="773">
        <f t="shared" si="13"/>
        <v>100</v>
      </c>
      <c r="V34" s="772" t="s">
        <v>17</v>
      </c>
      <c r="W34" s="773">
        <f t="shared" si="14"/>
        <v>100</v>
      </c>
      <c r="X34" s="1811"/>
      <c r="Y34" s="325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250"/>
      <c r="Q35" s="774">
        <f t="shared" si="11"/>
        <v>111</v>
      </c>
      <c r="R35" s="775" t="s">
        <v>17</v>
      </c>
      <c r="S35" s="776">
        <f t="shared" si="12"/>
        <v>100</v>
      </c>
      <c r="T35" s="775" t="s">
        <v>17</v>
      </c>
      <c r="U35" s="776">
        <f t="shared" si="13"/>
        <v>100</v>
      </c>
      <c r="V35" s="775" t="s">
        <v>17</v>
      </c>
      <c r="W35" s="776">
        <f t="shared" si="14"/>
        <v>100</v>
      </c>
      <c r="X35" s="777"/>
      <c r="Y35" s="3250"/>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250"/>
      <c r="Q36" s="1808">
        <f t="shared" si="11"/>
        <v>111</v>
      </c>
      <c r="R36" s="772" t="s">
        <v>17</v>
      </c>
      <c r="S36" s="773">
        <f t="shared" si="12"/>
        <v>100</v>
      </c>
      <c r="T36" s="772" t="s">
        <v>17</v>
      </c>
      <c r="U36" s="773">
        <f t="shared" si="13"/>
        <v>100</v>
      </c>
      <c r="V36" s="772" t="s">
        <v>17</v>
      </c>
      <c r="W36" s="773">
        <f t="shared" si="14"/>
        <v>100</v>
      </c>
      <c r="X36" s="1811"/>
      <c r="Y36" s="3250"/>
      <c r="Z36" s="1812">
        <f t="shared" si="15"/>
        <v>111</v>
      </c>
      <c r="AA36" s="1809">
        <f t="shared" si="3"/>
        <v>1</v>
      </c>
      <c r="AB36" s="1809">
        <f t="shared" si="4"/>
        <v>1</v>
      </c>
      <c r="AC36" s="1809">
        <f t="shared" si="5"/>
        <v>1</v>
      </c>
    </row>
    <row r="37" spans="1:29" ht="15">
      <c r="A37" s="477" t="s">
        <v>2713</v>
      </c>
      <c r="B37" s="2686" t="s">
        <v>2714</v>
      </c>
      <c r="C37" s="1406" t="s">
        <v>1</v>
      </c>
      <c r="D37" s="1407"/>
      <c r="E37" s="1408"/>
      <c r="F37" s="1409"/>
      <c r="G37" s="1410"/>
      <c r="H37" s="1411"/>
      <c r="I37" s="1408"/>
      <c r="J37" s="1411"/>
      <c r="K37" s="617"/>
      <c r="L37" s="1142"/>
      <c r="M37" s="1143"/>
      <c r="N37" s="1130"/>
      <c r="O37" s="1143"/>
      <c r="P37" s="3232" t="str">
        <f>A37</f>
        <v>成交单价</v>
      </c>
      <c r="Q37" s="3232"/>
      <c r="R37" s="3264">
        <f>E37</f>
        <v>0</v>
      </c>
      <c r="S37" s="3264"/>
      <c r="T37" s="3264">
        <f>G37</f>
        <v>0</v>
      </c>
      <c r="U37" s="3264"/>
      <c r="V37" s="3264">
        <f>I37</f>
        <v>0</v>
      </c>
      <c r="W37" s="3264"/>
      <c r="X37" s="757"/>
      <c r="Y37" s="779"/>
      <c r="Z37" s="757"/>
      <c r="AA37" s="757"/>
      <c r="AB37" s="757"/>
      <c r="AC37" s="757"/>
    </row>
    <row r="38" spans="1:29" ht="15.75" thickBot="1">
      <c r="A38" s="484" t="s">
        <v>2715</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232" t="str">
        <f>A38</f>
        <v>比较价值（元/平方米）</v>
      </c>
      <c r="Q38" s="3232"/>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7"/>
      <c r="Y38" s="757"/>
      <c r="Z38" s="757"/>
      <c r="AA38" s="757"/>
      <c r="AB38" s="757"/>
      <c r="AC38" s="757"/>
    </row>
    <row r="39" spans="1:29" ht="15.75" thickBot="1">
      <c r="A39" s="490" t="s">
        <v>2716</v>
      </c>
      <c r="B39" s="491"/>
      <c r="C39" s="1416" t="e">
        <f>R39</f>
        <v>#DIV/0!</v>
      </c>
      <c r="D39" s="1416"/>
      <c r="E39" s="1416"/>
      <c r="F39" s="1416"/>
      <c r="G39" s="1416"/>
      <c r="H39" s="1416"/>
      <c r="I39" s="1416"/>
      <c r="J39" s="1416"/>
      <c r="K39" s="619"/>
      <c r="L39" s="1142"/>
      <c r="M39" s="1143"/>
      <c r="N39" s="1143"/>
      <c r="O39" s="1143"/>
      <c r="P39" s="3252" t="str">
        <f>A39</f>
        <v>估价对象XX用房的比较价值（楼面单价，元/平方米）</v>
      </c>
      <c r="Q39" s="3253"/>
      <c r="R39" s="3263" t="e">
        <f>IF(F1="售价",ROUND(AVERAGE(R38:V38),0),ROUND(AVERAGE(R38:V38),1))</f>
        <v>#DIV/0!</v>
      </c>
      <c r="S39" s="3263"/>
      <c r="T39" s="3263"/>
      <c r="U39" s="3263"/>
      <c r="V39" s="3263"/>
      <c r="W39" s="3263"/>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5">
      <c r="A48" s="503" t="s">
        <v>2721</v>
      </c>
      <c r="B48" s="504"/>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7"/>
      <c r="Q48" s="1438"/>
      <c r="R48" s="1438"/>
      <c r="S48" s="1438"/>
      <c r="T48" s="1438"/>
      <c r="U48" s="1438"/>
      <c r="V48" s="1438"/>
      <c r="W48" s="1438"/>
      <c r="X48" s="1438"/>
      <c r="Y48" s="1438"/>
      <c r="Z48" s="1438"/>
      <c r="AA48" s="1438"/>
      <c r="AB48" s="1438"/>
      <c r="AC48" s="1438"/>
    </row>
    <row r="49" spans="1:29" s="116"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6" customFormat="1" ht="15.75" thickBot="1">
      <c r="A50" s="513" t="s">
        <v>2578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6" customFormat="1" ht="15">
      <c r="A51" s="519" t="s">
        <v>2543</v>
      </c>
      <c r="B51" s="508"/>
      <c r="C51" s="520" t="s">
        <v>2645</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6" customFormat="1" ht="15.75"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c r="A53" s="525" t="s">
        <v>2581</v>
      </c>
      <c r="B53" s="526" t="s">
        <v>2547</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7.75" thickTop="1">
      <c r="A55" s="532"/>
      <c r="B55" s="536" t="s">
        <v>2550</v>
      </c>
      <c r="C55" s="537" t="s">
        <v>2582</v>
      </c>
      <c r="D55" s="537" t="s">
        <v>2583</v>
      </c>
      <c r="E55" s="537" t="s">
        <v>2584</v>
      </c>
      <c r="F55" s="537" t="s">
        <v>2585</v>
      </c>
      <c r="G55" s="537" t="s">
        <v>2586</v>
      </c>
      <c r="H55" s="537" t="s">
        <v>2587</v>
      </c>
      <c r="I55" s="537" t="s">
        <v>2588</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75" thickTop="1">
      <c r="A65" s="532"/>
      <c r="B65" s="536" t="s">
        <v>2596</v>
      </c>
      <c r="C65" s="576" t="s">
        <v>2590</v>
      </c>
      <c r="D65" s="576" t="s">
        <v>2591</v>
      </c>
      <c r="E65" s="576" t="s">
        <v>2592</v>
      </c>
      <c r="F65" s="576" t="s">
        <v>2593</v>
      </c>
      <c r="G65" s="576" t="s">
        <v>2594</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75" thickTop="1">
      <c r="A67" s="532"/>
      <c r="B67" s="544" t="s">
        <v>2682</v>
      </c>
      <c r="C67" s="658" t="s">
        <v>2668</v>
      </c>
      <c r="D67" s="658" t="s">
        <v>2669</v>
      </c>
      <c r="E67" s="658" t="s">
        <v>2670</v>
      </c>
      <c r="F67" s="658" t="s">
        <v>2671</v>
      </c>
      <c r="G67" s="658" t="s">
        <v>2672</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75" thickTop="1">
      <c r="A69" s="532"/>
      <c r="B69" s="536" t="s">
        <v>2602</v>
      </c>
      <c r="C69" s="576" t="s">
        <v>2590</v>
      </c>
      <c r="D69" s="576" t="s">
        <v>2591</v>
      </c>
      <c r="E69" s="576" t="s">
        <v>2592</v>
      </c>
      <c r="F69" s="576" t="s">
        <v>2593</v>
      </c>
      <c r="G69" s="576" t="s">
        <v>2594</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75" thickTop="1">
      <c r="A71" s="532"/>
      <c r="B71" s="536" t="s">
        <v>2722</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6" customFormat="1" ht="15.75"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6" customFormat="1" ht="15.75"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6" customFormat="1" ht="15.75"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6" customFormat="1" ht="15.75"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7.75" thickTop="1">
      <c r="A79" s="525" t="s">
        <v>2556</v>
      </c>
      <c r="B79" s="526" t="s">
        <v>2723</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2"/>
      <c r="B81" s="536" t="s">
        <v>2724</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2609</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2726</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2728</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2729</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2700</v>
      </c>
      <c r="B1" s="1617"/>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IF(C2="——",ROUND(C37*D3/10000,0),ROUND(C37*D3/10000,0)-D2)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16" t="s">
        <v>2641</v>
      </c>
      <c r="AC4" s="3215" t="s">
        <v>2642</v>
      </c>
    </row>
    <row r="5" spans="1:29" ht="15">
      <c r="A5" s="402"/>
      <c r="B5" s="403"/>
      <c r="C5" s="3226" t="s">
        <v>2535</v>
      </c>
      <c r="D5" s="3227"/>
      <c r="E5" s="3224" t="s">
        <v>2536</v>
      </c>
      <c r="F5" s="3225"/>
      <c r="G5" s="3226" t="s">
        <v>2537</v>
      </c>
      <c r="H5" s="3227"/>
      <c r="I5" s="3226" t="s">
        <v>2538</v>
      </c>
      <c r="J5" s="3227"/>
      <c r="K5" s="608"/>
      <c r="L5" s="1129"/>
      <c r="M5" s="1130"/>
      <c r="N5" s="1130"/>
      <c r="O5" s="1130"/>
      <c r="P5" s="3239"/>
      <c r="Q5" s="3240"/>
      <c r="R5" s="3222"/>
      <c r="S5" s="3223"/>
      <c r="T5" s="3222"/>
      <c r="U5" s="3223"/>
      <c r="V5" s="3245"/>
      <c r="W5" s="3245"/>
      <c r="X5" s="1811"/>
      <c r="Y5" s="3222"/>
      <c r="Z5" s="3223"/>
      <c r="AA5" s="3216"/>
      <c r="AB5" s="3216"/>
      <c r="AC5" s="3216"/>
    </row>
    <row r="6" spans="1:29" ht="15.75" thickBot="1">
      <c r="A6" s="404"/>
      <c r="B6" s="405"/>
      <c r="C6" s="3228" t="s">
        <v>2539</v>
      </c>
      <c r="D6" s="3229"/>
      <c r="E6" s="3230" t="s">
        <v>2539</v>
      </c>
      <c r="F6" s="3231"/>
      <c r="G6" s="3228" t="s">
        <v>2539</v>
      </c>
      <c r="H6" s="3229"/>
      <c r="I6" s="3228" t="s">
        <v>2539</v>
      </c>
      <c r="J6" s="3229"/>
      <c r="K6" s="608" t="s">
        <v>2540</v>
      </c>
      <c r="L6" s="1129"/>
      <c r="M6" s="1130"/>
      <c r="N6" s="1130"/>
      <c r="O6" s="1130"/>
      <c r="P6" s="3241"/>
      <c r="Q6" s="3242"/>
      <c r="R6" s="3222"/>
      <c r="S6" s="3223"/>
      <c r="T6" s="3243"/>
      <c r="U6" s="3244"/>
      <c r="V6" s="3245"/>
      <c r="W6" s="3245"/>
      <c r="X6" s="1811"/>
      <c r="Y6" s="3243"/>
      <c r="Z6" s="3244"/>
      <c r="AA6" s="3217"/>
      <c r="AB6" s="3217"/>
      <c r="AC6" s="3217"/>
    </row>
    <row r="7" spans="1:29" s="116" customFormat="1" ht="15.75" thickBot="1">
      <c r="A7" s="406" t="s">
        <v>2541</v>
      </c>
      <c r="B7" s="407"/>
      <c r="C7" s="408">
        <f>'数据-取费表'!B2</f>
        <v>43493</v>
      </c>
      <c r="D7" s="409">
        <v>100</v>
      </c>
      <c r="E7" s="410"/>
      <c r="F7" s="411">
        <f>SUMIF(46:46,YEAR(E7)&amp;"-"&amp;MONTH(E7),47:47)</f>
        <v>0</v>
      </c>
      <c r="G7" s="2687"/>
      <c r="H7" s="409">
        <f>SUMIF(46:46,YEAR(G7)&amp;"-"&amp;MONTH(G7),47:47)</f>
        <v>0</v>
      </c>
      <c r="I7" s="410"/>
      <c r="J7" s="409">
        <f>SUMIF(46:46,YEAR(I7)&amp;"-"&amp;MONTH(I7),47:47)</f>
        <v>0</v>
      </c>
      <c r="K7" s="609"/>
      <c r="L7" s="1131"/>
      <c r="M7" s="1132"/>
      <c r="N7" s="1132"/>
      <c r="O7" s="1132"/>
      <c r="P7" s="3218" t="s">
        <v>2542</v>
      </c>
      <c r="Q7" s="3246"/>
      <c r="R7" s="768" t="s">
        <v>17</v>
      </c>
      <c r="S7" s="769">
        <f t="shared" ref="S7:S14" si="0">F7</f>
        <v>0</v>
      </c>
      <c r="T7" s="768" t="s">
        <v>17</v>
      </c>
      <c r="U7" s="769">
        <f t="shared" ref="U7:U14" si="1">H7</f>
        <v>0</v>
      </c>
      <c r="V7" s="768" t="s">
        <v>17</v>
      </c>
      <c r="W7" s="769">
        <f t="shared" ref="W7:W14" si="2">J7</f>
        <v>0</v>
      </c>
      <c r="X7" s="770"/>
      <c r="Y7" s="3218" t="s">
        <v>2542</v>
      </c>
      <c r="Z7" s="3219"/>
      <c r="AA7" s="771" t="e">
        <f>D7/F7</f>
        <v>#DIV/0!</v>
      </c>
      <c r="AB7" s="771" t="e">
        <f>D7/H7</f>
        <v>#DIV/0!</v>
      </c>
      <c r="AC7" s="771" t="e">
        <f>D7/J7</f>
        <v>#DIV/0!</v>
      </c>
    </row>
    <row r="8" spans="1:29" s="116" customFormat="1" ht="15.7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218" t="s">
        <v>2545</v>
      </c>
      <c r="Q8" s="3219"/>
      <c r="R8" s="768" t="s">
        <v>17</v>
      </c>
      <c r="S8" s="769">
        <f t="shared" si="0"/>
        <v>0</v>
      </c>
      <c r="T8" s="768" t="s">
        <v>17</v>
      </c>
      <c r="U8" s="769">
        <f t="shared" si="1"/>
        <v>0</v>
      </c>
      <c r="V8" s="768" t="s">
        <v>17</v>
      </c>
      <c r="W8" s="769">
        <f t="shared" si="2"/>
        <v>0</v>
      </c>
      <c r="X8" s="770"/>
      <c r="Y8" s="3218" t="s">
        <v>2545</v>
      </c>
      <c r="Z8" s="3219"/>
      <c r="AA8" s="771" t="e">
        <f t="shared" ref="AA8:AA34" si="3">D8/F8</f>
        <v>#DIV/0!</v>
      </c>
      <c r="AB8" s="771" t="e">
        <f t="shared" ref="AB8:AB34" si="4">D8/H8</f>
        <v>#DIV/0!</v>
      </c>
      <c r="AC8" s="771" t="e">
        <f t="shared" ref="AC8:AC34" si="5">D8/J8</f>
        <v>#DIV/0!</v>
      </c>
    </row>
    <row r="9" spans="1:29" s="116" customFormat="1">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232" t="s">
        <v>2548</v>
      </c>
      <c r="Q9" s="1793" t="str">
        <f t="shared" ref="Q9:Q14" si="6">B9</f>
        <v>用途</v>
      </c>
      <c r="R9" s="768" t="s">
        <v>17</v>
      </c>
      <c r="S9" s="769">
        <f t="shared" si="0"/>
        <v>100</v>
      </c>
      <c r="T9" s="768" t="s">
        <v>17</v>
      </c>
      <c r="U9" s="769">
        <f t="shared" si="1"/>
        <v>100</v>
      </c>
      <c r="V9" s="768" t="s">
        <v>17</v>
      </c>
      <c r="W9" s="769">
        <f t="shared" si="2"/>
        <v>100</v>
      </c>
      <c r="X9" s="770"/>
      <c r="Y9" s="3071" t="s">
        <v>2549</v>
      </c>
      <c r="Z9" s="55" t="str">
        <f t="shared" ref="Z9:Z14" si="7">Q9</f>
        <v>用途</v>
      </c>
      <c r="AA9" s="771">
        <f t="shared" si="3"/>
        <v>1</v>
      </c>
      <c r="AB9" s="771">
        <f t="shared" si="4"/>
        <v>1</v>
      </c>
      <c r="AC9" s="771">
        <f t="shared" si="5"/>
        <v>1</v>
      </c>
    </row>
    <row r="10" spans="1:29" s="425" customFormat="1" ht="27">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232"/>
      <c r="Q10" s="1793" t="str">
        <f t="shared" si="6"/>
        <v>土地使用年限（年）</v>
      </c>
      <c r="R10" s="768" t="s">
        <v>17</v>
      </c>
      <c r="S10" s="769">
        <f t="shared" si="0"/>
        <v>100</v>
      </c>
      <c r="T10" s="768" t="s">
        <v>17</v>
      </c>
      <c r="U10" s="769">
        <f t="shared" si="1"/>
        <v>100</v>
      </c>
      <c r="V10" s="768" t="s">
        <v>17</v>
      </c>
      <c r="W10" s="769">
        <f t="shared" si="2"/>
        <v>100</v>
      </c>
      <c r="X10" s="770"/>
      <c r="Y10" s="3071"/>
      <c r="Z10" s="55" t="str">
        <f t="shared" si="7"/>
        <v>土地使用年限（年）</v>
      </c>
      <c r="AA10" s="771">
        <f t="shared" si="3"/>
        <v>1</v>
      </c>
      <c r="AB10" s="771">
        <f t="shared" si="4"/>
        <v>1</v>
      </c>
      <c r="AC10" s="771">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232"/>
      <c r="Q11" s="1793">
        <f t="shared" si="6"/>
        <v>111</v>
      </c>
      <c r="R11" s="768" t="s">
        <v>17</v>
      </c>
      <c r="S11" s="769">
        <f t="shared" si="0"/>
        <v>100</v>
      </c>
      <c r="T11" s="768" t="s">
        <v>17</v>
      </c>
      <c r="U11" s="769">
        <f t="shared" si="1"/>
        <v>100</v>
      </c>
      <c r="V11" s="768" t="s">
        <v>17</v>
      </c>
      <c r="W11" s="769">
        <f t="shared" si="2"/>
        <v>100</v>
      </c>
      <c r="X11" s="770"/>
      <c r="Y11" s="3071"/>
      <c r="Z11" s="55">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232"/>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9"/>
      <c r="M13" s="1130"/>
      <c r="N13" s="1130"/>
      <c r="O13" s="1138"/>
      <c r="P13" s="3232"/>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71.25">
      <c r="A14" s="438" t="s">
        <v>2552</v>
      </c>
      <c r="B14" s="69" t="s">
        <v>2702</v>
      </c>
      <c r="C14" s="2684" t="str">
        <f>IF(B1="工业",估价对象房地状况!G4,估价对象房地状况!C6)</f>
        <v>估价对象周边有326、泾阳9、泾阳16等公交线路，综合评价交通便捷度较差</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247" t="s">
        <v>2553</v>
      </c>
      <c r="Q14" s="1808" t="str">
        <f t="shared" si="6"/>
        <v>交通便捷度</v>
      </c>
      <c r="R14" s="772" t="s">
        <v>17</v>
      </c>
      <c r="S14" s="773">
        <f t="shared" si="0"/>
        <v>100</v>
      </c>
      <c r="T14" s="772" t="s">
        <v>17</v>
      </c>
      <c r="U14" s="773">
        <f t="shared" si="1"/>
        <v>100</v>
      </c>
      <c r="V14" s="772" t="s">
        <v>17</v>
      </c>
      <c r="W14" s="773">
        <f t="shared" si="2"/>
        <v>100</v>
      </c>
      <c r="X14" s="1811"/>
      <c r="Y14" s="3247" t="s">
        <v>2553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9"/>
      <c r="M15" s="1130"/>
      <c r="N15" s="1130"/>
      <c r="O15" s="1138"/>
      <c r="P15" s="3248"/>
      <c r="Q15" s="1808"/>
      <c r="R15" s="772"/>
      <c r="S15" s="773"/>
      <c r="T15" s="772"/>
      <c r="U15" s="773"/>
      <c r="V15" s="772"/>
      <c r="W15" s="773"/>
      <c r="X15" s="1811"/>
      <c r="Y15" s="3248"/>
      <c r="Z15" s="1812"/>
      <c r="AA15" s="1809">
        <v>1</v>
      </c>
      <c r="AB15" s="1809">
        <v>1</v>
      </c>
      <c r="AC15" s="1809">
        <v>1</v>
      </c>
    </row>
    <row r="16" spans="1:29" ht="42.75">
      <c r="A16" s="426"/>
      <c r="B16" s="449" t="s">
        <v>2681</v>
      </c>
      <c r="C16" s="2600" t="str">
        <f>IF(B1="工业",估价对象房地状况!G5,估价对象房地状况!C7)</f>
        <v>估价对象所在区域公共配套设施齐备度较差</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248"/>
      <c r="Q16" s="1808" t="str">
        <f>B16</f>
        <v>公共配套设施</v>
      </c>
      <c r="R16" s="772" t="s">
        <v>17</v>
      </c>
      <c r="S16" s="773">
        <f>F16</f>
        <v>100</v>
      </c>
      <c r="T16" s="772" t="s">
        <v>17</v>
      </c>
      <c r="U16" s="773">
        <f>H16</f>
        <v>100</v>
      </c>
      <c r="V16" s="772" t="s">
        <v>17</v>
      </c>
      <c r="W16" s="773">
        <f>J16</f>
        <v>100</v>
      </c>
      <c r="X16" s="1811"/>
      <c r="Y16" s="3248"/>
      <c r="Z16" s="1812" t="str">
        <f>Q16</f>
        <v>公共配套设施</v>
      </c>
      <c r="AA16" s="1809">
        <f t="shared" si="3"/>
        <v>1</v>
      </c>
      <c r="AB16" s="1809">
        <f t="shared" si="4"/>
        <v>1</v>
      </c>
      <c r="AC16" s="1809">
        <f t="shared" si="5"/>
        <v>1</v>
      </c>
    </row>
    <row r="17" spans="1:29" ht="15">
      <c r="A17" s="426"/>
      <c r="B17" s="454"/>
      <c r="C17" s="2601"/>
      <c r="D17" s="446"/>
      <c r="E17" s="445"/>
      <c r="F17" s="447"/>
      <c r="G17" s="445"/>
      <c r="H17" s="446"/>
      <c r="I17" s="445"/>
      <c r="J17" s="446"/>
      <c r="K17" s="613"/>
      <c r="L17" s="1139"/>
      <c r="M17" s="1130"/>
      <c r="N17" s="1130"/>
      <c r="O17" s="1138"/>
      <c r="P17" s="3248"/>
      <c r="Q17" s="1808"/>
      <c r="R17" s="772"/>
      <c r="S17" s="773"/>
      <c r="T17" s="772"/>
      <c r="U17" s="773"/>
      <c r="V17" s="772"/>
      <c r="W17" s="773"/>
      <c r="X17" s="1811"/>
      <c r="Y17" s="3248"/>
      <c r="Z17" s="1812"/>
      <c r="AA17" s="1809">
        <v>1</v>
      </c>
      <c r="AB17" s="1809">
        <v>1</v>
      </c>
      <c r="AC17" s="1809">
        <v>1</v>
      </c>
    </row>
    <row r="18" spans="1:29" ht="42.75">
      <c r="A18" s="426"/>
      <c r="B18" s="1383" t="s">
        <v>2682</v>
      </c>
      <c r="C18" s="2600" t="str">
        <f>IF(B1="工业",估价对象房地状况!G6,估价对象房地状况!C8)</f>
        <v>估价对象所在区域基础设施水平达七通</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248"/>
      <c r="Q18" s="1808" t="str">
        <f>B18</f>
        <v>基础设施水平</v>
      </c>
      <c r="R18" s="772" t="s">
        <v>17</v>
      </c>
      <c r="S18" s="773">
        <f>F18</f>
        <v>100</v>
      </c>
      <c r="T18" s="772" t="s">
        <v>17</v>
      </c>
      <c r="U18" s="773">
        <f>H18</f>
        <v>100</v>
      </c>
      <c r="V18" s="772" t="s">
        <v>17</v>
      </c>
      <c r="W18" s="773">
        <f>J18</f>
        <v>100</v>
      </c>
      <c r="X18" s="1811"/>
      <c r="Y18" s="3248"/>
      <c r="Z18" s="1812" t="str">
        <f>Q18</f>
        <v>基础设施水平</v>
      </c>
      <c r="AA18" s="1809">
        <f t="shared" ref="AA18" si="8">D18/F18</f>
        <v>1</v>
      </c>
      <c r="AB18" s="1809">
        <f t="shared" ref="AB18" si="9">D18/H18</f>
        <v>1</v>
      </c>
      <c r="AC18" s="1809">
        <f t="shared" ref="AC18" si="10">D18/J18</f>
        <v>1</v>
      </c>
    </row>
    <row r="19" spans="1:29" ht="15">
      <c r="A19" s="426"/>
      <c r="B19" s="1383"/>
      <c r="C19" s="2601"/>
      <c r="D19" s="448"/>
      <c r="E19" s="2601"/>
      <c r="F19" s="451"/>
      <c r="G19" s="2601"/>
      <c r="H19" s="446"/>
      <c r="I19" s="445"/>
      <c r="J19" s="446"/>
      <c r="K19" s="1382"/>
      <c r="L19" s="1139"/>
      <c r="M19" s="1130"/>
      <c r="N19" s="1130"/>
      <c r="O19" s="1138"/>
      <c r="P19" s="3248"/>
      <c r="Q19" s="1808"/>
      <c r="R19" s="772"/>
      <c r="S19" s="773"/>
      <c r="T19" s="772"/>
      <c r="U19" s="773"/>
      <c r="V19" s="772"/>
      <c r="W19" s="773"/>
      <c r="X19" s="1811"/>
      <c r="Y19" s="3248"/>
      <c r="Z19" s="1812"/>
      <c r="AA19" s="1809">
        <v>1</v>
      </c>
      <c r="AB19" s="1809">
        <v>1</v>
      </c>
      <c r="AC19" s="1809">
        <v>1</v>
      </c>
    </row>
    <row r="20" spans="1:29" ht="42.75">
      <c r="A20" s="426"/>
      <c r="B20" s="449" t="s">
        <v>2703</v>
      </c>
      <c r="C20" s="2600" t="str">
        <f>IF(B1="工业",估价对象房地状况!G7,估价对象房地状况!C9)</f>
        <v>周边1公里有泾河，综合评价环境状况一般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248"/>
      <c r="Q20" s="1808" t="str">
        <f>B20</f>
        <v>自然及人文环境</v>
      </c>
      <c r="R20" s="772" t="s">
        <v>17</v>
      </c>
      <c r="S20" s="773">
        <f>F20</f>
        <v>100</v>
      </c>
      <c r="T20" s="772" t="s">
        <v>17</v>
      </c>
      <c r="U20" s="773">
        <f>H20</f>
        <v>100</v>
      </c>
      <c r="V20" s="772" t="s">
        <v>17</v>
      </c>
      <c r="W20" s="773">
        <f>J20</f>
        <v>100</v>
      </c>
      <c r="X20" s="1811"/>
      <c r="Y20" s="324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9"/>
      <c r="M21" s="1130"/>
      <c r="N21" s="1130"/>
      <c r="O21" s="1138"/>
      <c r="P21" s="3248"/>
      <c r="Q21" s="1808"/>
      <c r="R21" s="772"/>
      <c r="S21" s="773"/>
      <c r="T21" s="772"/>
      <c r="U21" s="773"/>
      <c r="V21" s="772"/>
      <c r="W21" s="773"/>
      <c r="X21" s="1811"/>
      <c r="Y21" s="3248"/>
      <c r="Z21" s="1812"/>
      <c r="AA21" s="1809">
        <v>1</v>
      </c>
      <c r="AB21" s="1809">
        <v>1</v>
      </c>
      <c r="AC21" s="1809">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248"/>
      <c r="Q22" s="1808" t="str">
        <f>B22</f>
        <v>楼层</v>
      </c>
      <c r="R22" s="772" t="s">
        <v>17</v>
      </c>
      <c r="S22" s="773">
        <f>F22</f>
        <v>100</v>
      </c>
      <c r="T22" s="772" t="s">
        <v>17</v>
      </c>
      <c r="U22" s="773">
        <f>H22</f>
        <v>100</v>
      </c>
      <c r="V22" s="772" t="s">
        <v>17</v>
      </c>
      <c r="W22" s="773">
        <f>J22</f>
        <v>100</v>
      </c>
      <c r="X22" s="1811"/>
      <c r="Y22" s="3248"/>
      <c r="Z22" s="1812" t="str">
        <f>Q22</f>
        <v>楼层</v>
      </c>
      <c r="AA22" s="1809">
        <f t="shared" si="3"/>
        <v>1</v>
      </c>
      <c r="AB22" s="1809">
        <f t="shared" si="4"/>
        <v>1</v>
      </c>
      <c r="AC22" s="1809">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248"/>
      <c r="Q23" s="1808">
        <f>B23</f>
        <v>111</v>
      </c>
      <c r="R23" s="772" t="s">
        <v>17</v>
      </c>
      <c r="S23" s="773">
        <f>F23</f>
        <v>100</v>
      </c>
      <c r="T23" s="772" t="s">
        <v>17</v>
      </c>
      <c r="U23" s="773">
        <f>H23</f>
        <v>100</v>
      </c>
      <c r="V23" s="772" t="s">
        <v>17</v>
      </c>
      <c r="W23" s="773">
        <f>J23</f>
        <v>100</v>
      </c>
      <c r="X23" s="1811"/>
      <c r="Y23" s="3248"/>
      <c r="Z23" s="1812">
        <f>Q23</f>
        <v>111</v>
      </c>
      <c r="AA23" s="1809">
        <f t="shared" si="3"/>
        <v>1</v>
      </c>
      <c r="AB23" s="1809">
        <f t="shared" si="4"/>
        <v>1</v>
      </c>
      <c r="AC23" s="1809">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248"/>
      <c r="Q24" s="1808">
        <f t="shared" ref="Q24:Q34" si="11">B24</f>
        <v>111</v>
      </c>
      <c r="R24" s="772" t="s">
        <v>17</v>
      </c>
      <c r="S24" s="773">
        <f>F24</f>
        <v>100</v>
      </c>
      <c r="T24" s="772" t="s">
        <v>17</v>
      </c>
      <c r="U24" s="773">
        <f>H24</f>
        <v>100</v>
      </c>
      <c r="V24" s="772" t="s">
        <v>17</v>
      </c>
      <c r="W24" s="773">
        <f>J24</f>
        <v>100</v>
      </c>
      <c r="X24" s="1811"/>
      <c r="Y24" s="3248"/>
      <c r="Z24" s="1812">
        <f>Q24</f>
        <v>111</v>
      </c>
      <c r="AA24" s="1809">
        <f t="shared" si="3"/>
        <v>1</v>
      </c>
      <c r="AB24" s="1809">
        <f t="shared" si="4"/>
        <v>1</v>
      </c>
      <c r="AC24" s="1809">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31"/>
      <c r="M25" s="1132"/>
      <c r="N25" s="1132"/>
      <c r="O25" s="1133"/>
      <c r="P25" s="3248"/>
      <c r="Q25" s="1793">
        <f t="shared" si="11"/>
        <v>111</v>
      </c>
      <c r="R25" s="768" t="s">
        <v>17</v>
      </c>
      <c r="S25" s="769">
        <f>F25</f>
        <v>100</v>
      </c>
      <c r="T25" s="768" t="s">
        <v>17</v>
      </c>
      <c r="U25" s="769">
        <f>H25</f>
        <v>100</v>
      </c>
      <c r="V25" s="768" t="s">
        <v>17</v>
      </c>
      <c r="W25" s="769">
        <f>J25</f>
        <v>100</v>
      </c>
      <c r="X25" s="770"/>
      <c r="Y25" s="3248"/>
      <c r="Z25" s="55">
        <f>Q25</f>
        <v>111</v>
      </c>
      <c r="AA25" s="1809">
        <f>D25/F25</f>
        <v>1</v>
      </c>
      <c r="AB25" s="1809">
        <f>D25/H25</f>
        <v>1</v>
      </c>
      <c r="AC25" s="1809">
        <f>D25/J25</f>
        <v>1</v>
      </c>
    </row>
    <row r="26" spans="1:29" ht="28.5">
      <c r="A26" s="464" t="s">
        <v>2556</v>
      </c>
      <c r="B26" s="71" t="s">
        <v>2707</v>
      </c>
      <c r="C26" s="2670"/>
      <c r="D26" s="465">
        <v>100</v>
      </c>
      <c r="E26" s="2670"/>
      <c r="F26" s="665">
        <f>SUMIF(77:77,E26,78:78)-SUMIF(77:77,C26,78:78)+100</f>
        <v>100</v>
      </c>
      <c r="G26" s="2670"/>
      <c r="H26" s="465">
        <f>SUMIF(77:77,G26,78:78)-SUMIF(77:77,C26,78:78)+100</f>
        <v>100</v>
      </c>
      <c r="I26" s="2670"/>
      <c r="J26" s="465">
        <f>SUMIF(77:77,I26,78:78)-SUMIF(77:77,C26,78:78)+100</f>
        <v>100</v>
      </c>
      <c r="K26" s="610"/>
      <c r="L26" s="1139"/>
      <c r="M26" s="1130"/>
      <c r="N26" s="1130"/>
      <c r="O26" s="1138"/>
      <c r="P26" s="3249" t="s">
        <v>2558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50" t="s">
        <v>2558</v>
      </c>
      <c r="Z26" s="1812" t="str">
        <f t="shared" ref="Z26:Z34" si="15">Q26</f>
        <v>公共部分装修</v>
      </c>
      <c r="AA26" s="1809">
        <f t="shared" si="3"/>
        <v>1</v>
      </c>
      <c r="AB26" s="1809">
        <f t="shared" si="4"/>
        <v>1</v>
      </c>
      <c r="AC26" s="1809">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250"/>
      <c r="Q27" s="774" t="str">
        <f t="shared" si="11"/>
        <v>成新率</v>
      </c>
      <c r="R27" s="775" t="s">
        <v>17</v>
      </c>
      <c r="S27" s="776" t="e">
        <f t="shared" si="12"/>
        <v>#N/A</v>
      </c>
      <c r="T27" s="775" t="s">
        <v>17</v>
      </c>
      <c r="U27" s="776" t="e">
        <f t="shared" si="13"/>
        <v>#N/A</v>
      </c>
      <c r="V27" s="775" t="s">
        <v>17</v>
      </c>
      <c r="W27" s="776" t="e">
        <f t="shared" si="14"/>
        <v>#N/A</v>
      </c>
      <c r="X27" s="777"/>
      <c r="Y27" s="3250"/>
      <c r="Z27" s="778" t="str">
        <f t="shared" si="15"/>
        <v>成新率</v>
      </c>
      <c r="AA27" s="1809" t="e">
        <f t="shared" si="3"/>
        <v>#N/A</v>
      </c>
      <c r="AB27" s="1809" t="e">
        <f t="shared" si="4"/>
        <v>#N/A</v>
      </c>
      <c r="AC27" s="1809"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250"/>
      <c r="Q28" s="1808" t="str">
        <f t="shared" si="11"/>
        <v>物业等级</v>
      </c>
      <c r="R28" s="772" t="s">
        <v>17</v>
      </c>
      <c r="S28" s="773">
        <f t="shared" si="12"/>
        <v>100</v>
      </c>
      <c r="T28" s="772" t="s">
        <v>17</v>
      </c>
      <c r="U28" s="773">
        <f t="shared" si="13"/>
        <v>100</v>
      </c>
      <c r="V28" s="772" t="s">
        <v>17</v>
      </c>
      <c r="W28" s="773">
        <f t="shared" si="14"/>
        <v>100</v>
      </c>
      <c r="X28" s="1811"/>
      <c r="Y28" s="3250"/>
      <c r="Z28" s="1812" t="str">
        <f t="shared" si="15"/>
        <v>物业等级</v>
      </c>
      <c r="AA28" s="1809">
        <f t="shared" si="3"/>
        <v>1</v>
      </c>
      <c r="AB28" s="1809">
        <f t="shared" si="4"/>
        <v>1</v>
      </c>
      <c r="AC28" s="1809">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250"/>
      <c r="Q29" s="1808" t="str">
        <f t="shared" si="11"/>
        <v>有无电梯</v>
      </c>
      <c r="R29" s="772" t="s">
        <v>17</v>
      </c>
      <c r="S29" s="773">
        <f t="shared" si="12"/>
        <v>100</v>
      </c>
      <c r="T29" s="772" t="s">
        <v>17</v>
      </c>
      <c r="U29" s="773">
        <f t="shared" si="13"/>
        <v>100</v>
      </c>
      <c r="V29" s="772" t="s">
        <v>17</v>
      </c>
      <c r="W29" s="773">
        <f t="shared" si="14"/>
        <v>100</v>
      </c>
      <c r="X29" s="1811"/>
      <c r="Y29" s="3250"/>
      <c r="Z29" s="1812" t="str">
        <f t="shared" si="15"/>
        <v>有无电梯</v>
      </c>
      <c r="AA29" s="1809">
        <f t="shared" si="3"/>
        <v>1</v>
      </c>
      <c r="AB29" s="1809">
        <f t="shared" si="4"/>
        <v>1</v>
      </c>
      <c r="AC29" s="1809">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250"/>
      <c r="Q30" s="1808" t="str">
        <f t="shared" si="11"/>
        <v>建筑面积</v>
      </c>
      <c r="R30" s="772" t="s">
        <v>17</v>
      </c>
      <c r="S30" s="773" t="e">
        <f t="shared" si="12"/>
        <v>#N/A</v>
      </c>
      <c r="T30" s="772" t="s">
        <v>17</v>
      </c>
      <c r="U30" s="773" t="e">
        <f t="shared" si="13"/>
        <v>#N/A</v>
      </c>
      <c r="V30" s="772" t="s">
        <v>17</v>
      </c>
      <c r="W30" s="773" t="e">
        <f t="shared" si="14"/>
        <v>#N/A</v>
      </c>
      <c r="X30" s="1811"/>
      <c r="Y30" s="3250"/>
      <c r="Z30" s="1812" t="str">
        <f t="shared" si="15"/>
        <v>建筑面积</v>
      </c>
      <c r="AA30" s="1809" t="e">
        <f t="shared" si="3"/>
        <v>#N/A</v>
      </c>
      <c r="AB30" s="1809" t="e">
        <f t="shared" si="4"/>
        <v>#N/A</v>
      </c>
      <c r="AC30" s="1809" t="e">
        <f t="shared" si="5"/>
        <v>#N/A</v>
      </c>
    </row>
    <row r="31" spans="1:29" s="116"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250"/>
      <c r="Q31" s="1793" t="str">
        <f t="shared" si="11"/>
        <v>是否封闭</v>
      </c>
      <c r="R31" s="768" t="s">
        <v>17</v>
      </c>
      <c r="S31" s="769">
        <f t="shared" si="12"/>
        <v>100</v>
      </c>
      <c r="T31" s="768" t="s">
        <v>17</v>
      </c>
      <c r="U31" s="769">
        <f t="shared" si="13"/>
        <v>100</v>
      </c>
      <c r="V31" s="768" t="s">
        <v>17</v>
      </c>
      <c r="W31" s="769">
        <f t="shared" si="14"/>
        <v>100</v>
      </c>
      <c r="X31" s="770"/>
      <c r="Y31" s="3250"/>
      <c r="Z31" s="55"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250" t="s">
        <v>2558</v>
      </c>
      <c r="Q32" s="1808">
        <f t="shared" si="11"/>
        <v>111</v>
      </c>
      <c r="R32" s="772" t="s">
        <v>17</v>
      </c>
      <c r="S32" s="773">
        <f t="shared" si="12"/>
        <v>100</v>
      </c>
      <c r="T32" s="772" t="s">
        <v>17</v>
      </c>
      <c r="U32" s="773">
        <f t="shared" si="13"/>
        <v>100</v>
      </c>
      <c r="V32" s="772" t="s">
        <v>17</v>
      </c>
      <c r="W32" s="773">
        <f t="shared" si="14"/>
        <v>100</v>
      </c>
      <c r="X32" s="1811"/>
      <c r="Y32" s="3250" t="s">
        <v>2558</v>
      </c>
      <c r="Z32" s="1812">
        <f t="shared" si="15"/>
        <v>111</v>
      </c>
      <c r="AA32" s="1809">
        <f t="shared" si="3"/>
        <v>1</v>
      </c>
      <c r="AB32" s="1809">
        <f t="shared" si="4"/>
        <v>1</v>
      </c>
      <c r="AC32" s="1809">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250"/>
      <c r="Q33" s="1808">
        <f t="shared" si="11"/>
        <v>111</v>
      </c>
      <c r="R33" s="772" t="s">
        <v>17</v>
      </c>
      <c r="S33" s="773">
        <f t="shared" si="12"/>
        <v>100</v>
      </c>
      <c r="T33" s="772" t="s">
        <v>17</v>
      </c>
      <c r="U33" s="773">
        <f t="shared" si="13"/>
        <v>100</v>
      </c>
      <c r="V33" s="772" t="s">
        <v>17</v>
      </c>
      <c r="W33" s="773">
        <f t="shared" si="14"/>
        <v>100</v>
      </c>
      <c r="X33" s="1811"/>
      <c r="Y33" s="3250"/>
      <c r="Z33" s="1812">
        <f t="shared" si="15"/>
        <v>111</v>
      </c>
      <c r="AA33" s="1809">
        <f t="shared" si="3"/>
        <v>1</v>
      </c>
      <c r="AB33" s="1809">
        <f t="shared" si="4"/>
        <v>1</v>
      </c>
      <c r="AC33" s="1809">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9"/>
      <c r="M34" s="1130"/>
      <c r="N34" s="1130"/>
      <c r="O34" s="1138"/>
      <c r="P34" s="3250"/>
      <c r="Q34" s="1808">
        <f t="shared" si="11"/>
        <v>111</v>
      </c>
      <c r="R34" s="772" t="s">
        <v>17</v>
      </c>
      <c r="S34" s="773">
        <f t="shared" si="12"/>
        <v>100</v>
      </c>
      <c r="T34" s="772" t="s">
        <v>17</v>
      </c>
      <c r="U34" s="773">
        <f t="shared" si="13"/>
        <v>100</v>
      </c>
      <c r="V34" s="772" t="s">
        <v>17</v>
      </c>
      <c r="W34" s="773">
        <f t="shared" si="14"/>
        <v>100</v>
      </c>
      <c r="X34" s="1811"/>
      <c r="Y34" s="3250"/>
      <c r="Z34" s="1812">
        <f t="shared" si="15"/>
        <v>111</v>
      </c>
      <c r="AA34" s="1809">
        <f t="shared" si="3"/>
        <v>1</v>
      </c>
      <c r="AB34" s="1809">
        <f t="shared" si="4"/>
        <v>1</v>
      </c>
      <c r="AC34" s="1809">
        <f t="shared" si="5"/>
        <v>1</v>
      </c>
    </row>
    <row r="35" spans="1:29" ht="15">
      <c r="A35" s="477" t="s">
        <v>2570</v>
      </c>
      <c r="B35" s="478"/>
      <c r="C35" s="1406" t="s">
        <v>1</v>
      </c>
      <c r="D35" s="1407"/>
      <c r="E35" s="1408"/>
      <c r="F35" s="1409"/>
      <c r="G35" s="1410"/>
      <c r="H35" s="1411"/>
      <c r="I35" s="1408"/>
      <c r="J35" s="1411"/>
      <c r="K35" s="781"/>
      <c r="L35" s="1142"/>
      <c r="M35" s="1143"/>
      <c r="N35" s="1130"/>
      <c r="O35" s="1143"/>
      <c r="P35" s="3232" t="str">
        <f>A35</f>
        <v>成交单价（元/平方米）</v>
      </c>
      <c r="Q35" s="3232"/>
      <c r="R35" s="3264">
        <f>E35</f>
        <v>0</v>
      </c>
      <c r="S35" s="3264"/>
      <c r="T35" s="3264">
        <f>G35</f>
        <v>0</v>
      </c>
      <c r="U35" s="3264"/>
      <c r="V35" s="3264">
        <f>I35</f>
        <v>0</v>
      </c>
      <c r="W35" s="3264"/>
      <c r="X35" s="757"/>
      <c r="Y35" s="779"/>
      <c r="Z35" s="757"/>
      <c r="AA35" s="757"/>
      <c r="AB35" s="757"/>
      <c r="AC35" s="757"/>
    </row>
    <row r="36" spans="1:29" ht="15.75" thickBot="1">
      <c r="A36" s="484" t="s">
        <v>2662</v>
      </c>
      <c r="B36" s="485"/>
      <c r="C36" s="1412" t="e">
        <f>R37</f>
        <v>#DIV/0!</v>
      </c>
      <c r="D36" s="1413"/>
      <c r="E36" s="1414" t="e">
        <f>R36</f>
        <v>#DIV/0!</v>
      </c>
      <c r="F36" s="1414"/>
      <c r="G36" s="1412" t="e">
        <f>T36</f>
        <v>#DIV/0!</v>
      </c>
      <c r="H36" s="1413"/>
      <c r="I36" s="1414" t="e">
        <f>V36</f>
        <v>#DIV/0!</v>
      </c>
      <c r="J36" s="1413"/>
      <c r="K36" s="782"/>
      <c r="L36" s="1142"/>
      <c r="M36" s="1143"/>
      <c r="N36" s="1130"/>
      <c r="O36" s="1143"/>
      <c r="P36" s="3232" t="str">
        <f>A36</f>
        <v>比较价值（元/平方米）</v>
      </c>
      <c r="Q36" s="3232"/>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7"/>
      <c r="Y36" s="757"/>
      <c r="Z36" s="757"/>
      <c r="AA36" s="757"/>
      <c r="AB36" s="757"/>
      <c r="AC36" s="757"/>
    </row>
    <row r="37" spans="1:29" ht="15.75" thickBot="1">
      <c r="A37" s="490" t="s">
        <v>2663</v>
      </c>
      <c r="B37" s="491"/>
      <c r="C37" s="1416" t="e">
        <f>R37</f>
        <v>#DIV/0!</v>
      </c>
      <c r="D37" s="1416"/>
      <c r="E37" s="1416"/>
      <c r="F37" s="1416"/>
      <c r="G37" s="1416"/>
      <c r="H37" s="1416"/>
      <c r="I37" s="1416"/>
      <c r="J37" s="1416"/>
      <c r="K37" s="783"/>
      <c r="L37" s="1142"/>
      <c r="M37" s="1143"/>
      <c r="N37" s="1143"/>
      <c r="O37" s="1143"/>
      <c r="P37" s="3252" t="str">
        <f>A37</f>
        <v>估价对象XX用房的比较价值（楼面单价，元/平方米）</v>
      </c>
      <c r="Q37" s="3253"/>
      <c r="R37" s="3263" t="e">
        <f>IF(F1="售价",ROUND(AVERAGE(R36:V36),0),ROUND(AVERAGE(R36:V36),1))</f>
        <v>#DIV/0!</v>
      </c>
      <c r="S37" s="3263"/>
      <c r="T37" s="3263"/>
      <c r="U37" s="3263"/>
      <c r="V37" s="3263"/>
      <c r="W37" s="3263"/>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1" t="s">
        <v>2667</v>
      </c>
      <c r="B45" s="757"/>
      <c r="C45" s="762"/>
      <c r="D45" s="762"/>
      <c r="E45" s="762"/>
      <c r="F45" s="763"/>
      <c r="G45" s="763"/>
      <c r="H45" s="762"/>
      <c r="I45" s="762"/>
      <c r="J45" s="762"/>
      <c r="K45" s="764"/>
      <c r="L45" s="765"/>
      <c r="M45" s="762"/>
      <c r="N45" s="762"/>
      <c r="O45" s="762"/>
      <c r="P45" s="501"/>
      <c r="Q45" s="502"/>
    </row>
    <row r="46" spans="1:29" s="506" customFormat="1" ht="15">
      <c r="A46" s="503" t="s">
        <v>2541</v>
      </c>
      <c r="B46" s="504"/>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2578</v>
      </c>
      <c r="B48" s="514"/>
      <c r="C48" s="515"/>
      <c r="D48" s="516"/>
      <c r="E48" s="516"/>
      <c r="F48" s="516"/>
      <c r="G48" s="516"/>
      <c r="H48" s="516"/>
      <c r="I48" s="516"/>
      <c r="J48" s="516"/>
      <c r="K48" s="516"/>
      <c r="L48" s="516"/>
      <c r="M48" s="517"/>
      <c r="N48" s="516"/>
      <c r="O48" s="518"/>
      <c r="P48" s="502"/>
      <c r="Q48" s="502"/>
    </row>
    <row r="49" spans="1:17" s="116" customFormat="1" ht="15">
      <c r="A49" s="519" t="s">
        <v>2543</v>
      </c>
      <c r="B49" s="508"/>
      <c r="C49" s="520" t="s">
        <v>2645</v>
      </c>
      <c r="D49" s="521"/>
      <c r="E49" s="521"/>
      <c r="F49" s="521"/>
      <c r="G49" s="521"/>
      <c r="H49" s="521"/>
      <c r="I49" s="521"/>
      <c r="J49" s="521"/>
      <c r="K49" s="521"/>
      <c r="L49" s="522"/>
      <c r="M49" s="523"/>
      <c r="N49" s="1150"/>
      <c r="O49" s="1150"/>
      <c r="P49" s="524"/>
      <c r="Q49" s="502"/>
    </row>
    <row r="50" spans="1:17" s="116"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2581</v>
      </c>
      <c r="B51" s="526" t="s">
        <v>2547</v>
      </c>
      <c r="C51" s="527">
        <f>C9</f>
        <v>0</v>
      </c>
      <c r="D51" s="528"/>
      <c r="E51" s="528"/>
      <c r="F51" s="528"/>
      <c r="G51" s="528"/>
      <c r="H51" s="528"/>
      <c r="I51" s="528"/>
      <c r="J51" s="528"/>
      <c r="K51" s="529"/>
      <c r="L51" s="530"/>
      <c r="M51" s="531"/>
      <c r="N51" s="1151"/>
      <c r="O51" s="1151"/>
      <c r="P51" s="45"/>
      <c r="Q51" s="502"/>
    </row>
    <row r="52" spans="1:17" ht="15.75" thickBot="1">
      <c r="A52" s="532"/>
      <c r="B52" s="533"/>
      <c r="C52" s="534">
        <v>100</v>
      </c>
      <c r="D52" s="534"/>
      <c r="E52" s="534"/>
      <c r="F52" s="534"/>
      <c r="G52" s="534"/>
      <c r="H52" s="534"/>
      <c r="I52" s="534"/>
      <c r="J52" s="534"/>
      <c r="K52" s="534"/>
      <c r="L52" s="534"/>
      <c r="M52" s="535"/>
      <c r="N52" s="1152"/>
      <c r="O52" s="1152"/>
      <c r="P52" s="45"/>
      <c r="Q52" s="502"/>
    </row>
    <row r="53" spans="1:17" ht="27.75" thickTop="1">
      <c r="A53" s="532"/>
      <c r="B53" s="536" t="s">
        <v>2550</v>
      </c>
      <c r="C53" s="537" t="s">
        <v>2582</v>
      </c>
      <c r="D53" s="537" t="s">
        <v>2583</v>
      </c>
      <c r="E53" s="537" t="s">
        <v>2584</v>
      </c>
      <c r="F53" s="537" t="s">
        <v>2585</v>
      </c>
      <c r="G53" s="537" t="s">
        <v>2586</v>
      </c>
      <c r="H53" s="537" t="s">
        <v>2587</v>
      </c>
      <c r="I53" s="537" t="s">
        <v>2588</v>
      </c>
      <c r="J53" s="537"/>
      <c r="K53" s="538"/>
      <c r="L53" s="539"/>
      <c r="M53" s="540"/>
      <c r="N53" s="1151"/>
      <c r="O53" s="1151"/>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5"/>
      <c r="Q54" s="502"/>
    </row>
    <row r="55" spans="1:17" ht="15.75" thickTop="1">
      <c r="A55" s="532"/>
      <c r="B55" s="658">
        <f>B11</f>
        <v>111</v>
      </c>
      <c r="C55" s="547"/>
      <c r="D55" s="547"/>
      <c r="E55" s="547"/>
      <c r="F55" s="547"/>
      <c r="G55" s="547"/>
      <c r="H55" s="547"/>
      <c r="I55" s="547"/>
      <c r="J55" s="547"/>
      <c r="K55" s="548"/>
      <c r="L55" s="549"/>
      <c r="M55" s="550"/>
      <c r="N55" s="1151"/>
      <c r="O55" s="1151"/>
      <c r="P55" s="45"/>
      <c r="Q55" s="502"/>
    </row>
    <row r="56" spans="1:17" ht="15.75" thickBot="1">
      <c r="A56" s="532"/>
      <c r="B56" s="533"/>
      <c r="C56" s="558"/>
      <c r="D56" s="534"/>
      <c r="E56" s="534"/>
      <c r="F56" s="534"/>
      <c r="G56" s="534"/>
      <c r="H56" s="534"/>
      <c r="I56" s="534"/>
      <c r="J56" s="534"/>
      <c r="K56" s="534"/>
      <c r="L56" s="534"/>
      <c r="M56" s="535"/>
      <c r="N56" s="1152"/>
      <c r="O56" s="1152"/>
      <c r="P56" s="45"/>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5"/>
      <c r="Q62" s="502"/>
    </row>
    <row r="63" spans="1:17" ht="27.75" thickTop="1">
      <c r="A63" s="532"/>
      <c r="B63" s="536" t="s">
        <v>2733</v>
      </c>
      <c r="C63" s="576" t="s">
        <v>2590</v>
      </c>
      <c r="D63" s="576" t="s">
        <v>2591</v>
      </c>
      <c r="E63" s="576" t="s">
        <v>2592</v>
      </c>
      <c r="F63" s="576" t="s">
        <v>2593</v>
      </c>
      <c r="G63" s="576" t="s">
        <v>2594</v>
      </c>
      <c r="H63" s="537"/>
      <c r="I63" s="537"/>
      <c r="J63" s="537"/>
      <c r="K63" s="538"/>
      <c r="L63" s="539"/>
      <c r="M63" s="540"/>
      <c r="N63" s="1151"/>
      <c r="O63" s="1151"/>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5"/>
      <c r="Q64" s="502"/>
    </row>
    <row r="65" spans="1:17" ht="15.75" thickTop="1">
      <c r="A65" s="532"/>
      <c r="B65" s="544" t="s">
        <v>2682</v>
      </c>
      <c r="C65" s="658" t="s">
        <v>2668</v>
      </c>
      <c r="D65" s="658" t="s">
        <v>2669</v>
      </c>
      <c r="E65" s="658" t="s">
        <v>2670</v>
      </c>
      <c r="F65" s="658" t="s">
        <v>2671</v>
      </c>
      <c r="G65" s="658" t="s">
        <v>2672</v>
      </c>
      <c r="H65" s="537"/>
      <c r="I65" s="537"/>
      <c r="J65" s="537"/>
      <c r="K65" s="537"/>
      <c r="L65" s="537"/>
      <c r="M65" s="1381"/>
      <c r="N65" s="1152"/>
      <c r="O65" s="1152"/>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5"/>
      <c r="Q66" s="502"/>
    </row>
    <row r="67" spans="1:17" ht="15.75" thickTop="1">
      <c r="A67" s="532"/>
      <c r="B67" s="536" t="s">
        <v>2602</v>
      </c>
      <c r="C67" s="576" t="s">
        <v>2590</v>
      </c>
      <c r="D67" s="576" t="s">
        <v>2591</v>
      </c>
      <c r="E67" s="576" t="s">
        <v>2592</v>
      </c>
      <c r="F67" s="576" t="s">
        <v>2593</v>
      </c>
      <c r="G67" s="576" t="s">
        <v>2594</v>
      </c>
      <c r="H67" s="537"/>
      <c r="I67" s="537"/>
      <c r="J67" s="537"/>
      <c r="K67" s="538"/>
      <c r="L67" s="539"/>
      <c r="M67" s="540"/>
      <c r="N67" s="1151"/>
      <c r="O67" s="1151"/>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5"/>
      <c r="Q68" s="502"/>
    </row>
    <row r="69" spans="1:17" ht="15.75" thickTop="1">
      <c r="A69" s="532"/>
      <c r="B69" s="536" t="s">
        <v>2722</v>
      </c>
      <c r="C69" s="552"/>
      <c r="D69" s="552"/>
      <c r="E69" s="552"/>
      <c r="F69" s="552"/>
      <c r="G69" s="552"/>
      <c r="H69" s="581"/>
      <c r="I69" s="581"/>
      <c r="J69" s="581"/>
      <c r="K69" s="582"/>
      <c r="L69" s="583"/>
      <c r="M69" s="584"/>
      <c r="N69" s="1151"/>
      <c r="O69" s="1151"/>
      <c r="P69" s="45"/>
      <c r="Q69" s="502"/>
    </row>
    <row r="70" spans="1:17" ht="15.75" thickBot="1">
      <c r="A70" s="532"/>
      <c r="B70" s="541"/>
      <c r="C70" s="542">
        <v>100</v>
      </c>
      <c r="D70" s="542">
        <f>C70-$K22</f>
        <v>100</v>
      </c>
      <c r="E70" s="542"/>
      <c r="F70" s="542"/>
      <c r="G70" s="542"/>
      <c r="H70" s="542"/>
      <c r="I70" s="542"/>
      <c r="J70" s="542"/>
      <c r="K70" s="542"/>
      <c r="L70" s="542"/>
      <c r="M70" s="543"/>
      <c r="N70" s="1152"/>
      <c r="O70" s="1152"/>
      <c r="P70" s="45"/>
      <c r="Q70" s="502"/>
    </row>
    <row r="71" spans="1:17" s="116" customFormat="1" ht="15.75" thickTop="1">
      <c r="A71" s="577"/>
      <c r="B71" s="536">
        <f>B23</f>
        <v>111</v>
      </c>
      <c r="C71" s="547"/>
      <c r="D71" s="547"/>
      <c r="E71" s="547"/>
      <c r="F71" s="547"/>
      <c r="G71" s="552"/>
      <c r="H71" s="552"/>
      <c r="I71" s="552"/>
      <c r="J71" s="552"/>
      <c r="K71" s="552"/>
      <c r="L71" s="578"/>
      <c r="M71" s="579"/>
      <c r="N71" s="1150"/>
      <c r="O71" s="1150"/>
      <c r="P71" s="45"/>
      <c r="Q71" s="502"/>
    </row>
    <row r="72" spans="1:17" s="116" customFormat="1" ht="15.75" thickBot="1">
      <c r="A72" s="577"/>
      <c r="B72" s="541"/>
      <c r="C72" s="558"/>
      <c r="D72" s="534"/>
      <c r="E72" s="534"/>
      <c r="F72" s="534"/>
      <c r="G72" s="534"/>
      <c r="H72" s="534"/>
      <c r="I72" s="534"/>
      <c r="J72" s="534"/>
      <c r="K72" s="534"/>
      <c r="L72" s="534"/>
      <c r="M72" s="535"/>
      <c r="N72" s="1152"/>
      <c r="O72" s="1152"/>
      <c r="P72" s="45"/>
      <c r="Q72" s="502"/>
    </row>
    <row r="73" spans="1:17" s="116" customFormat="1" ht="15.75" thickTop="1">
      <c r="A73" s="577"/>
      <c r="B73" s="536">
        <f>B24</f>
        <v>111</v>
      </c>
      <c r="C73" s="547"/>
      <c r="D73" s="547"/>
      <c r="E73" s="547"/>
      <c r="F73" s="547"/>
      <c r="G73" s="552"/>
      <c r="H73" s="552"/>
      <c r="I73" s="552"/>
      <c r="J73" s="552"/>
      <c r="K73" s="552"/>
      <c r="L73" s="552"/>
      <c r="M73" s="579"/>
      <c r="N73" s="1150"/>
      <c r="O73" s="1150"/>
      <c r="P73" s="45"/>
      <c r="Q73" s="502"/>
    </row>
    <row r="74" spans="1:17" s="116" customFormat="1" ht="15.75" thickBot="1">
      <c r="A74" s="577"/>
      <c r="B74" s="541"/>
      <c r="C74" s="558"/>
      <c r="D74" s="534"/>
      <c r="E74" s="534"/>
      <c r="F74" s="534"/>
      <c r="G74" s="534"/>
      <c r="H74" s="534"/>
      <c r="I74" s="534"/>
      <c r="J74" s="534"/>
      <c r="K74" s="534"/>
      <c r="L74" s="534"/>
      <c r="M74" s="535"/>
      <c r="N74" s="1152"/>
      <c r="O74" s="1152"/>
      <c r="P74" s="45"/>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2556</v>
      </c>
      <c r="B77" s="526" t="s">
        <v>2609</v>
      </c>
      <c r="C77" s="552"/>
      <c r="D77" s="552"/>
      <c r="E77" s="528"/>
      <c r="F77" s="528"/>
      <c r="G77" s="528"/>
      <c r="H77" s="528"/>
      <c r="I77" s="528"/>
      <c r="J77" s="528"/>
      <c r="K77" s="529"/>
      <c r="L77" s="530"/>
      <c r="M77" s="531"/>
      <c r="N77" s="1151"/>
      <c r="O77" s="1151"/>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5"/>
      <c r="Q79" s="502"/>
    </row>
    <row r="80" spans="1:17" ht="15">
      <c r="A80" s="532"/>
      <c r="B80" s="544"/>
      <c r="C80" s="601">
        <v>0.5</v>
      </c>
      <c r="D80" s="601">
        <v>0.6</v>
      </c>
      <c r="E80" s="601">
        <v>0.7</v>
      </c>
      <c r="F80" s="601">
        <v>0.8</v>
      </c>
      <c r="G80" s="601">
        <v>0.9</v>
      </c>
      <c r="H80" s="601">
        <v>1.0001</v>
      </c>
      <c r="I80" s="658"/>
      <c r="J80" s="658"/>
      <c r="K80" s="666"/>
      <c r="L80" s="667"/>
      <c r="M80" s="668"/>
      <c r="N80" s="1150"/>
      <c r="O80" s="1150"/>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2726</v>
      </c>
      <c r="C82" s="552"/>
      <c r="D82" s="552"/>
      <c r="E82" s="581"/>
      <c r="F82" s="581"/>
      <c r="G82" s="581"/>
      <c r="H82" s="581"/>
      <c r="I82" s="581"/>
      <c r="J82" s="581"/>
      <c r="K82" s="582"/>
      <c r="L82" s="583"/>
      <c r="M82" s="584"/>
      <c r="N82" s="1151"/>
      <c r="O82" s="1151"/>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5"/>
      <c r="Q83" s="502"/>
    </row>
    <row r="84" spans="1:17" ht="15" thickTop="1">
      <c r="A84" s="597"/>
      <c r="B84" s="536" t="s">
        <v>2734</v>
      </c>
      <c r="C84" s="552"/>
      <c r="D84" s="552"/>
      <c r="E84" s="552"/>
      <c r="F84" s="552"/>
      <c r="G84" s="552"/>
      <c r="H84" s="552"/>
      <c r="I84" s="581"/>
      <c r="J84" s="581"/>
      <c r="K84" s="582"/>
      <c r="L84" s="583"/>
      <c r="M84" s="584"/>
      <c r="N84" s="1151"/>
      <c r="O84" s="1151"/>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5"/>
      <c r="Q86" s="502"/>
    </row>
    <row r="87" spans="1:17">
      <c r="A87" s="597"/>
      <c r="B87" s="544"/>
      <c r="C87" s="593"/>
      <c r="D87" s="593"/>
      <c r="E87" s="593"/>
      <c r="F87" s="593"/>
      <c r="G87" s="593"/>
      <c r="H87" s="593"/>
      <c r="I87" s="593"/>
      <c r="J87" s="594"/>
      <c r="K87" s="594"/>
      <c r="L87" s="595"/>
      <c r="M87" s="596"/>
      <c r="N87" s="1151"/>
      <c r="O87" s="1151"/>
      <c r="P87" s="45"/>
      <c r="Q87" s="502"/>
    </row>
    <row r="88" spans="1:17" ht="15.75" thickBot="1">
      <c r="A88" s="532"/>
      <c r="B88" s="541"/>
      <c r="C88" s="558"/>
      <c r="D88" s="534"/>
      <c r="E88" s="534"/>
      <c r="F88" s="534"/>
      <c r="G88" s="534"/>
      <c r="H88" s="534"/>
      <c r="I88" s="534"/>
      <c r="J88" s="534"/>
      <c r="K88" s="534"/>
      <c r="L88" s="534"/>
      <c r="M88" s="534"/>
      <c r="N88" s="1152"/>
      <c r="O88" s="1152"/>
      <c r="P88" s="45"/>
      <c r="Q88" s="502"/>
    </row>
    <row r="89" spans="1:17" s="469" customFormat="1" ht="15" thickTop="1">
      <c r="A89" s="591"/>
      <c r="B89" s="536" t="s">
        <v>2736</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5"/>
      <c r="Q91" s="502"/>
    </row>
    <row r="92" spans="1:17" ht="15.75" thickBot="1">
      <c r="A92" s="532"/>
      <c r="B92" s="541"/>
      <c r="C92" s="558"/>
      <c r="D92" s="534"/>
      <c r="E92" s="534"/>
      <c r="F92" s="534"/>
      <c r="G92" s="558"/>
      <c r="H92" s="560"/>
      <c r="I92" s="560"/>
      <c r="J92" s="560"/>
      <c r="K92" s="560"/>
      <c r="L92" s="560"/>
      <c r="M92" s="561"/>
      <c r="N92" s="1152"/>
      <c r="O92" s="1152"/>
      <c r="P92" s="45"/>
      <c r="Q92" s="502"/>
    </row>
    <row r="93" spans="1:17" ht="15" thickTop="1">
      <c r="A93" s="597"/>
      <c r="B93" s="536">
        <f>B33</f>
        <v>111</v>
      </c>
      <c r="C93" s="547"/>
      <c r="D93" s="547"/>
      <c r="E93" s="547"/>
      <c r="F93" s="547"/>
      <c r="G93" s="552"/>
      <c r="H93" s="553"/>
      <c r="I93" s="553"/>
      <c r="J93" s="553"/>
      <c r="K93" s="553"/>
      <c r="L93" s="554"/>
      <c r="M93" s="555"/>
      <c r="N93" s="1151"/>
      <c r="O93" s="1151"/>
      <c r="P93" s="45"/>
      <c r="Q93" s="502"/>
    </row>
    <row r="94" spans="1:17" ht="15.75" thickBot="1">
      <c r="A94" s="532"/>
      <c r="B94" s="541"/>
      <c r="C94" s="558"/>
      <c r="D94" s="534"/>
      <c r="E94" s="534"/>
      <c r="F94" s="534"/>
      <c r="G94" s="558"/>
      <c r="H94" s="560"/>
      <c r="I94" s="560"/>
      <c r="J94" s="560"/>
      <c r="K94" s="560"/>
      <c r="L94" s="560"/>
      <c r="M94" s="561"/>
      <c r="N94" s="1152"/>
      <c r="O94" s="1152"/>
      <c r="P94" s="45"/>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5"/>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2638</v>
      </c>
      <c r="B4" s="400"/>
      <c r="C4" s="3233" t="s">
        <v>2639</v>
      </c>
      <c r="D4" s="3234"/>
      <c r="E4" s="3235" t="s">
        <v>2640</v>
      </c>
      <c r="F4" s="3236"/>
      <c r="G4" s="3233" t="s">
        <v>2641</v>
      </c>
      <c r="H4" s="3234"/>
      <c r="I4" s="3233" t="s">
        <v>2642</v>
      </c>
      <c r="J4" s="3234"/>
      <c r="K4" s="608" t="s">
        <v>2643</v>
      </c>
      <c r="L4" s="1129"/>
      <c r="M4" s="1130"/>
      <c r="N4" s="1130"/>
      <c r="O4" s="1130"/>
      <c r="P4" s="3237" t="s">
        <v>2644</v>
      </c>
      <c r="Q4" s="3238"/>
      <c r="R4" s="3220" t="s">
        <v>2640</v>
      </c>
      <c r="S4" s="3221"/>
      <c r="T4" s="3220" t="s">
        <v>2641</v>
      </c>
      <c r="U4" s="3221"/>
      <c r="V4" s="3245" t="s">
        <v>2642</v>
      </c>
      <c r="W4" s="3245"/>
      <c r="X4" s="1811"/>
      <c r="Y4" s="3220" t="s">
        <v>2644</v>
      </c>
      <c r="Z4" s="3221"/>
      <c r="AA4" s="3215" t="s">
        <v>2640</v>
      </c>
      <c r="AB4" s="3216" t="s">
        <v>2641</v>
      </c>
      <c r="AC4" s="3215" t="s">
        <v>2642</v>
      </c>
    </row>
    <row r="5" spans="1:29" ht="15">
      <c r="A5" s="402"/>
      <c r="B5" s="403"/>
      <c r="C5" s="3226" t="s">
        <v>2535</v>
      </c>
      <c r="D5" s="3227"/>
      <c r="E5" s="3224" t="s">
        <v>2536</v>
      </c>
      <c r="F5" s="3225"/>
      <c r="G5" s="3226" t="s">
        <v>2537</v>
      </c>
      <c r="H5" s="3227"/>
      <c r="I5" s="3226" t="s">
        <v>2538</v>
      </c>
      <c r="J5" s="3227"/>
      <c r="K5" s="608"/>
      <c r="L5" s="1129"/>
      <c r="M5" s="1130"/>
      <c r="N5" s="1130"/>
      <c r="O5" s="1130"/>
      <c r="P5" s="3239"/>
      <c r="Q5" s="3240"/>
      <c r="R5" s="3222"/>
      <c r="S5" s="3223"/>
      <c r="T5" s="3222"/>
      <c r="U5" s="3223"/>
      <c r="V5" s="3245"/>
      <c r="W5" s="3245"/>
      <c r="X5" s="1811"/>
      <c r="Y5" s="3222"/>
      <c r="Z5" s="3223"/>
      <c r="AA5" s="3216"/>
      <c r="AB5" s="3216"/>
      <c r="AC5" s="3216"/>
    </row>
    <row r="6" spans="1:29" ht="15.75" thickBot="1">
      <c r="A6" s="404"/>
      <c r="B6" s="405"/>
      <c r="C6" s="3313" t="s">
        <v>2790</v>
      </c>
      <c r="D6" s="3314"/>
      <c r="E6" s="3315" t="s">
        <v>2790</v>
      </c>
      <c r="F6" s="3316"/>
      <c r="G6" s="3313" t="s">
        <v>2790</v>
      </c>
      <c r="H6" s="3314"/>
      <c r="I6" s="3313" t="s">
        <v>2790</v>
      </c>
      <c r="J6" s="3314"/>
      <c r="K6" s="608" t="s">
        <v>2540</v>
      </c>
      <c r="L6" s="1129"/>
      <c r="M6" s="1130"/>
      <c r="N6" s="1130"/>
      <c r="O6" s="1130"/>
      <c r="P6" s="3241"/>
      <c r="Q6" s="3242"/>
      <c r="R6" s="3222"/>
      <c r="S6" s="3223"/>
      <c r="T6" s="3243"/>
      <c r="U6" s="3244"/>
      <c r="V6" s="3245"/>
      <c r="W6" s="3245"/>
      <c r="X6" s="1811"/>
      <c r="Y6" s="3243"/>
      <c r="Z6" s="3244"/>
      <c r="AA6" s="3217"/>
      <c r="AB6" s="3217"/>
      <c r="AC6" s="3217"/>
    </row>
    <row r="7" spans="1:29" s="116" customFormat="1" ht="15.75" thickBot="1">
      <c r="A7" s="406" t="s">
        <v>2541</v>
      </c>
      <c r="B7" s="407"/>
      <c r="C7" s="408">
        <f>'数据-取费表'!B2</f>
        <v>43493</v>
      </c>
      <c r="D7" s="409">
        <v>100</v>
      </c>
      <c r="E7" s="410"/>
      <c r="F7" s="411">
        <f>SUMIF(65:65,YEAR(E7)&amp;"-"&amp;INT((MONTH(E7)+2)/3),66:66)</f>
        <v>0</v>
      </c>
      <c r="G7" s="2687"/>
      <c r="H7" s="409">
        <f>SUMIF(65:65,YEAR(G7)&amp;"-"&amp;INT((MONTH(G7)+2)/3),66:66)</f>
        <v>0</v>
      </c>
      <c r="I7" s="2687"/>
      <c r="J7" s="409">
        <f>SUMIF(65:65,YEAR(I7)&amp;"-"&amp;INT((MONTH(I7)+2)/3),66:66)</f>
        <v>0</v>
      </c>
      <c r="K7" s="609"/>
      <c r="L7" s="1131"/>
      <c r="M7" s="1132"/>
      <c r="N7" s="1132"/>
      <c r="O7" s="1132"/>
      <c r="P7" s="3218" t="s">
        <v>2542</v>
      </c>
      <c r="Q7" s="3246"/>
      <c r="R7" s="768" t="s">
        <v>17</v>
      </c>
      <c r="S7" s="769">
        <f t="shared" ref="S7:S15" si="0">F7</f>
        <v>0</v>
      </c>
      <c r="T7" s="768" t="s">
        <v>17</v>
      </c>
      <c r="U7" s="769">
        <f t="shared" ref="U7:U15" si="1">H7</f>
        <v>0</v>
      </c>
      <c r="V7" s="768" t="s">
        <v>17</v>
      </c>
      <c r="W7" s="769">
        <f t="shared" ref="W7:W15" si="2">J7</f>
        <v>0</v>
      </c>
      <c r="X7" s="770"/>
      <c r="Y7" s="3218" t="s">
        <v>2542</v>
      </c>
      <c r="Z7" s="3219"/>
      <c r="AA7" s="771" t="e">
        <f>D7/F7</f>
        <v>#DIV/0!</v>
      </c>
      <c r="AB7" s="771" t="e">
        <f>D7/H7</f>
        <v>#DIV/0!</v>
      </c>
      <c r="AC7" s="771" t="e">
        <f>D7/J7</f>
        <v>#DIV/0!</v>
      </c>
    </row>
    <row r="8" spans="1:29" s="116" customFormat="1" ht="15.7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218" t="s">
        <v>2545</v>
      </c>
      <c r="Q8" s="3219"/>
      <c r="R8" s="768" t="s">
        <v>17</v>
      </c>
      <c r="S8" s="769">
        <f t="shared" si="0"/>
        <v>0</v>
      </c>
      <c r="T8" s="768" t="s">
        <v>17</v>
      </c>
      <c r="U8" s="769">
        <f t="shared" si="1"/>
        <v>0</v>
      </c>
      <c r="V8" s="768" t="s">
        <v>17</v>
      </c>
      <c r="W8" s="769">
        <f t="shared" si="2"/>
        <v>0</v>
      </c>
      <c r="X8" s="770"/>
      <c r="Y8" s="3218" t="s">
        <v>2545</v>
      </c>
      <c r="Z8" s="3219"/>
      <c r="AA8" s="771" t="e">
        <f t="shared" ref="AA8:AA40" si="3">D8/F8</f>
        <v>#DIV/0!</v>
      </c>
      <c r="AB8" s="771" t="e">
        <f t="shared" ref="AB8:AB40" si="4">D8/H8</f>
        <v>#DIV/0!</v>
      </c>
      <c r="AC8" s="771" t="e">
        <f t="shared" ref="AC8:AC40" si="5">D8/J8</f>
        <v>#DIV/0!</v>
      </c>
    </row>
    <row r="9" spans="1:29" s="116" customFormat="1">
      <c r="A9" s="413" t="s">
        <v>2546</v>
      </c>
      <c r="B9" s="71" t="s">
        <v>2547</v>
      </c>
      <c r="C9" s="2690"/>
      <c r="D9" s="133">
        <v>100</v>
      </c>
      <c r="E9" s="2690"/>
      <c r="F9" s="133">
        <f>SUMIF(70:70,E9,71:71)-SUMIF(70:70,C9,71:71)+100</f>
        <v>100</v>
      </c>
      <c r="G9" s="2690"/>
      <c r="H9" s="133">
        <f>SUMIF(70:70,G9,71:71)-SUMIF(70:70,C9,71:71)+100</f>
        <v>100</v>
      </c>
      <c r="I9" s="2690"/>
      <c r="J9" s="133">
        <f>SUMIF(70:70,I9,71:71)-SUMIF(70:70,C9,71:71)+100</f>
        <v>100</v>
      </c>
      <c r="K9" s="609"/>
      <c r="L9" s="1131"/>
      <c r="M9" s="1132"/>
      <c r="N9" s="1132"/>
      <c r="O9" s="1133"/>
      <c r="P9" s="3232" t="s">
        <v>2548</v>
      </c>
      <c r="Q9" s="1793" t="str">
        <f t="shared" ref="Q9:Q15" si="6">B9</f>
        <v>用途</v>
      </c>
      <c r="R9" s="768" t="s">
        <v>17</v>
      </c>
      <c r="S9" s="769">
        <f t="shared" si="0"/>
        <v>100</v>
      </c>
      <c r="T9" s="768" t="s">
        <v>17</v>
      </c>
      <c r="U9" s="769">
        <f t="shared" si="1"/>
        <v>100</v>
      </c>
      <c r="V9" s="768" t="s">
        <v>17</v>
      </c>
      <c r="W9" s="769">
        <f t="shared" si="2"/>
        <v>100</v>
      </c>
      <c r="X9" s="770"/>
      <c r="Y9" s="3071" t="s">
        <v>2549</v>
      </c>
      <c r="Z9" s="55" t="str">
        <f t="shared" ref="Z9:Z15" si="7">Q9</f>
        <v>用途</v>
      </c>
      <c r="AA9" s="771">
        <f t="shared" si="3"/>
        <v>1</v>
      </c>
      <c r="AB9" s="771">
        <f t="shared" si="4"/>
        <v>1</v>
      </c>
      <c r="AC9" s="771">
        <f t="shared" si="5"/>
        <v>1</v>
      </c>
    </row>
    <row r="10" spans="1:29" s="425" customFormat="1" ht="27">
      <c r="A10" s="419"/>
      <c r="B10" s="420" t="s">
        <v>2550</v>
      </c>
      <c r="C10" s="430"/>
      <c r="D10" s="134">
        <v>100</v>
      </c>
      <c r="E10" s="430"/>
      <c r="F10" s="134">
        <f>ROUND(100/'数据-取费表'!G16,0)</f>
        <v>102</v>
      </c>
      <c r="G10" s="430"/>
      <c r="H10" s="134">
        <f>ROUND(100/'数据-取费表'!G16,0)</f>
        <v>102</v>
      </c>
      <c r="I10" s="430"/>
      <c r="J10" s="134">
        <f>ROUND(100/'数据-取费表'!G16,0)</f>
        <v>102</v>
      </c>
      <c r="K10" s="670"/>
      <c r="L10" s="1134"/>
      <c r="M10" s="1135"/>
      <c r="N10" s="1135"/>
      <c r="O10" s="1136"/>
      <c r="P10" s="3232"/>
      <c r="Q10" s="1793" t="str">
        <f t="shared" si="6"/>
        <v>土地使用年限（年）</v>
      </c>
      <c r="R10" s="768" t="s">
        <v>17</v>
      </c>
      <c r="S10" s="769">
        <f t="shared" si="0"/>
        <v>102</v>
      </c>
      <c r="T10" s="768" t="s">
        <v>17</v>
      </c>
      <c r="U10" s="769">
        <f t="shared" si="1"/>
        <v>102</v>
      </c>
      <c r="V10" s="768" t="s">
        <v>17</v>
      </c>
      <c r="W10" s="769">
        <f t="shared" si="2"/>
        <v>102</v>
      </c>
      <c r="X10" s="770"/>
      <c r="Y10" s="3071"/>
      <c r="Z10" s="55" t="str">
        <f t="shared" si="7"/>
        <v>土地使用年限（年）</v>
      </c>
      <c r="AA10" s="771">
        <f t="shared" si="3"/>
        <v>0.98039215686274506</v>
      </c>
      <c r="AB10" s="771">
        <f t="shared" si="4"/>
        <v>0.98039215686274506</v>
      </c>
      <c r="AC10" s="771">
        <f t="shared" si="5"/>
        <v>0.98039215686274506</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232"/>
      <c r="Q11" s="1793" t="str">
        <f t="shared" si="6"/>
        <v>容积率</v>
      </c>
      <c r="R11" s="768" t="s">
        <v>17</v>
      </c>
      <c r="S11" s="769" t="e">
        <f t="shared" si="0"/>
        <v>#N/A</v>
      </c>
      <c r="T11" s="768" t="s">
        <v>17</v>
      </c>
      <c r="U11" s="769" t="e">
        <f t="shared" si="1"/>
        <v>#N/A</v>
      </c>
      <c r="V11" s="768" t="s">
        <v>17</v>
      </c>
      <c r="W11" s="769" t="e">
        <f t="shared" si="2"/>
        <v>#N/A</v>
      </c>
      <c r="X11" s="770"/>
      <c r="Y11" s="3071"/>
      <c r="Z11" s="55" t="str">
        <f t="shared" si="7"/>
        <v>容积率</v>
      </c>
      <c r="AA11" s="771" t="e">
        <f t="shared" si="3"/>
        <v>#N/A</v>
      </c>
      <c r="AB11" s="771" t="e">
        <f t="shared" si="4"/>
        <v>#N/A</v>
      </c>
      <c r="AC11" s="771"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232"/>
      <c r="Q12" s="1793">
        <f t="shared" si="6"/>
        <v>111</v>
      </c>
      <c r="R12" s="768" t="s">
        <v>17</v>
      </c>
      <c r="S12" s="769">
        <f t="shared" si="0"/>
        <v>100</v>
      </c>
      <c r="T12" s="768" t="s">
        <v>17</v>
      </c>
      <c r="U12" s="769">
        <f t="shared" si="1"/>
        <v>100</v>
      </c>
      <c r="V12" s="768" t="s">
        <v>17</v>
      </c>
      <c r="W12" s="769">
        <f t="shared" si="2"/>
        <v>100</v>
      </c>
      <c r="X12" s="770"/>
      <c r="Y12" s="3071"/>
      <c r="Z12" s="55">
        <f t="shared" si="7"/>
        <v>111</v>
      </c>
      <c r="AA12" s="771">
        <f>D12/F12</f>
        <v>1</v>
      </c>
      <c r="AB12" s="771">
        <f>D12/H12</f>
        <v>1</v>
      </c>
      <c r="AC12" s="771">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232"/>
      <c r="Q13" s="1793">
        <f t="shared" si="6"/>
        <v>111</v>
      </c>
      <c r="R13" s="768" t="s">
        <v>17</v>
      </c>
      <c r="S13" s="769">
        <f t="shared" si="0"/>
        <v>100</v>
      </c>
      <c r="T13" s="768" t="s">
        <v>17</v>
      </c>
      <c r="U13" s="769">
        <f t="shared" si="1"/>
        <v>100</v>
      </c>
      <c r="V13" s="768" t="s">
        <v>17</v>
      </c>
      <c r="W13" s="769">
        <f t="shared" si="2"/>
        <v>100</v>
      </c>
      <c r="X13" s="770"/>
      <c r="Y13" s="3071"/>
      <c r="Z13" s="55">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232"/>
      <c r="Q14" s="1793">
        <f t="shared" si="6"/>
        <v>111</v>
      </c>
      <c r="R14" s="768" t="s">
        <v>17</v>
      </c>
      <c r="S14" s="769">
        <f t="shared" si="0"/>
        <v>100</v>
      </c>
      <c r="T14" s="768" t="s">
        <v>17</v>
      </c>
      <c r="U14" s="769">
        <f t="shared" si="1"/>
        <v>100</v>
      </c>
      <c r="V14" s="768" t="s">
        <v>17</v>
      </c>
      <c r="W14" s="769">
        <f t="shared" si="2"/>
        <v>100</v>
      </c>
      <c r="X14" s="770"/>
      <c r="Y14" s="3071"/>
      <c r="Z14" s="55">
        <f t="shared" si="7"/>
        <v>111</v>
      </c>
      <c r="AA14" s="771">
        <f t="shared" si="3"/>
        <v>1</v>
      </c>
      <c r="AB14" s="771">
        <f t="shared" si="4"/>
        <v>1</v>
      </c>
      <c r="AC14" s="771">
        <f t="shared" si="5"/>
        <v>1</v>
      </c>
    </row>
    <row r="15" spans="1:29" ht="57">
      <c r="A15" s="438" t="s">
        <v>2552</v>
      </c>
      <c r="B15" s="627" t="s">
        <v>2791</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247" t="s">
        <v>2553</v>
      </c>
      <c r="Q15" s="1808" t="str">
        <f t="shared" si="6"/>
        <v>产业集聚程度</v>
      </c>
      <c r="R15" s="772" t="s">
        <v>17</v>
      </c>
      <c r="S15" s="773">
        <f t="shared" si="0"/>
        <v>100</v>
      </c>
      <c r="T15" s="772" t="s">
        <v>17</v>
      </c>
      <c r="U15" s="773">
        <f t="shared" si="1"/>
        <v>100</v>
      </c>
      <c r="V15" s="772" t="s">
        <v>17</v>
      </c>
      <c r="W15" s="773">
        <f t="shared" si="2"/>
        <v>100</v>
      </c>
      <c r="X15" s="1811"/>
      <c r="Y15" s="3247" t="s">
        <v>2553</v>
      </c>
      <c r="Z15" s="1812" t="str">
        <f t="shared" si="7"/>
        <v>产业集聚程度</v>
      </c>
      <c r="AA15" s="1809">
        <f t="shared" si="3"/>
        <v>1</v>
      </c>
      <c r="AB15" s="1809">
        <f t="shared" si="4"/>
        <v>1</v>
      </c>
      <c r="AC15" s="1809">
        <f t="shared" si="5"/>
        <v>1</v>
      </c>
    </row>
    <row r="16" spans="1:29" ht="15">
      <c r="A16" s="426"/>
      <c r="B16" s="628"/>
      <c r="C16" s="445"/>
      <c r="D16" s="446"/>
      <c r="E16" s="2604"/>
      <c r="F16" s="446"/>
      <c r="G16" s="2604"/>
      <c r="H16" s="448"/>
      <c r="I16" s="2604"/>
      <c r="J16" s="446"/>
      <c r="K16" s="670"/>
      <c r="L16" s="1139"/>
      <c r="M16" s="1130"/>
      <c r="N16" s="1130"/>
      <c r="O16" s="1138"/>
      <c r="P16" s="3248"/>
      <c r="Q16" s="1808"/>
      <c r="R16" s="772"/>
      <c r="S16" s="773"/>
      <c r="T16" s="772"/>
      <c r="U16" s="773"/>
      <c r="V16" s="772"/>
      <c r="W16" s="773"/>
      <c r="X16" s="1811"/>
      <c r="Y16" s="3248"/>
      <c r="Z16" s="1812"/>
      <c r="AA16" s="1809">
        <v>1</v>
      </c>
      <c r="AB16" s="1809">
        <v>1</v>
      </c>
      <c r="AC16" s="1809">
        <v>1</v>
      </c>
    </row>
    <row r="17" spans="1:29" ht="85.5">
      <c r="A17" s="426"/>
      <c r="B17" s="629" t="s">
        <v>2702</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248"/>
      <c r="Q17" s="1808" t="str">
        <f>B17</f>
        <v>交通便捷度</v>
      </c>
      <c r="R17" s="772" t="s">
        <v>17</v>
      </c>
      <c r="S17" s="773">
        <f>F17</f>
        <v>100</v>
      </c>
      <c r="T17" s="772" t="s">
        <v>17</v>
      </c>
      <c r="U17" s="773">
        <f>H17</f>
        <v>100</v>
      </c>
      <c r="V17" s="772" t="s">
        <v>17</v>
      </c>
      <c r="W17" s="773">
        <f>J17</f>
        <v>100</v>
      </c>
      <c r="X17" s="1811"/>
      <c r="Y17" s="3248"/>
      <c r="Z17" s="1812" t="str">
        <f>Q17</f>
        <v>交通便捷度</v>
      </c>
      <c r="AA17" s="1809">
        <f t="shared" si="3"/>
        <v>1</v>
      </c>
      <c r="AB17" s="1809">
        <f t="shared" si="4"/>
        <v>1</v>
      </c>
      <c r="AC17" s="1809">
        <f t="shared" si="5"/>
        <v>1</v>
      </c>
    </row>
    <row r="18" spans="1:29" ht="15">
      <c r="A18" s="426"/>
      <c r="B18" s="630"/>
      <c r="C18" s="445"/>
      <c r="D18" s="446"/>
      <c r="E18" s="2598"/>
      <c r="F18" s="446"/>
      <c r="G18" s="2598"/>
      <c r="H18" s="446"/>
      <c r="I18" s="2597"/>
      <c r="J18" s="446"/>
      <c r="K18" s="670"/>
      <c r="L18" s="1139"/>
      <c r="M18" s="1130"/>
      <c r="N18" s="1130"/>
      <c r="O18" s="1138"/>
      <c r="P18" s="3248"/>
      <c r="Q18" s="1808"/>
      <c r="R18" s="772"/>
      <c r="S18" s="773"/>
      <c r="T18" s="772"/>
      <c r="U18" s="773"/>
      <c r="V18" s="772"/>
      <c r="W18" s="773"/>
      <c r="X18" s="1811"/>
      <c r="Y18" s="3248"/>
      <c r="Z18" s="1812"/>
      <c r="AA18" s="1809">
        <v>1</v>
      </c>
      <c r="AB18" s="1809">
        <v>1</v>
      </c>
      <c r="AC18" s="1809">
        <v>1</v>
      </c>
    </row>
    <row r="19" spans="1:29" ht="15">
      <c r="A19" s="426"/>
      <c r="B19" s="629" t="s">
        <v>2741</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248"/>
      <c r="Q19" s="1808" t="str">
        <f t="shared" ref="Q19:Q33" si="8">B19</f>
        <v>区域土地利用方向</v>
      </c>
      <c r="R19" s="772" t="s">
        <v>17</v>
      </c>
      <c r="S19" s="773">
        <f>F19</f>
        <v>100</v>
      </c>
      <c r="T19" s="772" t="s">
        <v>17</v>
      </c>
      <c r="U19" s="773">
        <f>H19</f>
        <v>100</v>
      </c>
      <c r="V19" s="772" t="s">
        <v>17</v>
      </c>
      <c r="W19" s="773">
        <f>J19</f>
        <v>100</v>
      </c>
      <c r="X19" s="1811"/>
      <c r="Y19" s="3248"/>
      <c r="Z19" s="1812" t="str">
        <f>Q19</f>
        <v>区域土地利用方向</v>
      </c>
      <c r="AA19" s="1809">
        <f t="shared" si="3"/>
        <v>1</v>
      </c>
      <c r="AB19" s="1809">
        <f t="shared" si="4"/>
        <v>1</v>
      </c>
      <c r="AC19" s="1809">
        <f t="shared" si="5"/>
        <v>1</v>
      </c>
    </row>
    <row r="20" spans="1:29" ht="15">
      <c r="A20" s="402"/>
      <c r="B20" s="630"/>
      <c r="C20" s="445"/>
      <c r="D20" s="446"/>
      <c r="E20" s="2598"/>
      <c r="F20" s="446"/>
      <c r="G20" s="2598"/>
      <c r="H20" s="446"/>
      <c r="I20" s="2598"/>
      <c r="J20" s="446"/>
      <c r="K20" s="808"/>
      <c r="L20" s="1139"/>
      <c r="M20" s="1130"/>
      <c r="N20" s="1130"/>
      <c r="O20" s="1138"/>
      <c r="P20" s="3248"/>
      <c r="Q20" s="1808"/>
      <c r="R20" s="772"/>
      <c r="S20" s="773"/>
      <c r="T20" s="772"/>
      <c r="U20" s="773"/>
      <c r="V20" s="772"/>
      <c r="W20" s="773"/>
      <c r="X20" s="1811"/>
      <c r="Y20" s="3248"/>
      <c r="Z20" s="1812"/>
      <c r="AA20" s="1809"/>
      <c r="AB20" s="1809"/>
      <c r="AC20" s="1809"/>
    </row>
    <row r="21" spans="1:29" ht="71.25">
      <c r="A21" s="402"/>
      <c r="B21" s="629" t="s">
        <v>2792</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248"/>
      <c r="Q21" s="1808" t="str">
        <f t="shared" si="8"/>
        <v>环境状况</v>
      </c>
      <c r="R21" s="772" t="s">
        <v>17</v>
      </c>
      <c r="S21" s="773">
        <f>F21</f>
        <v>100</v>
      </c>
      <c r="T21" s="772" t="s">
        <v>17</v>
      </c>
      <c r="U21" s="773">
        <f>H21</f>
        <v>100</v>
      </c>
      <c r="V21" s="772" t="s">
        <v>17</v>
      </c>
      <c r="W21" s="773">
        <f>J21</f>
        <v>100</v>
      </c>
      <c r="X21" s="1811"/>
      <c r="Y21" s="3248"/>
      <c r="Z21" s="1812" t="str">
        <f>Q21</f>
        <v>环境状况</v>
      </c>
      <c r="AA21" s="1809">
        <f t="shared" si="3"/>
        <v>1</v>
      </c>
      <c r="AB21" s="1809">
        <f t="shared" si="4"/>
        <v>1</v>
      </c>
      <c r="AC21" s="1809">
        <f t="shared" si="5"/>
        <v>1</v>
      </c>
    </row>
    <row r="22" spans="1:29" ht="15">
      <c r="A22" s="402"/>
      <c r="B22" s="630"/>
      <c r="C22" s="445"/>
      <c r="D22" s="446"/>
      <c r="E22" s="2604"/>
      <c r="F22" s="446"/>
      <c r="G22" s="2604"/>
      <c r="H22" s="446"/>
      <c r="I22" s="445"/>
      <c r="J22" s="446"/>
      <c r="K22" s="670"/>
      <c r="L22" s="1139"/>
      <c r="M22" s="1130"/>
      <c r="N22" s="1130"/>
      <c r="O22" s="1138"/>
      <c r="P22" s="3248"/>
      <c r="Q22" s="1808"/>
      <c r="R22" s="772"/>
      <c r="S22" s="773"/>
      <c r="T22" s="772"/>
      <c r="U22" s="773"/>
      <c r="V22" s="772"/>
      <c r="W22" s="773"/>
      <c r="X22" s="1811"/>
      <c r="Y22" s="3248"/>
      <c r="Z22" s="1812"/>
      <c r="AA22" s="1809">
        <v>1</v>
      </c>
      <c r="AB22" s="1809">
        <v>1</v>
      </c>
      <c r="AC22" s="1809">
        <v>1</v>
      </c>
    </row>
    <row r="23" spans="1:29" s="116" customFormat="1" ht="42.75">
      <c r="A23" s="647"/>
      <c r="B23" s="631" t="s">
        <v>2647</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248"/>
      <c r="Q23" s="1793" t="str">
        <f t="shared" si="8"/>
        <v>公共配套设施</v>
      </c>
      <c r="R23" s="768" t="s">
        <v>17</v>
      </c>
      <c r="S23" s="769">
        <f>F23</f>
        <v>100</v>
      </c>
      <c r="T23" s="768" t="s">
        <v>17</v>
      </c>
      <c r="U23" s="769">
        <f>H23</f>
        <v>100</v>
      </c>
      <c r="V23" s="768" t="s">
        <v>17</v>
      </c>
      <c r="W23" s="769">
        <f>J23</f>
        <v>100</v>
      </c>
      <c r="X23" s="770"/>
      <c r="Y23" s="3248"/>
      <c r="Z23" s="55" t="str">
        <f>Q23</f>
        <v>公共配套设施</v>
      </c>
      <c r="AA23" s="1809">
        <f>D23/F23</f>
        <v>1</v>
      </c>
      <c r="AB23" s="1809">
        <f>D23/H23</f>
        <v>1</v>
      </c>
      <c r="AC23" s="1809">
        <f>D23/J23</f>
        <v>1</v>
      </c>
    </row>
    <row r="24" spans="1:29" s="116" customFormat="1" ht="15">
      <c r="A24" s="647"/>
      <c r="B24" s="630"/>
      <c r="C24" s="2691"/>
      <c r="D24" s="446"/>
      <c r="E24" s="2604"/>
      <c r="F24" s="446"/>
      <c r="G24" s="2604"/>
      <c r="H24" s="446"/>
      <c r="I24" s="445"/>
      <c r="J24" s="446"/>
      <c r="K24" s="670"/>
      <c r="L24" s="1131"/>
      <c r="M24" s="1132"/>
      <c r="N24" s="1132"/>
      <c r="O24" s="1133"/>
      <c r="P24" s="3248"/>
      <c r="Q24" s="1793"/>
      <c r="R24" s="768"/>
      <c r="S24" s="769"/>
      <c r="T24" s="768"/>
      <c r="U24" s="769"/>
      <c r="V24" s="768"/>
      <c r="W24" s="769"/>
      <c r="X24" s="770"/>
      <c r="Y24" s="3248"/>
      <c r="Z24" s="55"/>
      <c r="AA24" s="771">
        <v>1</v>
      </c>
      <c r="AB24" s="771">
        <v>1</v>
      </c>
      <c r="AC24" s="771">
        <v>1</v>
      </c>
    </row>
    <row r="25" spans="1:29" s="116" customFormat="1" ht="28.5">
      <c r="A25" s="647"/>
      <c r="B25" s="631" t="s">
        <v>2648</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248"/>
      <c r="Q25" s="1793" t="str">
        <f t="shared" ref="Q25" si="9">B25</f>
        <v>基础设施水平</v>
      </c>
      <c r="R25" s="768" t="s">
        <v>17</v>
      </c>
      <c r="S25" s="769">
        <f>F25</f>
        <v>100</v>
      </c>
      <c r="T25" s="768" t="s">
        <v>17</v>
      </c>
      <c r="U25" s="769">
        <f>H25</f>
        <v>100</v>
      </c>
      <c r="V25" s="768" t="s">
        <v>17</v>
      </c>
      <c r="W25" s="769">
        <f>J25</f>
        <v>100</v>
      </c>
      <c r="X25" s="770"/>
      <c r="Y25" s="3248"/>
      <c r="Z25" s="55" t="str">
        <f>Q25</f>
        <v>基础设施水平</v>
      </c>
      <c r="AA25" s="1809">
        <f>D25/F25</f>
        <v>1</v>
      </c>
      <c r="AB25" s="1809">
        <f>D25/H25</f>
        <v>1</v>
      </c>
      <c r="AC25" s="1809">
        <f>D25/J25</f>
        <v>1</v>
      </c>
    </row>
    <row r="26" spans="1:29" s="116" customFormat="1" ht="15">
      <c r="A26" s="647"/>
      <c r="B26" s="630"/>
      <c r="C26" s="2691"/>
      <c r="D26" s="446"/>
      <c r="E26" s="2692"/>
      <c r="F26" s="446"/>
      <c r="G26" s="2692"/>
      <c r="H26" s="446"/>
      <c r="I26" s="2692"/>
      <c r="J26" s="446"/>
      <c r="K26" s="670"/>
      <c r="L26" s="1131"/>
      <c r="M26" s="1132"/>
      <c r="N26" s="1132"/>
      <c r="O26" s="1133"/>
      <c r="P26" s="3248"/>
      <c r="Q26" s="1793"/>
      <c r="R26" s="768"/>
      <c r="S26" s="769"/>
      <c r="T26" s="768"/>
      <c r="U26" s="769"/>
      <c r="V26" s="768"/>
      <c r="W26" s="769"/>
      <c r="X26" s="770"/>
      <c r="Y26" s="3248"/>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24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8"/>
      <c r="Z27" s="1812" t="str">
        <f t="shared" ref="Z27:Z40" si="13">Q27</f>
        <v>临街状况</v>
      </c>
      <c r="AA27" s="1809">
        <f t="shared" si="3"/>
        <v>1</v>
      </c>
      <c r="AB27" s="1809">
        <f t="shared" si="4"/>
        <v>1</v>
      </c>
      <c r="AC27" s="1809">
        <f t="shared" si="5"/>
        <v>1</v>
      </c>
    </row>
    <row r="28" spans="1:29" ht="27">
      <c r="A28" s="426"/>
      <c r="B28" s="631" t="s">
        <v>2684</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248"/>
      <c r="Q28" s="1808" t="str">
        <f t="shared" si="8"/>
        <v>毗邻道路的类型与等级</v>
      </c>
      <c r="R28" s="772" t="s">
        <v>17</v>
      </c>
      <c r="S28" s="773">
        <f t="shared" si="10"/>
        <v>100</v>
      </c>
      <c r="T28" s="772" t="s">
        <v>17</v>
      </c>
      <c r="U28" s="773">
        <f t="shared" si="11"/>
        <v>100</v>
      </c>
      <c r="V28" s="772" t="s">
        <v>17</v>
      </c>
      <c r="W28" s="773">
        <f t="shared" si="12"/>
        <v>100</v>
      </c>
      <c r="X28" s="1811"/>
      <c r="Y28" s="3248"/>
      <c r="Z28" s="1812" t="str">
        <f t="shared" si="13"/>
        <v>毗邻道路的类型与等级</v>
      </c>
      <c r="AA28" s="1809">
        <f t="shared" si="3"/>
        <v>1</v>
      </c>
      <c r="AB28" s="1809">
        <f t="shared" si="4"/>
        <v>1</v>
      </c>
      <c r="AC28" s="1809">
        <f t="shared" si="5"/>
        <v>1</v>
      </c>
    </row>
    <row r="29" spans="1:29" ht="15">
      <c r="A29" s="426"/>
      <c r="B29" s="630"/>
      <c r="C29" s="445"/>
      <c r="D29" s="446"/>
      <c r="E29" s="2604"/>
      <c r="F29" s="446"/>
      <c r="G29" s="2604"/>
      <c r="H29" s="446"/>
      <c r="I29" s="2604"/>
      <c r="J29" s="446"/>
      <c r="K29" s="611"/>
      <c r="L29" s="1139"/>
      <c r="M29" s="1130"/>
      <c r="N29" s="1130"/>
      <c r="O29" s="1138"/>
      <c r="P29" s="3248"/>
      <c r="Q29" s="1808"/>
      <c r="R29" s="772"/>
      <c r="S29" s="773"/>
      <c r="T29" s="772"/>
      <c r="U29" s="773"/>
      <c r="V29" s="772"/>
      <c r="W29" s="773"/>
      <c r="X29" s="1811"/>
      <c r="Y29" s="3248"/>
      <c r="Z29" s="1812"/>
      <c r="AA29" s="1809">
        <v>1</v>
      </c>
      <c r="AB29" s="1809">
        <v>1</v>
      </c>
      <c r="AC29" s="1809">
        <v>1</v>
      </c>
    </row>
    <row r="30" spans="1:29" ht="15">
      <c r="A30" s="426"/>
      <c r="B30" s="652" t="s">
        <v>2743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248"/>
      <c r="Q30" s="1808" t="str">
        <f t="shared" si="8"/>
        <v>土地级别</v>
      </c>
      <c r="R30" s="772" t="s">
        <v>17</v>
      </c>
      <c r="S30" s="773">
        <f t="shared" si="10"/>
        <v>100</v>
      </c>
      <c r="T30" s="772" t="s">
        <v>17</v>
      </c>
      <c r="U30" s="773">
        <f t="shared" si="11"/>
        <v>100</v>
      </c>
      <c r="V30" s="772" t="s">
        <v>17</v>
      </c>
      <c r="W30" s="773">
        <f t="shared" si="12"/>
        <v>100</v>
      </c>
      <c r="X30" s="1811"/>
      <c r="Y30" s="3248"/>
      <c r="Z30" s="1812" t="str">
        <f t="shared" si="13"/>
        <v>土地级别</v>
      </c>
      <c r="AA30" s="1809">
        <f t="shared" si="3"/>
        <v>1</v>
      </c>
      <c r="AB30" s="1809">
        <f t="shared" si="4"/>
        <v>1</v>
      </c>
      <c r="AC30" s="1809">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248"/>
      <c r="Q31" s="1808">
        <f t="shared" si="8"/>
        <v>111</v>
      </c>
      <c r="R31" s="772" t="s">
        <v>17</v>
      </c>
      <c r="S31" s="773">
        <f t="shared" si="10"/>
        <v>100</v>
      </c>
      <c r="T31" s="772" t="s">
        <v>17</v>
      </c>
      <c r="U31" s="773">
        <f t="shared" si="11"/>
        <v>100</v>
      </c>
      <c r="V31" s="772" t="s">
        <v>17</v>
      </c>
      <c r="W31" s="773">
        <f t="shared" si="12"/>
        <v>100</v>
      </c>
      <c r="X31" s="1811"/>
      <c r="Y31" s="3248"/>
      <c r="Z31" s="1812">
        <f t="shared" si="13"/>
        <v>111</v>
      </c>
      <c r="AA31" s="1809">
        <f t="shared" si="3"/>
        <v>1</v>
      </c>
      <c r="AB31" s="1809">
        <f t="shared" si="4"/>
        <v>1</v>
      </c>
      <c r="AC31" s="1809">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249" t="s">
        <v>2558</v>
      </c>
      <c r="Q32" s="1808">
        <f t="shared" si="8"/>
        <v>111</v>
      </c>
      <c r="R32" s="772" t="s">
        <v>17</v>
      </c>
      <c r="S32" s="773">
        <f t="shared" si="10"/>
        <v>100</v>
      </c>
      <c r="T32" s="772" t="s">
        <v>17</v>
      </c>
      <c r="U32" s="773">
        <f t="shared" si="11"/>
        <v>100</v>
      </c>
      <c r="V32" s="772" t="s">
        <v>17</v>
      </c>
      <c r="W32" s="773">
        <f t="shared" si="12"/>
        <v>100</v>
      </c>
      <c r="X32" s="1811"/>
      <c r="Y32" s="3250" t="s">
        <v>2558</v>
      </c>
      <c r="Z32" s="1812">
        <f t="shared" si="13"/>
        <v>111</v>
      </c>
      <c r="AA32" s="1809">
        <f t="shared" si="3"/>
        <v>1</v>
      </c>
      <c r="AB32" s="1809">
        <f t="shared" si="4"/>
        <v>1</v>
      </c>
      <c r="AC32" s="1809">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250"/>
      <c r="Q33" s="1808">
        <f t="shared" si="8"/>
        <v>111</v>
      </c>
      <c r="R33" s="775" t="s">
        <v>17</v>
      </c>
      <c r="S33" s="776">
        <f t="shared" si="10"/>
        <v>100</v>
      </c>
      <c r="T33" s="775" t="s">
        <v>17</v>
      </c>
      <c r="U33" s="776">
        <f t="shared" si="11"/>
        <v>100</v>
      </c>
      <c r="V33" s="775" t="s">
        <v>17</v>
      </c>
      <c r="W33" s="776">
        <f t="shared" si="12"/>
        <v>100</v>
      </c>
      <c r="X33" s="777"/>
      <c r="Y33" s="3250"/>
      <c r="Z33" s="778">
        <f t="shared" si="13"/>
        <v>111</v>
      </c>
      <c r="AA33" s="1809">
        <f t="shared" si="3"/>
        <v>1</v>
      </c>
      <c r="AB33" s="1809">
        <f t="shared" si="4"/>
        <v>1</v>
      </c>
      <c r="AC33" s="1809">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250"/>
      <c r="Q34" s="1808" t="str">
        <f>B34</f>
        <v>宗地面积</v>
      </c>
      <c r="R34" s="772" t="s">
        <v>17</v>
      </c>
      <c r="S34" s="773" t="e">
        <f t="shared" si="10"/>
        <v>#N/A</v>
      </c>
      <c r="T34" s="772" t="s">
        <v>17</v>
      </c>
      <c r="U34" s="773" t="e">
        <f t="shared" si="11"/>
        <v>#N/A</v>
      </c>
      <c r="V34" s="772" t="s">
        <v>17</v>
      </c>
      <c r="W34" s="773" t="e">
        <f t="shared" si="12"/>
        <v>#N/A</v>
      </c>
      <c r="X34" s="1811"/>
      <c r="Y34" s="3250"/>
      <c r="Z34" s="1812" t="str">
        <f t="shared" si="13"/>
        <v>宗地面积</v>
      </c>
      <c r="AA34" s="1809" t="e">
        <f t="shared" si="3"/>
        <v>#N/A</v>
      </c>
      <c r="AB34" s="1809" t="e">
        <f t="shared" si="4"/>
        <v>#N/A</v>
      </c>
      <c r="AC34" s="1809" t="e">
        <f t="shared" si="5"/>
        <v>#N/A</v>
      </c>
    </row>
    <row r="35" spans="1:29" ht="15">
      <c r="A35" s="470"/>
      <c r="B35" s="420" t="s">
        <v>2745</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9"/>
      <c r="M35" s="1130"/>
      <c r="N35" s="1130"/>
      <c r="O35" s="1138"/>
      <c r="P35" s="3250"/>
      <c r="Q35" s="1808" t="str">
        <f t="shared" ref="Q35:Q40" si="14">B35</f>
        <v>宗地形状</v>
      </c>
      <c r="R35" s="772" t="s">
        <v>17</v>
      </c>
      <c r="S35" s="773">
        <f t="shared" si="10"/>
        <v>100</v>
      </c>
      <c r="T35" s="772" t="s">
        <v>17</v>
      </c>
      <c r="U35" s="773">
        <f t="shared" si="11"/>
        <v>100</v>
      </c>
      <c r="V35" s="772" t="s">
        <v>17</v>
      </c>
      <c r="W35" s="773">
        <f t="shared" si="12"/>
        <v>100</v>
      </c>
      <c r="X35" s="1811"/>
      <c r="Y35" s="3250"/>
      <c r="Z35" s="1812" t="str">
        <f t="shared" si="13"/>
        <v>宗地形状</v>
      </c>
      <c r="AA35" s="1809">
        <f t="shared" si="3"/>
        <v>1</v>
      </c>
      <c r="AB35" s="1809">
        <f t="shared" si="4"/>
        <v>1</v>
      </c>
      <c r="AC35" s="1809">
        <f t="shared" si="5"/>
        <v>1</v>
      </c>
    </row>
    <row r="36" spans="1:29" s="116" customFormat="1" ht="15">
      <c r="A36" s="471"/>
      <c r="B36" s="420" t="s">
        <v>2747</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31"/>
      <c r="M36" s="1132"/>
      <c r="N36" s="1132"/>
      <c r="O36" s="1133"/>
      <c r="P36" s="3250"/>
      <c r="Q36" s="1808" t="str">
        <f t="shared" si="14"/>
        <v>宗地开发程度</v>
      </c>
      <c r="R36" s="768" t="s">
        <v>17</v>
      </c>
      <c r="S36" s="769">
        <f t="shared" si="10"/>
        <v>100</v>
      </c>
      <c r="T36" s="768" t="s">
        <v>17</v>
      </c>
      <c r="U36" s="769">
        <f t="shared" si="11"/>
        <v>100</v>
      </c>
      <c r="V36" s="768" t="s">
        <v>17</v>
      </c>
      <c r="W36" s="769">
        <f t="shared" si="12"/>
        <v>100</v>
      </c>
      <c r="X36" s="770"/>
      <c r="Y36" s="3250"/>
      <c r="Z36" s="55" t="str">
        <f t="shared" si="13"/>
        <v>宗地开发程度</v>
      </c>
      <c r="AA36" s="771">
        <f t="shared" si="3"/>
        <v>1</v>
      </c>
      <c r="AB36" s="771">
        <f t="shared" si="4"/>
        <v>1</v>
      </c>
      <c r="AC36" s="771">
        <f t="shared" si="5"/>
        <v>1</v>
      </c>
    </row>
    <row r="37" spans="1:29" ht="15">
      <c r="A37" s="470"/>
      <c r="B37" s="420" t="s">
        <v>2748</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9"/>
      <c r="M37" s="1130"/>
      <c r="N37" s="1130"/>
      <c r="O37" s="1138"/>
      <c r="P37" s="3250" t="s">
        <v>2558</v>
      </c>
      <c r="Q37" s="1808" t="str">
        <f t="shared" si="14"/>
        <v>工程地质条件</v>
      </c>
      <c r="R37" s="772" t="s">
        <v>17</v>
      </c>
      <c r="S37" s="773">
        <f t="shared" si="10"/>
        <v>100</v>
      </c>
      <c r="T37" s="772" t="s">
        <v>17</v>
      </c>
      <c r="U37" s="773">
        <f t="shared" si="11"/>
        <v>100</v>
      </c>
      <c r="V37" s="772" t="s">
        <v>17</v>
      </c>
      <c r="W37" s="773">
        <f t="shared" si="12"/>
        <v>100</v>
      </c>
      <c r="X37" s="1811"/>
      <c r="Y37" s="3250" t="s">
        <v>2558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250"/>
      <c r="Q38" s="1808">
        <f t="shared" si="14"/>
        <v>111</v>
      </c>
      <c r="R38" s="772" t="s">
        <v>17</v>
      </c>
      <c r="S38" s="773">
        <f t="shared" si="10"/>
        <v>100</v>
      </c>
      <c r="T38" s="772" t="s">
        <v>17</v>
      </c>
      <c r="U38" s="773">
        <f t="shared" si="11"/>
        <v>100</v>
      </c>
      <c r="V38" s="772" t="s">
        <v>17</v>
      </c>
      <c r="W38" s="773">
        <f t="shared" si="12"/>
        <v>100</v>
      </c>
      <c r="X38" s="1811"/>
      <c r="Y38" s="3250"/>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250"/>
      <c r="Q39" s="1808">
        <f t="shared" si="14"/>
        <v>111</v>
      </c>
      <c r="R39" s="772" t="s">
        <v>17</v>
      </c>
      <c r="S39" s="773">
        <f t="shared" si="10"/>
        <v>100</v>
      </c>
      <c r="T39" s="772" t="s">
        <v>17</v>
      </c>
      <c r="U39" s="773">
        <f t="shared" si="11"/>
        <v>100</v>
      </c>
      <c r="V39" s="772" t="s">
        <v>17</v>
      </c>
      <c r="W39" s="773">
        <f t="shared" si="12"/>
        <v>100</v>
      </c>
      <c r="X39" s="1811"/>
      <c r="Y39" s="3250"/>
      <c r="Z39" s="1812">
        <f t="shared" si="13"/>
        <v>111</v>
      </c>
      <c r="AA39" s="1809">
        <f t="shared" si="3"/>
        <v>1</v>
      </c>
      <c r="AB39" s="1809">
        <f t="shared" si="4"/>
        <v>1</v>
      </c>
      <c r="AC39" s="1809">
        <f t="shared" si="5"/>
        <v>1</v>
      </c>
    </row>
    <row r="40" spans="1:29" s="469" customFormat="1" ht="15.75" thickBot="1">
      <c r="A40" s="466"/>
      <c r="B40" s="1386">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250"/>
      <c r="Q40" s="1808">
        <f t="shared" si="14"/>
        <v>111</v>
      </c>
      <c r="R40" s="775" t="s">
        <v>17</v>
      </c>
      <c r="S40" s="776">
        <f t="shared" si="10"/>
        <v>100</v>
      </c>
      <c r="T40" s="775" t="s">
        <v>17</v>
      </c>
      <c r="U40" s="776">
        <f t="shared" si="11"/>
        <v>100</v>
      </c>
      <c r="V40" s="775" t="s">
        <v>17</v>
      </c>
      <c r="W40" s="776">
        <f t="shared" si="12"/>
        <v>100</v>
      </c>
      <c r="X40" s="777"/>
      <c r="Y40" s="3250"/>
      <c r="Z40" s="778">
        <f t="shared" si="13"/>
        <v>111</v>
      </c>
      <c r="AA40" s="1809">
        <f t="shared" si="3"/>
        <v>1</v>
      </c>
      <c r="AB40" s="1809">
        <f t="shared" si="4"/>
        <v>1</v>
      </c>
      <c r="AC40" s="1809">
        <f t="shared" si="5"/>
        <v>1</v>
      </c>
    </row>
    <row r="41" spans="1:29" ht="15">
      <c r="A41" s="477" t="s">
        <v>2713</v>
      </c>
      <c r="B41" s="2695" t="s">
        <v>2793</v>
      </c>
      <c r="C41" s="680" t="s">
        <v>1</v>
      </c>
      <c r="D41" s="479"/>
      <c r="E41" s="480"/>
      <c r="F41" s="481"/>
      <c r="G41" s="482"/>
      <c r="H41" s="483"/>
      <c r="I41" s="480"/>
      <c r="J41" s="483"/>
      <c r="K41" s="781"/>
      <c r="L41" s="1142"/>
      <c r="M41" s="1130"/>
      <c r="N41" s="1130"/>
      <c r="O41" s="1143"/>
      <c r="P41" s="3232" t="str">
        <f>A41</f>
        <v>成交单价</v>
      </c>
      <c r="Q41" s="3232"/>
      <c r="R41" s="3245">
        <f>E41</f>
        <v>0</v>
      </c>
      <c r="S41" s="3245"/>
      <c r="T41" s="3245">
        <f>G41</f>
        <v>0</v>
      </c>
      <c r="U41" s="3245"/>
      <c r="V41" s="3245">
        <f>I41</f>
        <v>0</v>
      </c>
      <c r="W41" s="3245"/>
      <c r="X41" s="757"/>
      <c r="Y41" s="779"/>
      <c r="Z41" s="757"/>
      <c r="AA41" s="757"/>
      <c r="AB41" s="757"/>
      <c r="AC41" s="757"/>
    </row>
    <row r="42" spans="1:29" ht="15.75" thickBot="1">
      <c r="A42" s="484" t="s">
        <v>2662</v>
      </c>
      <c r="B42" s="681"/>
      <c r="C42" s="488" t="e">
        <f>R43</f>
        <v>#DIV/0!</v>
      </c>
      <c r="D42" s="487"/>
      <c r="E42" s="488" t="e">
        <f>R42</f>
        <v>#DIV/0!</v>
      </c>
      <c r="F42" s="489"/>
      <c r="G42" s="486" t="e">
        <f>T42</f>
        <v>#DIV/0!</v>
      </c>
      <c r="H42" s="487"/>
      <c r="I42" s="488" t="e">
        <f>V42</f>
        <v>#DIV/0!</v>
      </c>
      <c r="J42" s="487"/>
      <c r="K42" s="782"/>
      <c r="L42" s="1142"/>
      <c r="M42" s="1130"/>
      <c r="N42" s="1130"/>
      <c r="O42" s="1143"/>
      <c r="P42" s="3232" t="str">
        <f>A42</f>
        <v>比较价值（元/平方米）</v>
      </c>
      <c r="Q42" s="3232"/>
      <c r="R42" s="3251" t="e">
        <f>ROUND(PRODUCT(R41,AA7:AA40),0)</f>
        <v>#DIV/0!</v>
      </c>
      <c r="S42" s="3251"/>
      <c r="T42" s="3251" t="e">
        <f>ROUND(PRODUCT(T41,AB7:AB40),0)</f>
        <v>#DIV/0!</v>
      </c>
      <c r="U42" s="3251"/>
      <c r="V42" s="3251" t="e">
        <f>ROUND(PRODUCT(V41,AC7:AC40),0)</f>
        <v>#DIV/0!</v>
      </c>
      <c r="W42" s="3251"/>
      <c r="X42" s="757"/>
      <c r="Y42" s="757"/>
      <c r="Z42" s="757"/>
      <c r="AA42" s="757"/>
      <c r="AB42" s="757"/>
      <c r="AC42" s="757"/>
    </row>
    <row r="43" spans="1:29" ht="15.75" thickBot="1">
      <c r="A43" s="490" t="s">
        <v>2663</v>
      </c>
      <c r="B43" s="491"/>
      <c r="C43" s="492" t="e">
        <f>R43</f>
        <v>#DIV/0!</v>
      </c>
      <c r="D43" s="492"/>
      <c r="E43" s="492"/>
      <c r="F43" s="492"/>
      <c r="G43" s="492"/>
      <c r="H43" s="492"/>
      <c r="I43" s="492"/>
      <c r="J43" s="492"/>
      <c r="K43" s="783"/>
      <c r="L43" s="1142"/>
      <c r="M43" s="1130"/>
      <c r="N43" s="1130"/>
      <c r="O43" s="1143"/>
      <c r="P43" s="3252" t="str">
        <f>A43</f>
        <v>估价对象XX用房的比较价值（楼面单价，元/平方米）</v>
      </c>
      <c r="Q43" s="3253"/>
      <c r="R43" s="3254" t="e">
        <f>ROUND(AVERAGE(R42:V42),0)</f>
        <v>#DIV/0!</v>
      </c>
      <c r="S43" s="3254"/>
      <c r="T43" s="3254"/>
      <c r="U43" s="3254"/>
      <c r="V43" s="3254"/>
      <c r="W43" s="3254"/>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5" thickBot="1">
      <c r="A49" s="1144"/>
      <c r="B49" s="1145"/>
      <c r="C49" s="760"/>
      <c r="D49" s="758"/>
      <c r="E49" s="758"/>
      <c r="F49" s="758"/>
      <c r="G49" s="758"/>
      <c r="H49" s="758"/>
      <c r="I49" s="758"/>
      <c r="J49" s="758"/>
      <c r="K49" s="1147"/>
      <c r="L49" s="1148"/>
      <c r="M49" s="1144"/>
      <c r="N49" s="1144"/>
      <c r="O49" s="1144"/>
    </row>
    <row r="50" spans="1:17" ht="27">
      <c r="A50" s="682" t="s">
        <v>2751</v>
      </c>
      <c r="B50" s="683" t="s">
        <v>2752</v>
      </c>
      <c r="C50" s="2696" t="s">
        <v>2753</v>
      </c>
      <c r="D50" s="2697" t="s">
        <v>2754</v>
      </c>
      <c r="E50" s="684" t="s">
        <v>2755</v>
      </c>
      <c r="F50" s="685" t="s">
        <v>2756</v>
      </c>
      <c r="G50" s="3233" t="s">
        <v>2757</v>
      </c>
      <c r="H50" s="3255"/>
      <c r="I50" s="1812" t="s">
        <v>2794</v>
      </c>
      <c r="J50" s="1812" t="str">
        <f>项目基本情况!F35</f>
        <v>陕西省</v>
      </c>
      <c r="K50" s="2699" t="s">
        <v>2759</v>
      </c>
      <c r="L50" s="1105"/>
      <c r="M50" s="1143"/>
      <c r="N50" s="1143"/>
      <c r="O50" s="1143"/>
    </row>
    <row r="51" spans="1:17" s="690" customFormat="1">
      <c r="A51" s="686" t="s">
        <v>2760</v>
      </c>
      <c r="B51" s="687" t="e">
        <f>C43</f>
        <v>#DIV/0!</v>
      </c>
      <c r="C51" s="688">
        <v>1</v>
      </c>
      <c r="D51" s="1162">
        <v>1</v>
      </c>
      <c r="E51" s="688">
        <f>'数据-汇总表'!E8+'数据-汇总表'!E9</f>
        <v>160040.73000000004</v>
      </c>
      <c r="F51" s="689" t="e">
        <f t="shared" ref="F51:F60" si="15">ROUND(B51*E51/10000,0)</f>
        <v>#DIV/0!</v>
      </c>
      <c r="G51" s="3256"/>
      <c r="H51" s="3232"/>
      <c r="I51" s="941">
        <v>1</v>
      </c>
      <c r="J51" s="941">
        <v>1</v>
      </c>
      <c r="K51" s="1144"/>
      <c r="L51" s="940"/>
      <c r="M51" s="940"/>
      <c r="N51" s="940"/>
      <c r="O51" s="940"/>
    </row>
    <row r="52" spans="1:17" s="690" customFormat="1">
      <c r="A52" s="691" t="s">
        <v>2761</v>
      </c>
      <c r="B52" s="260" t="e">
        <f>ROUND($C$43*C52*D52,0)</f>
        <v>#DIV/0!</v>
      </c>
      <c r="C52" s="198">
        <f t="shared" ref="C52:C60" si="16">IF($C$50="北京市系数",I52,J52)</f>
        <v>0</v>
      </c>
      <c r="D52" s="1163">
        <v>0.25</v>
      </c>
      <c r="E52" s="692"/>
      <c r="F52" s="689" t="e">
        <f t="shared" si="15"/>
        <v>#DIV/0!</v>
      </c>
      <c r="G52" s="3257" t="s">
        <v>2762</v>
      </c>
      <c r="H52" s="1103">
        <f>项目基本情况!B37</f>
        <v>0</v>
      </c>
      <c r="I52" s="941">
        <f>SUMIF(修正!A45:A56,H52,修正!B45:B56)</f>
        <v>0</v>
      </c>
      <c r="J52" s="942"/>
      <c r="K52" s="1143"/>
      <c r="L52" s="940"/>
      <c r="M52" s="940"/>
      <c r="N52" s="940"/>
      <c r="O52" s="940"/>
    </row>
    <row r="53" spans="1:17" s="690" customFormat="1">
      <c r="A53" s="691" t="s">
        <v>2763</v>
      </c>
      <c r="B53" s="260" t="e">
        <f t="shared" ref="B53:B60" si="17">ROUND($C$43*C53*D53,0)</f>
        <v>#DIV/0!</v>
      </c>
      <c r="C53" s="198">
        <f t="shared" si="16"/>
        <v>0</v>
      </c>
      <c r="D53" s="1163">
        <v>0.25</v>
      </c>
      <c r="E53" s="692"/>
      <c r="F53" s="689" t="e">
        <f t="shared" si="15"/>
        <v>#DIV/0!</v>
      </c>
      <c r="G53" s="3257"/>
      <c r="H53" s="1103">
        <f>项目基本情况!B37</f>
        <v>0</v>
      </c>
      <c r="I53" s="941">
        <f>SUMIF(修正!A45:A56,H53,修正!C45:C56)</f>
        <v>0</v>
      </c>
      <c r="J53" s="942"/>
      <c r="K53" s="1144"/>
      <c r="L53" s="940"/>
      <c r="M53" s="940"/>
      <c r="N53" s="940"/>
      <c r="O53" s="940"/>
    </row>
    <row r="54" spans="1:17" s="690" customFormat="1">
      <c r="A54" s="691" t="s">
        <v>2764</v>
      </c>
      <c r="B54" s="260" t="e">
        <f t="shared" si="17"/>
        <v>#DIV/0!</v>
      </c>
      <c r="C54" s="198">
        <f t="shared" si="16"/>
        <v>0</v>
      </c>
      <c r="D54" s="1163">
        <v>0.25</v>
      </c>
      <c r="E54" s="692"/>
      <c r="F54" s="689" t="e">
        <f t="shared" si="15"/>
        <v>#DIV/0!</v>
      </c>
      <c r="G54" s="3257"/>
      <c r="H54" s="1103">
        <f>项目基本情况!B37</f>
        <v>0</v>
      </c>
      <c r="I54" s="941">
        <f>SUMIF(修正!A45:A56,H54,修正!D45:D56)</f>
        <v>0</v>
      </c>
      <c r="J54" s="942"/>
      <c r="K54" s="1143"/>
      <c r="L54" s="940"/>
      <c r="M54" s="940"/>
      <c r="N54" s="940"/>
      <c r="O54" s="940"/>
    </row>
    <row r="55" spans="1:17" s="690" customFormat="1">
      <c r="A55" s="691" t="s">
        <v>2765</v>
      </c>
      <c r="B55" s="260" t="e">
        <f t="shared" si="17"/>
        <v>#DIV/0!</v>
      </c>
      <c r="C55" s="198">
        <f t="shared" si="16"/>
        <v>0</v>
      </c>
      <c r="D55" s="1163">
        <v>0.25</v>
      </c>
      <c r="E55" s="692"/>
      <c r="F55" s="689" t="e">
        <f t="shared" si="15"/>
        <v>#DIV/0!</v>
      </c>
      <c r="G55" s="3257"/>
      <c r="H55" s="1103">
        <f>项目基本情况!B37</f>
        <v>0</v>
      </c>
      <c r="I55" s="941">
        <f>SUMIF(修正!A45:A56,H55,修正!E45:E56)</f>
        <v>0</v>
      </c>
      <c r="J55" s="942"/>
      <c r="K55" s="1144"/>
      <c r="L55" s="940"/>
      <c r="M55" s="940"/>
      <c r="N55" s="940"/>
      <c r="O55" s="940"/>
    </row>
    <row r="56" spans="1:17" s="690" customFormat="1">
      <c r="A56" s="691" t="s">
        <v>2766</v>
      </c>
      <c r="B56" s="260" t="e">
        <f t="shared" si="17"/>
        <v>#DIV/0!</v>
      </c>
      <c r="C56" s="198">
        <f t="shared" si="16"/>
        <v>0</v>
      </c>
      <c r="D56" s="1163">
        <v>0.25</v>
      </c>
      <c r="E56" s="259">
        <f>'数据-汇总表'!E11</f>
        <v>0</v>
      </c>
      <c r="F56" s="689" t="e">
        <f t="shared" si="15"/>
        <v>#DIV/0!</v>
      </c>
      <c r="G56" s="2700" t="s">
        <v>2767</v>
      </c>
      <c r="H56" s="1103">
        <f>项目基本情况!C37</f>
        <v>0</v>
      </c>
      <c r="I56" s="941">
        <f>SUMIF(修正!A45:A56,H56,修正!F45:F56)</f>
        <v>0</v>
      </c>
      <c r="J56" s="942"/>
      <c r="K56" s="1143"/>
      <c r="L56" s="940"/>
      <c r="M56" s="940"/>
      <c r="N56" s="940"/>
      <c r="O56" s="940"/>
    </row>
    <row r="57" spans="1:17" s="690" customFormat="1">
      <c r="A57" s="691" t="s">
        <v>2768</v>
      </c>
      <c r="B57" s="260" t="e">
        <f t="shared" si="17"/>
        <v>#DIV/0!</v>
      </c>
      <c r="C57" s="198">
        <f t="shared" si="16"/>
        <v>0</v>
      </c>
      <c r="D57" s="1163">
        <v>0.25</v>
      </c>
      <c r="E57" s="259">
        <f>'数据-汇总表'!E12</f>
        <v>0</v>
      </c>
      <c r="F57" s="689" t="e">
        <f t="shared" si="15"/>
        <v>#DIV/0!</v>
      </c>
      <c r="G57" s="1108" t="s">
        <v>2769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2770</v>
      </c>
      <c r="B58" s="260" t="e">
        <f t="shared" si="17"/>
        <v>#DIV/0!</v>
      </c>
      <c r="C58" s="198">
        <f t="shared" si="16"/>
        <v>0</v>
      </c>
      <c r="D58" s="1163">
        <v>0.25</v>
      </c>
      <c r="E58" s="259">
        <f>'数据-汇总表'!E13</f>
        <v>69185.17</v>
      </c>
      <c r="F58" s="689" t="e">
        <f t="shared" si="15"/>
        <v>#DIV/0!</v>
      </c>
      <c r="G58" s="1108" t="s">
        <v>2771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2772</v>
      </c>
      <c r="B59" s="260" t="e">
        <f t="shared" si="17"/>
        <v>#DIV/0!</v>
      </c>
      <c r="C59" s="198">
        <f t="shared" si="16"/>
        <v>0</v>
      </c>
      <c r="D59" s="1163">
        <v>0.25</v>
      </c>
      <c r="E59" s="259">
        <f>'数据-汇总表'!E14</f>
        <v>0</v>
      </c>
      <c r="F59" s="689" t="e">
        <f t="shared" si="15"/>
        <v>#DIV/0!</v>
      </c>
      <c r="G59" s="2700" t="s">
        <v>2762</v>
      </c>
      <c r="H59" s="1103">
        <f>项目基本情况!B37</f>
        <v>0</v>
      </c>
      <c r="I59" s="941">
        <f>SUMIF(修正!A45:A56,H59,修正!H45:H56)</f>
        <v>0</v>
      </c>
      <c r="J59" s="942"/>
      <c r="K59" s="1144"/>
      <c r="L59" s="940"/>
      <c r="M59" s="940"/>
      <c r="N59" s="940"/>
      <c r="O59" s="940"/>
    </row>
    <row r="60" spans="1:17" s="690" customFormat="1" ht="15" thickBot="1">
      <c r="A60" s="691" t="s">
        <v>2773</v>
      </c>
      <c r="B60" s="260" t="e">
        <f t="shared" si="17"/>
        <v>#DIV/0!</v>
      </c>
      <c r="C60" s="198">
        <f t="shared" si="16"/>
        <v>0</v>
      </c>
      <c r="D60" s="1163">
        <v>0.25</v>
      </c>
      <c r="E60" s="259">
        <f>'数据-汇总表'!E15</f>
        <v>0</v>
      </c>
      <c r="F60" s="689" t="e">
        <f t="shared" si="15"/>
        <v>#DIV/0!</v>
      </c>
      <c r="G60" s="2701" t="s">
        <v>2767</v>
      </c>
      <c r="H60" s="1113">
        <f>项目基本情况!C37</f>
        <v>0</v>
      </c>
      <c r="I60" s="941">
        <f>SUMIF(修正!A45:A56,H60,修正!H45:H56)</f>
        <v>0</v>
      </c>
      <c r="J60" s="942"/>
      <c r="K60" s="1143"/>
      <c r="L60" s="940"/>
      <c r="M60" s="940"/>
      <c r="N60" s="940"/>
      <c r="O60" s="940"/>
    </row>
    <row r="61" spans="1:17" s="690" customFormat="1" ht="15" thickBot="1">
      <c r="A61" s="693" t="s">
        <v>2774</v>
      </c>
      <c r="B61" s="694" t="s">
        <v>28</v>
      </c>
      <c r="C61" s="694" t="s">
        <v>29</v>
      </c>
      <c r="D61" s="694" t="s">
        <v>1026</v>
      </c>
      <c r="E61" s="694">
        <f>IF(B41="楼面地价",SUM(E51:E60),'数据-汇总表'!D3)</f>
        <v>102537.74</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2667</v>
      </c>
      <c r="B64" s="757"/>
      <c r="C64" s="762"/>
      <c r="D64" s="762"/>
      <c r="E64" s="762"/>
      <c r="F64" s="763"/>
      <c r="G64" s="763"/>
      <c r="H64" s="762"/>
      <c r="I64" s="762"/>
      <c r="J64" s="762"/>
      <c r="K64" s="764"/>
      <c r="L64" s="765"/>
      <c r="M64" s="762"/>
      <c r="N64" s="762"/>
      <c r="O64" s="1158"/>
      <c r="P64" s="501"/>
      <c r="Q64" s="502"/>
    </row>
    <row r="65" spans="1:17" s="506" customFormat="1" ht="15">
      <c r="A65" s="2702" t="s">
        <v>2775</v>
      </c>
      <c r="B65" s="1358"/>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5"/>
    </row>
    <row r="66" spans="1:17" s="116" customFormat="1" ht="30.75" customHeight="1">
      <c r="A66" s="2707" t="s">
        <v>2795</v>
      </c>
      <c r="B66" s="330" t="str">
        <f>"北京市平均增长率"&amp;TEXT(基准地价修正!P24,"0.00%")</f>
        <v>北京市平均增长率1.42%</v>
      </c>
      <c r="C66" s="601">
        <v>100</v>
      </c>
      <c r="D66" s="593"/>
      <c r="E66" s="593"/>
      <c r="F66" s="593"/>
      <c r="G66" s="593"/>
      <c r="H66" s="593"/>
      <c r="I66" s="593"/>
      <c r="J66" s="593"/>
      <c r="K66" s="593"/>
      <c r="L66" s="593"/>
      <c r="M66" s="1566"/>
      <c r="N66" s="1566"/>
      <c r="O66" s="1567"/>
      <c r="P66" s="502"/>
    </row>
    <row r="67" spans="1:17" s="116" customFormat="1" ht="15.75" thickBot="1">
      <c r="A67" s="513" t="s">
        <v>2578</v>
      </c>
      <c r="B67" s="514"/>
      <c r="C67" s="515"/>
      <c r="D67" s="516"/>
      <c r="E67" s="516"/>
      <c r="F67" s="516"/>
      <c r="G67" s="516"/>
      <c r="H67" s="516"/>
      <c r="I67" s="516"/>
      <c r="J67" s="516"/>
      <c r="K67" s="516"/>
      <c r="L67" s="516"/>
      <c r="M67" s="517"/>
      <c r="N67" s="517"/>
      <c r="O67" s="518"/>
      <c r="P67" s="502"/>
      <c r="Q67" s="502"/>
    </row>
    <row r="68" spans="1:17" s="116" customFormat="1" ht="15">
      <c r="A68" s="519" t="s">
        <v>2543</v>
      </c>
      <c r="B68" s="508"/>
      <c r="C68" s="520" t="s">
        <v>2645</v>
      </c>
      <c r="D68" s="521"/>
      <c r="E68" s="521"/>
      <c r="F68" s="521"/>
      <c r="G68" s="521"/>
      <c r="H68" s="521"/>
      <c r="I68" s="521"/>
      <c r="J68" s="521"/>
      <c r="K68" s="521"/>
      <c r="L68" s="522"/>
      <c r="M68" s="523"/>
      <c r="N68" s="1150"/>
      <c r="O68" s="1150"/>
      <c r="P68" s="524"/>
      <c r="Q68" s="502"/>
    </row>
    <row r="69" spans="1:17" s="116"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2581</v>
      </c>
      <c r="B70" s="526" t="s">
        <v>2547</v>
      </c>
      <c r="C70" s="528"/>
      <c r="D70" s="528"/>
      <c r="E70" s="528"/>
      <c r="F70" s="528"/>
      <c r="G70" s="528"/>
      <c r="H70" s="528"/>
      <c r="I70" s="528"/>
      <c r="J70" s="528"/>
      <c r="K70" s="529"/>
      <c r="L70" s="530"/>
      <c r="M70" s="531"/>
      <c r="N70" s="1151"/>
      <c r="O70" s="1151"/>
      <c r="P70" s="45"/>
      <c r="Q70" s="502"/>
    </row>
    <row r="71" spans="1:17" ht="15.75" thickBot="1">
      <c r="A71" s="532"/>
      <c r="B71" s="533"/>
      <c r="C71" s="534"/>
      <c r="D71" s="534"/>
      <c r="E71" s="534"/>
      <c r="F71" s="534"/>
      <c r="G71" s="534"/>
      <c r="H71" s="534"/>
      <c r="I71" s="534"/>
      <c r="J71" s="534"/>
      <c r="K71" s="534"/>
      <c r="L71" s="534"/>
      <c r="M71" s="535"/>
      <c r="N71" s="1152"/>
      <c r="O71" s="1152"/>
      <c r="P71" s="45"/>
      <c r="Q71" s="502"/>
    </row>
    <row r="72" spans="1:17" ht="27.75" thickTop="1">
      <c r="A72" s="532"/>
      <c r="B72" s="536" t="s">
        <v>2550</v>
      </c>
      <c r="C72" s="537"/>
      <c r="D72" s="537"/>
      <c r="E72" s="537"/>
      <c r="F72" s="537"/>
      <c r="G72" s="537"/>
      <c r="H72" s="537"/>
      <c r="I72" s="537"/>
      <c r="J72" s="537"/>
      <c r="K72" s="538"/>
      <c r="L72" s="539"/>
      <c r="M72" s="540"/>
      <c r="N72" s="1151"/>
      <c r="O72" s="1151"/>
      <c r="P72" s="45"/>
      <c r="Q72" s="502"/>
    </row>
    <row r="73" spans="1:17" ht="15.75" thickBot="1">
      <c r="A73" s="532"/>
      <c r="B73" s="541"/>
      <c r="C73" s="542"/>
      <c r="D73" s="542"/>
      <c r="E73" s="542"/>
      <c r="F73" s="542"/>
      <c r="G73" s="542"/>
      <c r="H73" s="542"/>
      <c r="I73" s="542"/>
      <c r="J73" s="542"/>
      <c r="K73" s="542"/>
      <c r="L73" s="542"/>
      <c r="M73" s="543"/>
      <c r="N73" s="1152"/>
      <c r="O73" s="1152"/>
      <c r="P73" s="45"/>
      <c r="Q73" s="502"/>
    </row>
    <row r="74" spans="1:17" ht="15.7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5"/>
      <c r="Q74" s="502"/>
    </row>
    <row r="75" spans="1:17" ht="15">
      <c r="A75" s="532"/>
      <c r="B75" s="546"/>
      <c r="C75" s="547"/>
      <c r="D75" s="547"/>
      <c r="E75" s="547"/>
      <c r="F75" s="547"/>
      <c r="G75" s="547"/>
      <c r="H75" s="547"/>
      <c r="I75" s="547"/>
      <c r="J75" s="547"/>
      <c r="K75" s="548"/>
      <c r="L75" s="549"/>
      <c r="M75" s="550"/>
      <c r="N75" s="1151"/>
      <c r="O75" s="1151"/>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5"/>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2552</v>
      </c>
      <c r="B83" s="526" t="s">
        <v>2698</v>
      </c>
      <c r="C83" s="571" t="s">
        <v>2590</v>
      </c>
      <c r="D83" s="571" t="s">
        <v>2591</v>
      </c>
      <c r="E83" s="571" t="s">
        <v>2592</v>
      </c>
      <c r="F83" s="571" t="s">
        <v>2593</v>
      </c>
      <c r="G83" s="571" t="s">
        <v>2594</v>
      </c>
      <c r="H83" s="527"/>
      <c r="I83" s="527"/>
      <c r="J83" s="527"/>
      <c r="K83" s="572"/>
      <c r="L83" s="573"/>
      <c r="M83" s="574"/>
      <c r="N83" s="1151"/>
      <c r="O83" s="1151"/>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2"/>
      <c r="O84" s="1152"/>
      <c r="P84" s="45"/>
      <c r="Q84" s="502"/>
    </row>
    <row r="85" spans="1:17" ht="15.75" thickTop="1">
      <c r="A85" s="532"/>
      <c r="B85" s="536" t="s">
        <v>2595</v>
      </c>
      <c r="C85" s="576" t="s">
        <v>2590</v>
      </c>
      <c r="D85" s="576" t="s">
        <v>2591</v>
      </c>
      <c r="E85" s="576" t="s">
        <v>2592</v>
      </c>
      <c r="F85" s="576" t="s">
        <v>2593</v>
      </c>
      <c r="G85" s="576" t="s">
        <v>2594</v>
      </c>
      <c r="H85" s="537"/>
      <c r="I85" s="537"/>
      <c r="J85" s="537"/>
      <c r="K85" s="538"/>
      <c r="L85" s="539"/>
      <c r="M85" s="540"/>
      <c r="N85" s="1151"/>
      <c r="O85" s="1151"/>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2"/>
      <c r="O86" s="1152"/>
      <c r="P86" s="45"/>
      <c r="Q86" s="502"/>
    </row>
    <row r="87" spans="1:17" s="116" customFormat="1" ht="15.75" thickTop="1">
      <c r="A87" s="577"/>
      <c r="B87" s="536" t="s">
        <v>2778</v>
      </c>
      <c r="C87" s="571" t="s">
        <v>2590</v>
      </c>
      <c r="D87" s="571" t="s">
        <v>2591</v>
      </c>
      <c r="E87" s="571" t="s">
        <v>2592</v>
      </c>
      <c r="F87" s="571" t="s">
        <v>2593</v>
      </c>
      <c r="G87" s="571" t="s">
        <v>2594</v>
      </c>
      <c r="H87" s="576"/>
      <c r="I87" s="576"/>
      <c r="J87" s="576"/>
      <c r="K87" s="576"/>
      <c r="L87" s="696"/>
      <c r="M87" s="620"/>
      <c r="N87" s="1150"/>
      <c r="O87" s="1150"/>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2"/>
      <c r="O88" s="1152"/>
      <c r="P88" s="45"/>
      <c r="Q88" s="502"/>
    </row>
    <row r="89" spans="1:17" s="116" customFormat="1" ht="27.75" thickTop="1">
      <c r="A89" s="577"/>
      <c r="B89" s="536" t="s">
        <v>2779</v>
      </c>
      <c r="C89" s="571" t="s">
        <v>2590</v>
      </c>
      <c r="D89" s="571" t="s">
        <v>2591</v>
      </c>
      <c r="E89" s="571" t="s">
        <v>2592</v>
      </c>
      <c r="F89" s="571" t="s">
        <v>2593</v>
      </c>
      <c r="G89" s="571" t="s">
        <v>2594</v>
      </c>
      <c r="H89" s="576"/>
      <c r="I89" s="576"/>
      <c r="J89" s="576"/>
      <c r="K89" s="576"/>
      <c r="L89" s="576"/>
      <c r="M89" s="620"/>
      <c r="N89" s="1150"/>
      <c r="O89" s="1150"/>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2"/>
      <c r="O90" s="1152"/>
      <c r="P90" s="45"/>
      <c r="Q90" s="502"/>
    </row>
    <row r="91" spans="1:17" s="469" customFormat="1" ht="15.75" thickTop="1">
      <c r="A91" s="551"/>
      <c r="B91" s="536" t="s">
        <v>2647</v>
      </c>
      <c r="C91" s="571" t="s">
        <v>2590</v>
      </c>
      <c r="D91" s="571" t="s">
        <v>2591</v>
      </c>
      <c r="E91" s="571" t="s">
        <v>2592</v>
      </c>
      <c r="F91" s="571" t="s">
        <v>2593</v>
      </c>
      <c r="G91" s="571" t="s">
        <v>2594</v>
      </c>
      <c r="H91" s="598"/>
      <c r="I91" s="598"/>
      <c r="J91" s="598"/>
      <c r="K91" s="598"/>
      <c r="L91" s="599"/>
      <c r="M91" s="600"/>
      <c r="N91" s="1153"/>
      <c r="O91" s="1153"/>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75" thickTop="1">
      <c r="A93" s="551"/>
      <c r="B93" s="544" t="s">
        <v>2796</v>
      </c>
      <c r="C93" s="658" t="s">
        <v>2668</v>
      </c>
      <c r="D93" s="658" t="s">
        <v>2669</v>
      </c>
      <c r="E93" s="658" t="s">
        <v>2670</v>
      </c>
      <c r="F93" s="658" t="s">
        <v>2671</v>
      </c>
      <c r="G93" s="658" t="s">
        <v>2672</v>
      </c>
      <c r="H93" s="598"/>
      <c r="I93" s="598"/>
      <c r="J93" s="598"/>
      <c r="K93" s="598"/>
      <c r="L93" s="598"/>
      <c r="M93" s="600"/>
      <c r="N93" s="1153"/>
      <c r="O93" s="1153"/>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3"/>
      <c r="O94" s="1153"/>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1"/>
      <c r="O95" s="1151"/>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5"/>
      <c r="Q96" s="502"/>
    </row>
    <row r="97" spans="1:17" ht="27.75" thickTop="1">
      <c r="A97" s="532"/>
      <c r="B97" s="536" t="s">
        <v>2684</v>
      </c>
      <c r="C97" s="552"/>
      <c r="D97" s="552"/>
      <c r="E97" s="552"/>
      <c r="F97" s="552"/>
      <c r="G97" s="552"/>
      <c r="H97" s="581"/>
      <c r="I97" s="581"/>
      <c r="J97" s="581"/>
      <c r="K97" s="582"/>
      <c r="L97" s="583"/>
      <c r="M97" s="584"/>
      <c r="N97" s="1151"/>
      <c r="O97" s="1151"/>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5"/>
      <c r="Q98" s="502"/>
    </row>
    <row r="99" spans="1:17" ht="15.75" thickTop="1">
      <c r="A99" s="532"/>
      <c r="B99" s="536" t="s">
        <v>2743</v>
      </c>
      <c r="C99" s="581"/>
      <c r="D99" s="581"/>
      <c r="E99" s="581"/>
      <c r="F99" s="581"/>
      <c r="G99" s="581"/>
      <c r="H99" s="581"/>
      <c r="I99" s="581"/>
      <c r="J99" s="581"/>
      <c r="K99" s="582"/>
      <c r="L99" s="583"/>
      <c r="M99" s="584"/>
      <c r="N99" s="1151"/>
      <c r="O99" s="1151"/>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5"/>
      <c r="Q100" s="502"/>
    </row>
    <row r="101" spans="1:17" ht="15.75" thickTop="1">
      <c r="A101" s="532"/>
      <c r="B101" s="544">
        <f>B31</f>
        <v>111</v>
      </c>
      <c r="C101" s="552"/>
      <c r="D101" s="552"/>
      <c r="E101" s="552"/>
      <c r="F101" s="552"/>
      <c r="G101" s="585"/>
      <c r="H101" s="585"/>
      <c r="I101" s="585"/>
      <c r="J101" s="585"/>
      <c r="K101" s="586"/>
      <c r="L101" s="587"/>
      <c r="M101" s="588"/>
      <c r="N101" s="1151"/>
      <c r="O101" s="1151"/>
      <c r="P101" s="45"/>
      <c r="Q101" s="502"/>
    </row>
    <row r="102" spans="1:17" ht="15.75" thickBot="1">
      <c r="A102" s="532"/>
      <c r="B102" s="567"/>
      <c r="C102" s="558"/>
      <c r="D102" s="534"/>
      <c r="E102" s="534"/>
      <c r="F102" s="534"/>
      <c r="G102" s="589"/>
      <c r="H102" s="589"/>
      <c r="I102" s="589"/>
      <c r="J102" s="589"/>
      <c r="K102" s="589"/>
      <c r="L102" s="589"/>
      <c r="M102" s="590"/>
      <c r="N102" s="1152"/>
      <c r="O102" s="1152"/>
      <c r="P102" s="45"/>
      <c r="Q102" s="502"/>
    </row>
    <row r="103" spans="1:17" ht="15" thickTop="1">
      <c r="A103" s="673"/>
      <c r="B103" s="536">
        <f>B32</f>
        <v>111</v>
      </c>
      <c r="C103" s="552"/>
      <c r="D103" s="552"/>
      <c r="E103" s="552"/>
      <c r="F103" s="552"/>
      <c r="G103" s="581"/>
      <c r="H103" s="581"/>
      <c r="I103" s="581"/>
      <c r="J103" s="581"/>
      <c r="K103" s="582"/>
      <c r="L103" s="583"/>
      <c r="M103" s="584"/>
      <c r="N103" s="1151"/>
      <c r="O103" s="1151"/>
      <c r="P103" s="45"/>
      <c r="Q103" s="502"/>
    </row>
    <row r="104" spans="1:17" ht="15.75" thickBot="1">
      <c r="A104" s="532"/>
      <c r="B104" s="541"/>
      <c r="C104" s="558"/>
      <c r="D104" s="558"/>
      <c r="E104" s="558"/>
      <c r="F104" s="558"/>
      <c r="G104" s="534"/>
      <c r="H104" s="534"/>
      <c r="I104" s="534"/>
      <c r="J104" s="534"/>
      <c r="K104" s="534"/>
      <c r="L104" s="534"/>
      <c r="M104" s="535"/>
      <c r="N104" s="1152"/>
      <c r="O104" s="1152"/>
      <c r="P104" s="45"/>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1"/>
      <c r="O107" s="1151"/>
      <c r="P107" s="45"/>
      <c r="Q107" s="502"/>
    </row>
    <row r="108" spans="1:17" ht="15">
      <c r="A108" s="532"/>
      <c r="B108" s="544"/>
      <c r="C108" s="593"/>
      <c r="D108" s="593"/>
      <c r="E108" s="593"/>
      <c r="F108" s="593"/>
      <c r="G108" s="593"/>
      <c r="H108" s="593"/>
      <c r="I108" s="593"/>
      <c r="J108" s="594"/>
      <c r="K108" s="594"/>
      <c r="L108" s="595"/>
      <c r="M108" s="596"/>
      <c r="N108" s="1151"/>
      <c r="O108" s="1151"/>
      <c r="P108" s="45"/>
      <c r="Q108" s="502"/>
    </row>
    <row r="109" spans="1:17" ht="15.75" thickBot="1">
      <c r="A109" s="532"/>
      <c r="B109" s="541"/>
      <c r="C109" s="568"/>
      <c r="D109" s="589"/>
      <c r="E109" s="589"/>
      <c r="F109" s="589"/>
      <c r="G109" s="589"/>
      <c r="H109" s="589"/>
      <c r="I109" s="589"/>
      <c r="J109" s="589"/>
      <c r="K109" s="589"/>
      <c r="L109" s="589"/>
      <c r="M109" s="590"/>
      <c r="N109" s="1152"/>
      <c r="O109" s="1152"/>
      <c r="P109" s="45"/>
      <c r="Q109" s="502"/>
    </row>
    <row r="110" spans="1:17" ht="15" thickTop="1">
      <c r="A110" s="597"/>
      <c r="B110" s="536" t="s">
        <v>2785</v>
      </c>
      <c r="C110" s="581"/>
      <c r="D110" s="581"/>
      <c r="E110" s="581"/>
      <c r="F110" s="581"/>
      <c r="G110" s="581"/>
      <c r="H110" s="581"/>
      <c r="I110" s="581"/>
      <c r="J110" s="581"/>
      <c r="K110" s="582"/>
      <c r="L110" s="583"/>
      <c r="M110" s="584"/>
      <c r="N110" s="1151"/>
      <c r="O110" s="1151"/>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5"/>
      <c r="Q111" s="502"/>
    </row>
    <row r="112" spans="1:17" s="469" customFormat="1" ht="15" thickTop="1">
      <c r="A112" s="591"/>
      <c r="B112" s="536" t="s">
        <v>2787</v>
      </c>
      <c r="C112" s="552"/>
      <c r="D112" s="552"/>
      <c r="E112" s="552"/>
      <c r="F112" s="552"/>
      <c r="G112" s="552"/>
      <c r="H112" s="581"/>
      <c r="I112" s="581"/>
      <c r="J112" s="581"/>
      <c r="K112" s="582"/>
      <c r="L112" s="583"/>
      <c r="M112" s="584"/>
      <c r="N112" s="1153"/>
      <c r="O112" s="1153"/>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2788</v>
      </c>
      <c r="C114" s="552"/>
      <c r="D114" s="552"/>
      <c r="E114" s="581"/>
      <c r="F114" s="581"/>
      <c r="G114" s="581"/>
      <c r="H114" s="581"/>
      <c r="I114" s="581"/>
      <c r="J114" s="581"/>
      <c r="K114" s="582"/>
      <c r="L114" s="583"/>
      <c r="M114" s="584"/>
      <c r="N114" s="1151"/>
      <c r="O114" s="1151"/>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5"/>
      <c r="Q115" s="502"/>
    </row>
    <row r="116" spans="1:17" ht="15" thickTop="1">
      <c r="A116" s="597"/>
      <c r="B116" s="536">
        <f>B38</f>
        <v>111</v>
      </c>
      <c r="C116" s="552"/>
      <c r="D116" s="552"/>
      <c r="E116" s="552"/>
      <c r="F116" s="552"/>
      <c r="G116" s="552"/>
      <c r="H116" s="581"/>
      <c r="I116" s="581"/>
      <c r="J116" s="581"/>
      <c r="K116" s="582"/>
      <c r="L116" s="583"/>
      <c r="M116" s="584"/>
      <c r="N116" s="1151"/>
      <c r="O116" s="1151"/>
      <c r="P116" s="45"/>
      <c r="Q116" s="502"/>
    </row>
    <row r="117" spans="1:17" ht="15.75" thickBot="1">
      <c r="A117" s="532"/>
      <c r="B117" s="541"/>
      <c r="C117" s="558"/>
      <c r="D117" s="534"/>
      <c r="E117" s="534"/>
      <c r="F117" s="534"/>
      <c r="G117" s="534"/>
      <c r="H117" s="534"/>
      <c r="I117" s="534"/>
      <c r="J117" s="534"/>
      <c r="K117" s="534"/>
      <c r="L117" s="534"/>
      <c r="M117" s="535"/>
      <c r="N117" s="1152"/>
      <c r="O117" s="1152"/>
      <c r="P117" s="45"/>
      <c r="Q117" s="502"/>
    </row>
    <row r="118" spans="1:17" ht="15" thickTop="1">
      <c r="A118" s="597"/>
      <c r="B118" s="536">
        <f>B39</f>
        <v>111</v>
      </c>
      <c r="C118" s="552"/>
      <c r="D118" s="552"/>
      <c r="E118" s="552"/>
      <c r="F118" s="552"/>
      <c r="G118" s="581"/>
      <c r="H118" s="581"/>
      <c r="I118" s="581"/>
      <c r="J118" s="581"/>
      <c r="K118" s="582"/>
      <c r="L118" s="583"/>
      <c r="M118" s="584"/>
      <c r="N118" s="1151"/>
      <c r="O118" s="1151"/>
      <c r="P118" s="45"/>
      <c r="Q118" s="502"/>
    </row>
    <row r="119" spans="1:17" ht="15.75" thickBot="1">
      <c r="A119" s="532"/>
      <c r="B119" s="541"/>
      <c r="C119" s="558"/>
      <c r="D119" s="558"/>
      <c r="E119" s="558"/>
      <c r="F119" s="558"/>
      <c r="G119" s="534"/>
      <c r="H119" s="534"/>
      <c r="I119" s="534"/>
      <c r="J119" s="534"/>
      <c r="K119" s="534"/>
      <c r="L119" s="534"/>
      <c r="M119" s="535"/>
      <c r="N119" s="1152"/>
      <c r="O119" s="1152"/>
      <c r="P119" s="45"/>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71" customWidth="1"/>
    <col min="33" max="36" width="9.375" style="2787" customWidth="1"/>
    <col min="37" max="38" width="9.375" style="2711" customWidth="1"/>
    <col min="39" max="16384" width="12" style="2711"/>
  </cols>
  <sheetData>
    <row r="1" spans="1:36" ht="28.5">
      <c r="A1" s="238" t="s">
        <v>2797</v>
      </c>
      <c r="B1" s="239"/>
      <c r="C1" s="243" t="s">
        <v>2798</v>
      </c>
      <c r="D1" s="386">
        <f>SUM(D29:D30,D33:D39)</f>
        <v>0</v>
      </c>
      <c r="E1" s="2708"/>
      <c r="F1" s="2708"/>
      <c r="G1" s="2708"/>
      <c r="H1" s="2708"/>
      <c r="I1" s="2708"/>
      <c r="J1" s="2708"/>
      <c r="K1" s="1369"/>
      <c r="L1" s="2709" t="s">
        <v>2799</v>
      </c>
      <c r="M1" s="1079">
        <f>SUMPRODUCT((区片价!B5:B9=I2)*(区片价!C3:F3=E2)*(区片价!C5:F9))</f>
        <v>0</v>
      </c>
      <c r="N1" s="1082">
        <f>SUMPRODUCT((因素修正幅度!B5:B9=I2)*(因素修正幅度!C3:F3=E2)*(因素修正幅度!C5:F9))</f>
        <v>0</v>
      </c>
      <c r="O1" s="2710"/>
      <c r="P1" s="2710"/>
      <c r="Q1" s="1369"/>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3" t="s">
        <v>2805</v>
      </c>
      <c r="B2" s="246" t="e">
        <f>C26</f>
        <v>#DIV/0!</v>
      </c>
      <c r="C2" s="2712" t="s">
        <v>2806</v>
      </c>
      <c r="D2" s="2713" t="s">
        <v>2807</v>
      </c>
      <c r="E2" s="2714"/>
      <c r="F2" s="2713" t="s">
        <v>2808</v>
      </c>
      <c r="G2" s="2715">
        <f>IF(E2="商业",项目基本情况!B37,IF(E2="办公",项目基本情况!C37,IF(E2="住宅",项目基本情况!D37,项目基本情况!E37)))</f>
        <v>0</v>
      </c>
      <c r="H2" s="2713" t="s">
        <v>2809</v>
      </c>
      <c r="I2" s="2715">
        <f>IF(E2="商业",项目基本情况!B38,IF(E2="办公",项目基本情况!C38,IF(E2="住宅",项目基本情况!D38,项目基本情况!E38)))</f>
        <v>0</v>
      </c>
      <c r="J2" s="2716"/>
      <c r="K2" s="1369"/>
      <c r="L2" s="2717" t="s">
        <v>2810</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2811</v>
      </c>
      <c r="B3" s="246" t="e">
        <f>ROUND(B2*10000/D1,0)</f>
        <v>#DIV/0!</v>
      </c>
      <c r="C3" s="2712" t="s">
        <v>2812</v>
      </c>
      <c r="D3" s="2713" t="s">
        <v>2813</v>
      </c>
      <c r="E3" s="2718"/>
      <c r="F3" s="2719" t="s">
        <v>2814</v>
      </c>
      <c r="G3" s="912">
        <f>IF(F3="宗地容积率",'数据-汇总表'!I4,IF(F3="估价对象容积率",'数据-汇总表'!I6,'数据-汇总表'!I7))</f>
        <v>1.8</v>
      </c>
      <c r="H3" s="196" t="s">
        <v>2815</v>
      </c>
      <c r="I3" s="943"/>
      <c r="J3" s="2716" t="s">
        <v>2816</v>
      </c>
      <c r="K3" s="1369"/>
      <c r="L3" s="2717" t="s">
        <v>2817</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31"/>
      <c r="B4" s="3332"/>
      <c r="C4" s="3332"/>
      <c r="D4" s="3333"/>
      <c r="E4" s="3333"/>
      <c r="F4" s="3333"/>
      <c r="G4" s="3333"/>
      <c r="H4" s="3333"/>
      <c r="I4" s="3333"/>
      <c r="J4" s="3334"/>
      <c r="K4" s="1369"/>
      <c r="L4" s="2717" t="s">
        <v>2818</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2819</v>
      </c>
      <c r="C5" s="913" t="e">
        <f>ROUND(IF(E2="商业",IF(F16="增加",C6*C7+C16,C6*C7-C16),IF(E2="住宅",IF(F16="增加",C6*C12+C16,C6*C12-C16),IF(F16="增加",C6+C16,C6-C16))),0)</f>
        <v>#DIV/0!</v>
      </c>
      <c r="D5" s="1785" t="e">
        <f>ROUND(IF(F16="增加",C6+C16,C6-C16),0)</f>
        <v>#DIV/0!</v>
      </c>
      <c r="E5" s="1785"/>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75" thickBot="1">
      <c r="A6" s="2730" t="s">
        <v>2821</v>
      </c>
      <c r="B6" s="2731" t="s">
        <v>2822</v>
      </c>
      <c r="C6" s="914">
        <f>SUMIF(L1:L12,G2,M1:M12)</f>
        <v>0</v>
      </c>
      <c r="D6" s="2732" t="s">
        <v>2823</v>
      </c>
      <c r="E6" s="2733"/>
      <c r="F6" s="2733"/>
      <c r="G6" s="2734"/>
      <c r="H6" s="2734"/>
      <c r="I6" s="2734"/>
      <c r="J6" s="2735"/>
      <c r="K6" s="1840"/>
      <c r="L6" s="2717" t="s">
        <v>2824</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317" t="str">
        <f>IF(E2="商业",IF(C8="不临58条商业街","",2),"")</f>
        <v/>
      </c>
      <c r="B7" s="2736" t="s">
        <v>2825</v>
      </c>
      <c r="C7" s="915" t="e">
        <f>IF(C8="不临58条商业街",1,ROUND(1+(1.6*E8+1.2*E9+0.8*E10+0.4*E11)*C9,4))</f>
        <v>#DIV/0!</v>
      </c>
      <c r="D7" s="2737" t="s">
        <v>2826</v>
      </c>
      <c r="E7" s="944"/>
      <c r="F7" s="2738"/>
      <c r="G7" s="2739"/>
      <c r="H7" s="2739"/>
      <c r="I7" s="2739"/>
      <c r="J7" s="2740"/>
      <c r="K7" s="1840"/>
      <c r="L7" s="2717" t="s">
        <v>2827</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1.8</v>
      </c>
      <c r="AA7" s="1604"/>
      <c r="AB7" s="1604"/>
      <c r="AC7" s="1605"/>
      <c r="AD7" s="1606"/>
      <c r="AE7" s="1606"/>
      <c r="AF7" s="1606"/>
      <c r="AG7" s="1606"/>
      <c r="AH7" s="1606"/>
      <c r="AI7" s="1606"/>
      <c r="AJ7" s="1607"/>
    </row>
    <row r="8" spans="1:36" ht="15">
      <c r="A8" s="3318"/>
      <c r="B8" s="196" t="s">
        <v>2830</v>
      </c>
      <c r="C8" s="2741"/>
      <c r="D8" s="916" t="s">
        <v>139</v>
      </c>
      <c r="E8" s="917" t="e">
        <f>ROUND(C11/E7,4)</f>
        <v>#DIV/0!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28" t="s">
        <v>2833</v>
      </c>
      <c r="X8" s="3329"/>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18"/>
      <c r="B9" s="196" t="s">
        <v>2846</v>
      </c>
      <c r="C9" s="918">
        <f>SUMIF(修正!C59:C119,C8,修正!E59:E119)</f>
        <v>0</v>
      </c>
      <c r="D9" s="198" t="s">
        <v>140</v>
      </c>
      <c r="E9" s="198" t="e">
        <f>ROUND(C11/E7,4)</f>
        <v>#DIV/0!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30"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8"/>
      <c r="B10" s="196" t="s">
        <v>2851</v>
      </c>
      <c r="C10" s="198">
        <f>SUMIF(修正!C59:C119,C8,修正!F59:F119)</f>
        <v>0</v>
      </c>
      <c r="D10" s="198" t="s">
        <v>141</v>
      </c>
      <c r="E10" s="198" t="e">
        <f>ROUND(C11/E7,4)</f>
        <v>#DIV/0!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3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8"/>
      <c r="B11" s="2745" t="s">
        <v>2854</v>
      </c>
      <c r="C11" s="919">
        <f>C10/4</f>
        <v>0</v>
      </c>
      <c r="D11" s="919" t="s">
        <v>142</v>
      </c>
      <c r="E11" s="919" t="e">
        <f>ROUND(C11/E7,4)</f>
        <v>#DIV/0!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30" t="s">
        <v>2857</v>
      </c>
      <c r="X11" s="1612" t="s">
        <v>2858</v>
      </c>
      <c r="Y11" s="1613">
        <f>$G$3</f>
        <v>1.8</v>
      </c>
      <c r="Z11" s="1613">
        <f t="shared" ref="Z11:AJ11" si="3">$G$3</f>
        <v>1.8</v>
      </c>
      <c r="AA11" s="1613">
        <f t="shared" si="3"/>
        <v>1.8</v>
      </c>
      <c r="AB11" s="1613">
        <f t="shared" si="3"/>
        <v>1.8</v>
      </c>
      <c r="AC11" s="1613">
        <f t="shared" si="3"/>
        <v>1.8</v>
      </c>
      <c r="AD11" s="1613">
        <f t="shared" si="3"/>
        <v>1.8</v>
      </c>
      <c r="AE11" s="1613">
        <f t="shared" si="3"/>
        <v>1.8</v>
      </c>
      <c r="AF11" s="1613">
        <f t="shared" si="3"/>
        <v>1.8</v>
      </c>
      <c r="AG11" s="1613">
        <f t="shared" si="3"/>
        <v>1.8</v>
      </c>
      <c r="AH11" s="1613">
        <f t="shared" si="3"/>
        <v>1.8</v>
      </c>
      <c r="AI11" s="1613">
        <f t="shared" si="3"/>
        <v>1.8</v>
      </c>
      <c r="AJ11" s="1613">
        <f t="shared" si="3"/>
        <v>1.8</v>
      </c>
    </row>
    <row r="12" spans="1:36" ht="25.5" thickBot="1">
      <c r="A12" s="3317" t="s">
        <v>2859</v>
      </c>
      <c r="B12" s="2749" t="s">
        <v>2860</v>
      </c>
      <c r="C12" s="915">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30"/>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5"/>
      <c r="B13" s="2755" t="s">
        <v>2864</v>
      </c>
      <c r="C13" s="2756" t="s">
        <v>2865</v>
      </c>
      <c r="D13" s="1806" t="s">
        <v>2866</v>
      </c>
      <c r="E13" s="1806" t="s">
        <v>2867</v>
      </c>
      <c r="F13" s="30" t="s">
        <v>2868</v>
      </c>
      <c r="G13" s="2757" t="s">
        <v>2869</v>
      </c>
      <c r="H13" s="2757" t="s">
        <v>2869</v>
      </c>
      <c r="I13" s="2757" t="s">
        <v>2869</v>
      </c>
      <c r="J13" s="2758" t="s">
        <v>2869</v>
      </c>
      <c r="K13" s="1369"/>
      <c r="L13" s="1369"/>
      <c r="M13" s="1369"/>
      <c r="N13" s="1369"/>
      <c r="O13" s="1369"/>
      <c r="P13" s="1369"/>
      <c r="Q13" s="1369"/>
      <c r="R13" s="1600">
        <v>12</v>
      </c>
      <c r="S13" s="1601"/>
      <c r="T13" s="1600" t="e">
        <f t="shared" si="0"/>
        <v>#DIV/0!</v>
      </c>
      <c r="U13" s="1601"/>
      <c r="V13" s="1600" t="e">
        <f t="shared" si="1"/>
        <v>#DIV/0!</v>
      </c>
      <c r="W13" s="3330"/>
      <c r="X13" s="1614"/>
      <c r="Y13" s="1611">
        <f>(-0.163*(Y12^2)-0.59*Y12+7617)*(10^(-4))/Y11</f>
        <v>0.42316666666666669</v>
      </c>
      <c r="Z13" s="1611">
        <f t="shared" ref="Z13:AJ13" si="5">(-0.163*(Z12^2)-0.59*Z12+7617)*(10^(-4))/Z11</f>
        <v>0.42316666666666669</v>
      </c>
      <c r="AA13" s="1611">
        <f t="shared" si="5"/>
        <v>0.42316666666666669</v>
      </c>
      <c r="AB13" s="1611">
        <f t="shared" si="5"/>
        <v>0.42316666666666669</v>
      </c>
      <c r="AC13" s="1611">
        <f t="shared" si="5"/>
        <v>0.42316666666666669</v>
      </c>
      <c r="AD13" s="1611">
        <f t="shared" si="5"/>
        <v>0.42316666666666669</v>
      </c>
      <c r="AE13" s="1611">
        <f t="shared" si="5"/>
        <v>0.42316666666666669</v>
      </c>
      <c r="AF13" s="1611">
        <f t="shared" si="5"/>
        <v>0.42316666666666669</v>
      </c>
      <c r="AG13" s="1611">
        <f t="shared" si="5"/>
        <v>0.42316666666666669</v>
      </c>
      <c r="AH13" s="1611">
        <f t="shared" si="5"/>
        <v>0.42316666666666669</v>
      </c>
      <c r="AI13" s="1611">
        <f t="shared" si="5"/>
        <v>0.42316666666666669</v>
      </c>
      <c r="AJ13" s="1611">
        <f t="shared" si="5"/>
        <v>0.42316666666666669</v>
      </c>
    </row>
    <row r="14" spans="1:36" ht="15">
      <c r="A14" s="3335"/>
      <c r="B14" s="2759"/>
      <c r="C14" s="2760"/>
      <c r="D14" s="2761"/>
      <c r="E14" s="2761"/>
      <c r="F14" s="2762"/>
      <c r="G14" s="2763" t="s">
        <v>2870</v>
      </c>
      <c r="H14" s="2764"/>
      <c r="I14" s="2765"/>
      <c r="J14" s="2766"/>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36"/>
      <c r="B15" s="2767" t="s">
        <v>2871</v>
      </c>
      <c r="C15" s="227">
        <f>IF(C14="有",1.1,1)</f>
        <v>1</v>
      </c>
      <c r="D15" s="227">
        <f>IF(D14="有",1.1,1)</f>
        <v>1</v>
      </c>
      <c r="E15" s="227">
        <f>IF(E14="有",1.1,1)</f>
        <v>1</v>
      </c>
      <c r="F15" s="227">
        <f>IF(F14="500米范围内",1.2,IF(F14="500-1000米",1.1,1))</f>
        <v>1</v>
      </c>
      <c r="G15" s="945">
        <v>1</v>
      </c>
      <c r="H15" s="945">
        <v>1</v>
      </c>
      <c r="I15" s="945">
        <v>1</v>
      </c>
      <c r="J15" s="946">
        <v>1</v>
      </c>
      <c r="K15" s="1369"/>
      <c r="L15" s="2768" t="s">
        <v>2807</v>
      </c>
      <c r="M15" s="916" t="s">
        <v>2872</v>
      </c>
      <c r="N15" s="916" t="s">
        <v>2873</v>
      </c>
      <c r="O15" s="916" t="s">
        <v>2874</v>
      </c>
      <c r="P15" s="2769" t="s">
        <v>2875</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17" t="s">
        <v>2876</v>
      </c>
      <c r="B16" s="2736" t="s">
        <v>2877</v>
      </c>
      <c r="C16" s="1799" t="e">
        <f>ROUND(SUM(G17:J17)/C17,0)</f>
        <v>#DIV/0!</v>
      </c>
      <c r="D16" s="2770" t="s">
        <v>2878</v>
      </c>
      <c r="E16" s="2771"/>
      <c r="F16" s="2772"/>
      <c r="G16" s="2773"/>
      <c r="H16" s="2773"/>
      <c r="I16" s="2773"/>
      <c r="J16" s="2774"/>
      <c r="K16" s="1369"/>
      <c r="L16" s="2775" t="s">
        <v>2879</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8"/>
      <c r="B17" s="2776" t="s">
        <v>2880</v>
      </c>
      <c r="C17" s="920">
        <f>SUMPRODUCT((修正!A2:A5=E2)*(修正!B1:M1=G2)*(修正!B2:M5))</f>
        <v>0</v>
      </c>
      <c r="D17" s="2777" t="s">
        <v>2881</v>
      </c>
      <c r="E17" s="919" t="str">
        <f>IF(OR(G2="八级",G2="九级",G2="十级",G2="十一级",G2="十二级"),"五通一平","七通一平")</f>
        <v>七通一平</v>
      </c>
      <c r="F17" s="920" t="s">
        <v>2882</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78" t="s">
        <v>2883</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79"/>
      <c r="AF17" s="2779"/>
      <c r="AG17" s="2711"/>
      <c r="AH17" s="2711"/>
      <c r="AI17" s="2711"/>
      <c r="AJ17" s="2711"/>
    </row>
    <row r="18" spans="1:37" s="2729" customFormat="1" ht="15.75" thickBot="1">
      <c r="A18" s="2780" t="s">
        <v>808</v>
      </c>
      <c r="B18" s="2781" t="s">
        <v>2884</v>
      </c>
      <c r="C18" s="922">
        <f>SUMIF(修正!C18:C39,E3,修正!E18:E39)</f>
        <v>0</v>
      </c>
      <c r="D18" s="2782"/>
      <c r="E18" s="2783"/>
      <c r="F18" s="2784"/>
      <c r="G18" s="2785"/>
      <c r="H18" s="2785"/>
      <c r="I18" s="2785"/>
      <c r="J18" s="2786"/>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29" customFormat="1" ht="27.75" thickBot="1">
      <c r="A19" s="2780" t="s">
        <v>809</v>
      </c>
      <c r="B19" s="2781" t="s">
        <v>2885</v>
      </c>
      <c r="C19" s="923" t="e">
        <f>ROUND(IF(H19="按公示增长率计算",SUMPRODUCT((地价!A3:A25=YEAR(G19)&amp;"-"&amp;ROUNDUP(MONTH(G19)/3,0))*(地价!X2:AB2=E2)*(地价!X3:AB25)),IF(H19="地价指数",M20/M19,(1+I19)^O19)),4)</f>
        <v>#DIV/0!</v>
      </c>
      <c r="D19" s="2788" t="s">
        <v>2886</v>
      </c>
      <c r="E19" s="924">
        <v>41640</v>
      </c>
      <c r="F19" s="2788" t="s">
        <v>2887</v>
      </c>
      <c r="G19" s="925">
        <f>'数据-取费表'!B2</f>
        <v>43493</v>
      </c>
      <c r="H19" s="2789" t="s">
        <v>2888</v>
      </c>
      <c r="I19" s="926" t="str">
        <f>IF(H19="季度增幅（自定义）",SUMIF(N21:N24,E2,O21:O24),"")</f>
        <v/>
      </c>
      <c r="J19" s="2786"/>
      <c r="K19" s="1376"/>
      <c r="L19" s="2790" t="s">
        <v>2889</v>
      </c>
      <c r="M19" s="1732">
        <f>ROUND(SUMIF(地价!B2:F2,E2,地价!B25:F25),0)</f>
        <v>0</v>
      </c>
      <c r="N19" s="2791" t="s">
        <v>2890</v>
      </c>
      <c r="O19" s="927">
        <f>ROUNDDOWN(DATEDIF(E19,G19,"M")/3,0)</f>
        <v>20</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29" customFormat="1" ht="27.75" thickBot="1">
      <c r="A20" s="2795" t="s">
        <v>810</v>
      </c>
      <c r="B20" s="2796" t="s">
        <v>2891</v>
      </c>
      <c r="C20" s="928" t="e">
        <f>ROUND(POWER(1+G20,J20-I20)*(POWER(1+G20,I20)-1)/(POWER(1+G20,J20)-1),4)</f>
        <v>#DIV/0!</v>
      </c>
      <c r="D20" s="2797" t="s">
        <v>2892</v>
      </c>
      <c r="E20" s="1766">
        <f ca="1">存贷款利率!D4/100</f>
        <v>4.3499999999999997E-2</v>
      </c>
      <c r="F20" s="2797" t="s">
        <v>2883</v>
      </c>
      <c r="G20" s="933">
        <f>SUMIF(M15:P15,E2,M17:P17)</f>
        <v>0</v>
      </c>
      <c r="H20" s="2797" t="s">
        <v>2893</v>
      </c>
      <c r="I20" s="934" t="e">
        <f>SUMIF('数据-取费表'!C6:C15,E2,'数据-取费表'!F6:F15)/COUNTIF('数据-取费表'!C6:C15,E2)</f>
        <v>#DIV/0!</v>
      </c>
      <c r="J20" s="935">
        <f>IF(E2="住宅",70,IF(E2="商业",40,50))</f>
        <v>50</v>
      </c>
      <c r="K20" s="1376"/>
      <c r="L20" s="2798" t="s">
        <v>2894</v>
      </c>
      <c r="M20" s="1733">
        <f>ROUND(SUMPRODUCT((地价!A4:A25=YEAR(G19)&amp;"-"&amp;ROUNDUP(MONTH(G19)/3,0))*(地价!B2:F2=E2)*(地价!B4:F25)),0)</f>
        <v>0</v>
      </c>
      <c r="N20" s="2799" t="s">
        <v>2895</v>
      </c>
      <c r="O20" s="2800" t="s">
        <v>2896</v>
      </c>
      <c r="P20" s="2801" t="s">
        <v>2897</v>
      </c>
      <c r="R20" s="1375"/>
      <c r="S20" s="1375"/>
      <c r="T20" s="1370"/>
      <c r="U20" s="1370"/>
      <c r="V20" s="1370"/>
      <c r="W20" s="1369"/>
      <c r="X20" s="1369"/>
      <c r="Y20" s="1369"/>
      <c r="Z20" s="1376"/>
      <c r="AA20" s="1377"/>
      <c r="AB20" s="1377"/>
      <c r="AC20" s="1377"/>
      <c r="AD20" s="1377"/>
      <c r="AE20" s="1377"/>
      <c r="AF20" s="1377"/>
    </row>
    <row r="21" spans="1:37" s="2729" customFormat="1" ht="15">
      <c r="A21" s="2802" t="s">
        <v>811</v>
      </c>
      <c r="B21" s="2803" t="s">
        <v>2898</v>
      </c>
      <c r="C21" s="936">
        <f>IF(B21="容积率修正",IF(G3&lt;=10,D22,J22),C23)</f>
        <v>0</v>
      </c>
      <c r="D21" s="2804"/>
      <c r="E21" s="2804"/>
      <c r="F21" s="2804"/>
      <c r="G21" s="2804"/>
      <c r="H21" s="2804"/>
      <c r="I21" s="2804"/>
      <c r="J21" s="2805"/>
      <c r="K21" s="1376"/>
      <c r="N21" s="2806" t="s">
        <v>2899</v>
      </c>
      <c r="O21" s="1560"/>
      <c r="P21" s="1561">
        <f>SUMPRODUCT((地价!A3:A25=YEAR(G19)&amp;"-"&amp;ROUNDUP(MONTH(G19)/3,0))*(地价!AD2:AH2=N21)*(地价!AD3:AH25))</f>
        <v>1.5100000000000001E-2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5" t="s">
        <v>2900</v>
      </c>
      <c r="B22" s="2807" t="s">
        <v>2901</v>
      </c>
      <c r="C22" s="1808" t="s">
        <v>2902</v>
      </c>
      <c r="D22" s="1808" t="b">
        <f>IF(E22=G22,F22,IF(G3&lt;=10,ROUND(F22+(H22-F22)*(G3-E22)/(G22-E22),4),"——"))</f>
        <v>0</v>
      </c>
      <c r="E22" s="912">
        <f>ROUNDDOWN(G3,1)</f>
        <v>1.8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1.8</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6" t="s">
        <v>2903</v>
      </c>
      <c r="O22" s="1560"/>
      <c r="P22" s="1561">
        <f>SUMPRODUCT((地价!A3:A25=YEAR(G19)&amp;"-"&amp;ROUNDUP(MONTH(G19)/3,0))*(地价!AD2:AH2=N22)*(地价!AD3:AH25))</f>
        <v>1.5100000000000001E-2</v>
      </c>
      <c r="R22" s="1375"/>
      <c r="S22" s="1375"/>
      <c r="T22" s="1370"/>
      <c r="U22" s="1370"/>
      <c r="V22" s="1370"/>
      <c r="W22" s="1369"/>
      <c r="X22" s="1369"/>
      <c r="Y22" s="1369"/>
      <c r="Z22" s="1376"/>
      <c r="AA22" s="1377"/>
      <c r="AB22" s="1377"/>
      <c r="AC22" s="1377"/>
      <c r="AD22" s="1377"/>
      <c r="AE22" s="1377"/>
      <c r="AF22" s="1377"/>
    </row>
    <row r="23" spans="1:37" ht="27.75" thickBot="1">
      <c r="A23" s="2655" t="s">
        <v>2904</v>
      </c>
      <c r="B23" s="2808" t="s">
        <v>2905</v>
      </c>
      <c r="C23" s="1012">
        <f>ROUND(IF(G3&gt;1,IF(I3&lt;7,SUMPRODUCT((B93:B98=I3)*(C92:N92=G2)*(C93:N98)),SUMIF(C92:N92,G2,C100:N100)),IF(I3&lt;7,SUMPRODUCT((B102:B107=I3)*(C92:N92=G2)*(C102:N107)),SUMIF(C92:N92,G2,C109:N109))),4)</f>
        <v>0</v>
      </c>
      <c r="D23" s="2764"/>
      <c r="E23" s="2764"/>
      <c r="F23" s="2809"/>
      <c r="G23" s="2810"/>
      <c r="H23" s="2811"/>
      <c r="I23" s="2812"/>
      <c r="J23" s="2813"/>
      <c r="K23" s="1369"/>
      <c r="N23" s="2806" t="s">
        <v>2906</v>
      </c>
      <c r="O23" s="1560"/>
      <c r="P23" s="1561">
        <f>SUMPRODUCT((地价!A3:A25=YEAR(G19)&amp;"-"&amp;ROUNDUP(MONTH(G19)/3,0))*(地价!AD2:AH2=N23)*(地价!AD3:AH25))</f>
        <v>2.3400000000000001E-2</v>
      </c>
      <c r="R23" s="1375"/>
      <c r="S23" s="1375"/>
      <c r="T23" s="1370"/>
      <c r="U23" s="1370"/>
      <c r="V23" s="1370"/>
      <c r="W23" s="1369"/>
      <c r="X23" s="1369"/>
      <c r="Y23" s="1369"/>
      <c r="Z23" s="1376"/>
      <c r="AA23" s="1377"/>
      <c r="AB23" s="1377"/>
      <c r="AC23" s="1377"/>
      <c r="AD23" s="1377"/>
      <c r="AK23" s="2787"/>
    </row>
    <row r="24" spans="1:37" s="2729" customFormat="1" ht="15.75" thickBot="1">
      <c r="A24" s="2795" t="s">
        <v>812</v>
      </c>
      <c r="B24" s="2781" t="s">
        <v>2907</v>
      </c>
      <c r="C24" s="923">
        <f>SUMIF(A45:A88,E2,B45:B88)</f>
        <v>0</v>
      </c>
      <c r="D24" s="2784"/>
      <c r="E24" s="2814"/>
      <c r="F24" s="2814"/>
      <c r="G24" s="2814"/>
      <c r="H24" s="2814"/>
      <c r="I24" s="2814"/>
      <c r="J24" s="2815"/>
      <c r="K24" s="1376"/>
      <c r="N24" s="2816" t="s">
        <v>2908</v>
      </c>
      <c r="O24" s="1562"/>
      <c r="P24" s="1563">
        <f>SUMPRODUCT((地价!A3:A25=YEAR(G19)&amp;"-"&amp;ROUNDUP(MONTH(G19)/3,0))*(地价!AD2:AH2=N24)*(地价!AD3:AH25))</f>
        <v>1.4200000000000001E-2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2909</v>
      </c>
      <c r="C25" s="929"/>
      <c r="D25" s="2739"/>
      <c r="E25" s="2739"/>
      <c r="F25" s="2818"/>
      <c r="G25" s="2739"/>
      <c r="H25" s="2739"/>
      <c r="I25" s="2739"/>
      <c r="J25" s="2740"/>
      <c r="K25" s="1369"/>
      <c r="N25" s="2819" t="s">
        <v>2910</v>
      </c>
      <c r="O25" s="1564"/>
      <c r="P25" s="1563">
        <f>SUMPRODUCT((地价!A3:A25=YEAR(G19)&amp;"-"&amp;ROUNDUP(MONTH(G19)/3,0))*(地价!AD2:AH2=N25)*(地价!AD3:AH25))</f>
        <v>2.1299999999999999E-2</v>
      </c>
      <c r="R25" s="1375"/>
      <c r="S25" s="1375"/>
      <c r="T25" s="1370"/>
      <c r="U25" s="1370"/>
      <c r="V25" s="1370"/>
      <c r="W25" s="1369"/>
      <c r="X25" s="1369"/>
      <c r="Y25" s="1369"/>
      <c r="Z25" s="1376"/>
      <c r="AA25" s="1377"/>
      <c r="AB25" s="1377"/>
      <c r="AC25" s="1377"/>
      <c r="AD25" s="1377"/>
    </row>
    <row r="26" spans="1:37" ht="15">
      <c r="A26" s="2820"/>
      <c r="B26" s="2807" t="s">
        <v>2911</v>
      </c>
      <c r="C26" s="204" t="e">
        <f>E29+SUM(E33:E39)</f>
        <v>#DIV/0!</v>
      </c>
      <c r="D26" s="2821"/>
      <c r="E26" s="2764"/>
      <c r="F26" s="2822"/>
      <c r="G26" s="2764"/>
      <c r="H26" s="2764"/>
      <c r="I26" s="2764"/>
      <c r="J26" s="2823"/>
      <c r="K26" s="1369"/>
      <c r="R26" s="1375"/>
      <c r="S26" s="1375"/>
      <c r="T26" s="1370"/>
      <c r="U26" s="1370"/>
      <c r="V26" s="1370"/>
      <c r="W26" s="1369"/>
      <c r="X26" s="1369"/>
      <c r="Y26" s="1369"/>
      <c r="Z26" s="1376"/>
      <c r="AA26" s="1377"/>
      <c r="AB26" s="1377"/>
      <c r="AC26" s="1377"/>
      <c r="AD26" s="1377"/>
    </row>
    <row r="27" spans="1:37" ht="15.75" thickBot="1">
      <c r="A27" s="2820"/>
      <c r="B27" s="2824" t="s">
        <v>2912</v>
      </c>
      <c r="C27" s="930" t="e">
        <f>E30+SUM(I33:I39)</f>
        <v>#DIV/0!</v>
      </c>
      <c r="D27" s="2825"/>
      <c r="E27" s="2826"/>
      <c r="F27" s="2827"/>
      <c r="G27" s="2826"/>
      <c r="H27" s="2826"/>
      <c r="I27" s="2826"/>
      <c r="J27" s="282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29"/>
      <c r="B28" s="2830" t="s">
        <v>2913</v>
      </c>
      <c r="C28" s="2831" t="s">
        <v>2914</v>
      </c>
      <c r="D28" s="2831" t="s">
        <v>2915</v>
      </c>
      <c r="E28" s="2832" t="s">
        <v>2916</v>
      </c>
      <c r="F28" s="2833"/>
      <c r="G28" s="2752"/>
      <c r="H28" s="2752"/>
      <c r="I28" s="2752"/>
      <c r="J28" s="275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4"/>
      <c r="B29" s="2835" t="s">
        <v>2917</v>
      </c>
      <c r="C29" s="204" t="e">
        <f>ROUND(C5*C18*C19*C20*C21*C24,0)</f>
        <v>#DIV/0!</v>
      </c>
      <c r="D29" s="2836"/>
      <c r="E29" s="941" t="e">
        <f>ROUND(C29*D29/10000,0)</f>
        <v>#DIV/0!</v>
      </c>
      <c r="F29" s="2837" t="s">
        <v>2918</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1"/>
      <c r="AH29" s="2711"/>
      <c r="AI29" s="2711"/>
      <c r="AJ29" s="2711"/>
    </row>
    <row r="30" spans="1:37" ht="25.5" thickBot="1">
      <c r="A30" s="2840"/>
      <c r="B30" s="2841" t="s">
        <v>2919</v>
      </c>
      <c r="C30" s="227" t="e">
        <f>ROUND(IF(E2="工业",C29*M39,C29*M38),0)</f>
        <v>#DIV/0!</v>
      </c>
      <c r="D30" s="2842"/>
      <c r="E30" s="941" t="e">
        <f>ROUND(C30*D30/10000,0)</f>
        <v>#DIV/0!</v>
      </c>
      <c r="F30" s="2843" t="s">
        <v>2920</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1"/>
      <c r="AH30" s="2711"/>
      <c r="AI30" s="2711"/>
      <c r="AJ30" s="2711"/>
    </row>
    <row r="31" spans="1:37" ht="14.25">
      <c r="A31" s="2846"/>
      <c r="B31" s="2847" t="s">
        <v>2921</v>
      </c>
      <c r="C31" s="2848" t="s">
        <v>2922</v>
      </c>
      <c r="D31" s="2752"/>
      <c r="E31" s="2848"/>
      <c r="F31" s="2848"/>
      <c r="G31" s="2750" t="s">
        <v>2923</v>
      </c>
      <c r="H31" s="2752"/>
      <c r="I31" s="2849"/>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1"/>
      <c r="AH31" s="2711"/>
      <c r="AI31" s="2711"/>
      <c r="AJ31" s="2711"/>
    </row>
    <row r="32" spans="1:37" ht="24">
      <c r="A32" s="2834"/>
      <c r="B32" s="2850"/>
      <c r="C32" s="499" t="s">
        <v>2914</v>
      </c>
      <c r="D32" s="496" t="s">
        <v>2915</v>
      </c>
      <c r="E32" s="496" t="s">
        <v>2916</v>
      </c>
      <c r="F32" s="386" t="s">
        <v>2924</v>
      </c>
      <c r="G32" s="2851" t="s">
        <v>2914</v>
      </c>
      <c r="H32" s="2851" t="s">
        <v>2915</v>
      </c>
      <c r="I32" s="2851" t="s">
        <v>2916</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1"/>
      <c r="AH32" s="2711"/>
      <c r="AI32" s="2711"/>
      <c r="AJ32" s="2711"/>
    </row>
    <row r="33" spans="1:37" ht="36" customHeight="1">
      <c r="A33" s="3325" t="s">
        <v>2925</v>
      </c>
      <c r="B33" s="2852" t="s">
        <v>2926</v>
      </c>
      <c r="C33" s="204" t="e">
        <f>ROUND(D5*C19*C20*C24*F33,0)</f>
        <v>#DIV/0!</v>
      </c>
      <c r="D33" s="2836"/>
      <c r="E33" s="198" t="e">
        <f>ROUND(C33*D33/10000,0)</f>
        <v>#DIV/0!</v>
      </c>
      <c r="F33" s="198">
        <f>SUMIF(修正!A45:A56,G2,修正!B45:B56)</f>
        <v>0</v>
      </c>
      <c r="G33" s="198" t="e">
        <f t="shared" ref="G33" si="6">ROUND(IF(E2="工业",C33*$M$39,C33*$M$38),0)</f>
        <v>#DIV/0!</v>
      </c>
      <c r="H33" s="198">
        <f>D33</f>
        <v>0</v>
      </c>
      <c r="I33" s="198" t="e">
        <f>ROUND(G33*H33/10000,0)</f>
        <v>#DIV/0!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6"/>
      <c r="B34" s="2756" t="s">
        <v>2927</v>
      </c>
      <c r="C34" s="204" t="e">
        <f>ROUND(D5*C19*C20*C24*F34,0)</f>
        <v>#DIV/0!</v>
      </c>
      <c r="D34" s="2836"/>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6"/>
      <c r="B35" s="2756" t="s">
        <v>2928</v>
      </c>
      <c r="C35" s="204" t="e">
        <f>ROUND(D5*C19*C20*C24*F35,0)</f>
        <v>#DIV/0!</v>
      </c>
      <c r="D35" s="2836"/>
      <c r="E35" s="198" t="e">
        <f t="shared" si="7"/>
        <v>#DIV/0!</v>
      </c>
      <c r="F35" s="198">
        <f>SUMIF(修正!A45:A56,G2,修正!D45:D56)</f>
        <v>0</v>
      </c>
      <c r="G35" s="198" t="e">
        <f>ROUND(IF(E2="工业",C35*$M$39,C35*$M$38),0)</f>
        <v>#DIV/0!</v>
      </c>
      <c r="H35" s="198">
        <f t="shared" si="8"/>
        <v>0</v>
      </c>
      <c r="I35" s="198" t="e">
        <f t="shared" si="9"/>
        <v>#DIV/0!</v>
      </c>
      <c r="J35" s="2853"/>
      <c r="K35" s="1369"/>
      <c r="L35" s="1369"/>
      <c r="M35" s="1369"/>
      <c r="N35" s="1369"/>
      <c r="O35" s="1369"/>
      <c r="P35" s="1369"/>
      <c r="Q35" s="1369"/>
      <c r="R35" s="1369"/>
      <c r="S35" s="1369"/>
      <c r="T35" s="1369"/>
      <c r="U35" s="1369"/>
      <c r="V35" s="1369"/>
      <c r="W35" s="1369"/>
      <c r="X35" s="1369"/>
      <c r="Y35" s="1369"/>
      <c r="Z35" s="1370"/>
    </row>
    <row r="36" spans="1:37" ht="13.5" thickBot="1">
      <c r="A36" s="3327"/>
      <c r="B36" s="2756" t="s">
        <v>2929</v>
      </c>
      <c r="C36" s="204" t="e">
        <f>ROUND(D5*C19*C20*C24*F36,0)</f>
        <v>#DIV/0!</v>
      </c>
      <c r="D36" s="2836"/>
      <c r="E36" s="198" t="e">
        <f t="shared" si="7"/>
        <v>#DIV/0!</v>
      </c>
      <c r="F36" s="198">
        <f>SUMIF(修正!A45:A56,G2,修正!E45:E56)</f>
        <v>0</v>
      </c>
      <c r="G36" s="198" t="e">
        <f>ROUND(IF(E2="工业",C36*$M$39,C36*$M$38),0)</f>
        <v>#DIV/0!</v>
      </c>
      <c r="H36" s="198">
        <f t="shared" si="8"/>
        <v>0</v>
      </c>
      <c r="I36" s="198" t="e">
        <f t="shared" si="9"/>
        <v>#DIV/0!</v>
      </c>
      <c r="J36" s="2853"/>
      <c r="K36" s="1369"/>
      <c r="L36" s="2710"/>
      <c r="M36" s="2710"/>
      <c r="N36" s="1369"/>
      <c r="O36" s="1369"/>
      <c r="P36" s="1369"/>
      <c r="Q36" s="1369"/>
      <c r="R36" s="1369"/>
      <c r="S36" s="1369"/>
      <c r="T36" s="1369"/>
      <c r="U36" s="1369"/>
      <c r="V36" s="1369"/>
      <c r="W36" s="1369"/>
      <c r="X36" s="1369"/>
      <c r="Y36" s="1369"/>
      <c r="Z36" s="1370"/>
    </row>
    <row r="37" spans="1:37">
      <c r="A37" s="2854"/>
      <c r="B37" s="2756" t="s">
        <v>2930</v>
      </c>
      <c r="C37" s="198" t="e">
        <f>ROUND(D5*C19*C20*C24*F37,0)</f>
        <v>#DIV/0!</v>
      </c>
      <c r="D37" s="2836"/>
      <c r="E37" s="198" t="e">
        <f t="shared" si="7"/>
        <v>#DIV/0!</v>
      </c>
      <c r="F37" s="204">
        <f>SUMIF(修正!A45:A56,G2,修正!F45:F56)</f>
        <v>0</v>
      </c>
      <c r="G37" s="198" t="e">
        <f>ROUND(IF(E2="工业",C37*$M$39,C37*$M$38),0)</f>
        <v>#DIV/0!</v>
      </c>
      <c r="H37" s="198">
        <f t="shared" si="8"/>
        <v>0</v>
      </c>
      <c r="I37" s="198" t="e">
        <f t="shared" si="9"/>
        <v>#DIV/0!</v>
      </c>
      <c r="J37" s="2853"/>
      <c r="K37" s="1369"/>
      <c r="L37" s="2855" t="s">
        <v>2931</v>
      </c>
      <c r="M37" s="2856"/>
      <c r="N37" s="1369"/>
      <c r="O37" s="1369"/>
      <c r="P37" s="1369"/>
      <c r="Q37" s="1369"/>
      <c r="R37" s="1369"/>
      <c r="S37" s="1369"/>
      <c r="T37" s="1369"/>
      <c r="U37" s="1369"/>
      <c r="V37" s="1369"/>
      <c r="W37" s="1369"/>
      <c r="X37" s="1369"/>
      <c r="Y37" s="1369"/>
      <c r="Z37" s="1370"/>
    </row>
    <row r="38" spans="1:37">
      <c r="A38" s="2854"/>
      <c r="B38" s="2756" t="s">
        <v>2932</v>
      </c>
      <c r="C38" s="198" t="e">
        <f>ROUND(D5*C19*C41*C24*F38,0)</f>
        <v>#DIV/0!</v>
      </c>
      <c r="D38" s="2836"/>
      <c r="E38" s="198" t="e">
        <f t="shared" si="7"/>
        <v>#DIV/0!</v>
      </c>
      <c r="F38" s="204">
        <f>SUMIF(修正!A45:A56,G2,修正!G45:G56)</f>
        <v>0</v>
      </c>
      <c r="G38" s="198" t="e">
        <f>ROUND(IF(E2="工业",C38*$M$39,C38*$M$38),0)</f>
        <v>#DIV/0!</v>
      </c>
      <c r="H38" s="198">
        <f t="shared" si="8"/>
        <v>0</v>
      </c>
      <c r="I38" s="198" t="e">
        <f t="shared" si="9"/>
        <v>#DIV/0!</v>
      </c>
      <c r="J38" s="2853"/>
      <c r="K38" s="1369"/>
      <c r="L38" s="1885" t="s">
        <v>2933</v>
      </c>
      <c r="M38" s="2857">
        <v>0.25</v>
      </c>
      <c r="N38" s="1369"/>
      <c r="O38" s="1369"/>
      <c r="P38" s="1369"/>
      <c r="Q38" s="1369"/>
      <c r="R38" s="1369"/>
      <c r="S38" s="1369"/>
      <c r="T38" s="1369"/>
      <c r="U38" s="1369"/>
      <c r="V38" s="1369"/>
      <c r="W38" s="1369"/>
      <c r="X38" s="1369"/>
      <c r="Y38" s="1369"/>
      <c r="Z38" s="1370"/>
    </row>
    <row r="39" spans="1:37" ht="13.5" thickBot="1">
      <c r="A39" s="2840"/>
      <c r="B39" s="2858" t="s">
        <v>2934</v>
      </c>
      <c r="C39" s="227" t="e">
        <f>ROUND(D5*C19*C41*C24*F39,0)</f>
        <v>#DIV/0!</v>
      </c>
      <c r="D39" s="2842"/>
      <c r="E39" s="227" t="e">
        <f t="shared" si="7"/>
        <v>#DIV/0!</v>
      </c>
      <c r="F39" s="931">
        <f>SUMIF(修正!A45:A56,G2,修正!H45:H56)</f>
        <v>0</v>
      </c>
      <c r="G39" s="227" t="e">
        <f>ROUND(IF(E2="工业",C39*$M$39,C39*$M$38),0)</f>
        <v>#DIV/0!</v>
      </c>
      <c r="H39" s="227">
        <f t="shared" si="8"/>
        <v>0</v>
      </c>
      <c r="I39" s="227" t="e">
        <f t="shared" si="9"/>
        <v>#DIV/0!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3045</v>
      </c>
      <c r="C41" s="386" t="e">
        <f>ROUND(POWER(1+E41,H41-G41)*(POWER(1+E41,G41)-1)/(POWER(1+E41,H41)-1),4)</f>
        <v>#DIV/0!</v>
      </c>
      <c r="D41" s="198" t="s">
        <v>2883</v>
      </c>
      <c r="E41" s="2928">
        <f>G20</f>
        <v>0</v>
      </c>
      <c r="F41" s="198" t="s">
        <v>2893</v>
      </c>
      <c r="G41" s="216"/>
      <c r="H41" s="198">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2935</v>
      </c>
      <c r="B45" s="2864"/>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5">
      <c r="A46" s="2865" t="s">
        <v>2936</v>
      </c>
      <c r="B46" s="2866">
        <f>1+E48</f>
        <v>1</v>
      </c>
      <c r="C46" s="2867"/>
      <c r="D46" s="810"/>
      <c r="E46" s="811"/>
      <c r="F46" s="2868"/>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4.75">
      <c r="A47" s="2869" t="s">
        <v>2937</v>
      </c>
      <c r="B47" s="1807" t="s">
        <v>2938</v>
      </c>
      <c r="C47" s="1807" t="s">
        <v>2939</v>
      </c>
      <c r="D47" s="1807" t="s">
        <v>2940</v>
      </c>
      <c r="E47" s="815" t="s">
        <v>2941</v>
      </c>
      <c r="F47" s="2870" t="s">
        <v>2942</v>
      </c>
      <c r="G47" s="1807" t="s">
        <v>754</v>
      </c>
      <c r="H47" s="2871" t="s">
        <v>2943</v>
      </c>
      <c r="I47" s="1807" t="s">
        <v>2944</v>
      </c>
      <c r="J47" s="601" t="s">
        <v>2590</v>
      </c>
      <c r="K47" s="601" t="s">
        <v>2591</v>
      </c>
      <c r="L47" s="601" t="s">
        <v>2592</v>
      </c>
      <c r="M47" s="601" t="s">
        <v>2593</v>
      </c>
      <c r="N47" s="601" t="s">
        <v>2594</v>
      </c>
      <c r="AA47" s="1370"/>
      <c r="AB47" s="1370"/>
      <c r="AC47" s="1370"/>
      <c r="AD47" s="1370"/>
      <c r="AE47" s="1370"/>
      <c r="AF47" s="1370"/>
      <c r="AG47" s="1370"/>
      <c r="AH47" s="1370"/>
      <c r="AI47" s="1370"/>
      <c r="AJ47" s="1370"/>
      <c r="AK47" s="1370"/>
    </row>
    <row r="48" spans="1:37" s="1369" customFormat="1" ht="38.25">
      <c r="A48" s="2869" t="s">
        <v>2945</v>
      </c>
      <c r="B48" s="2872" t="str">
        <f>估价对象房地状况!C4</f>
        <v>估价对象周边商业氛围较差，正在开发建设中，商业繁华度较差</v>
      </c>
      <c r="C48" s="2761"/>
      <c r="D48" s="1285">
        <f t="shared" ref="D48:D56" si="10">SUMIF($J$47:$N$47,C48,J48:N48)</f>
        <v>0</v>
      </c>
      <c r="E48" s="817">
        <f>ROUND(SUM(D48:D56),4)</f>
        <v>0</v>
      </c>
      <c r="F48" s="2495"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9" t="s">
        <v>2946</v>
      </c>
      <c r="B49" s="2873" t="str">
        <f>估价对象房地状况!C18</f>
        <v>估价对象周边有326、泾阳9、泾阳16等公交线路，综合评价交通便捷度较差</v>
      </c>
      <c r="C49" s="2761"/>
      <c r="D49" s="1285">
        <f t="shared" si="10"/>
        <v>0</v>
      </c>
      <c r="E49" s="818"/>
      <c r="F49" s="2495"/>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2947</v>
      </c>
      <c r="B50" s="2873">
        <f>估价对象房地状况!C19</f>
        <v>0</v>
      </c>
      <c r="C50" s="2761"/>
      <c r="D50" s="1285">
        <f t="shared" si="10"/>
        <v>0</v>
      </c>
      <c r="E50" s="818"/>
      <c r="F50" s="2495"/>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9" t="s">
        <v>2948</v>
      </c>
      <c r="B51" s="2874" t="s">
        <v>2949</v>
      </c>
      <c r="C51" s="2761"/>
      <c r="D51" s="1285">
        <f t="shared" si="10"/>
        <v>0</v>
      </c>
      <c r="E51" s="818"/>
      <c r="F51" s="2495"/>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2950</v>
      </c>
      <c r="B52" s="2873" t="str">
        <f>估价对象房地状况!C24</f>
        <v>城市支路</v>
      </c>
      <c r="C52" s="2761"/>
      <c r="D52" s="1285">
        <f t="shared" si="10"/>
        <v>0</v>
      </c>
      <c r="E52" s="818"/>
      <c r="F52" s="2495"/>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9" t="s">
        <v>2951</v>
      </c>
      <c r="B53" s="2875" t="s">
        <v>2952</v>
      </c>
      <c r="C53" s="2761"/>
      <c r="D53" s="1285">
        <f t="shared" si="10"/>
        <v>0</v>
      </c>
      <c r="E53" s="818"/>
      <c r="F53" s="2495"/>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6" t="s">
        <v>2953</v>
      </c>
      <c r="B54" s="1723" t="str">
        <f>估价对象房地状况!C21</f>
        <v>估价对象所在区域公共配套设施齐备度较差</v>
      </c>
      <c r="C54" s="2761"/>
      <c r="D54" s="1285">
        <f t="shared" si="10"/>
        <v>0</v>
      </c>
      <c r="E54" s="818"/>
      <c r="F54" s="2495"/>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6" t="s">
        <v>2954</v>
      </c>
      <c r="B55" s="2873" t="str">
        <f>估价对象房地状况!C22</f>
        <v>估价对象所在区域基础设施水平达七通</v>
      </c>
      <c r="C55" s="2761"/>
      <c r="D55" s="1285">
        <f t="shared" si="10"/>
        <v>0</v>
      </c>
      <c r="E55" s="818"/>
      <c r="F55" s="2495"/>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77" t="s">
        <v>2955</v>
      </c>
      <c r="B56" s="2878" t="str">
        <f>估价对象房地状况!C20</f>
        <v>周边1公里有泾河，综合评价环境状况一般</v>
      </c>
      <c r="C56" s="2761"/>
      <c r="D56" s="1285">
        <f t="shared" si="10"/>
        <v>0</v>
      </c>
      <c r="E56" s="821"/>
      <c r="F56" s="2495"/>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5" t="s">
        <v>2956</v>
      </c>
      <c r="B57" s="2866">
        <f>1+E59</f>
        <v>1</v>
      </c>
      <c r="C57" s="810"/>
      <c r="D57" s="810"/>
      <c r="E57" s="811"/>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2937</v>
      </c>
      <c r="B58" s="1807"/>
      <c r="C58" s="1807" t="s">
        <v>2939</v>
      </c>
      <c r="D58" s="1807" t="s">
        <v>2940</v>
      </c>
      <c r="E58" s="815" t="s">
        <v>2941</v>
      </c>
      <c r="F58" s="2870" t="s">
        <v>2957</v>
      </c>
      <c r="G58" s="1807" t="s">
        <v>754</v>
      </c>
      <c r="H58" s="2871" t="s">
        <v>2943</v>
      </c>
      <c r="I58" s="1807" t="s">
        <v>2944</v>
      </c>
      <c r="J58" s="601" t="s">
        <v>2590</v>
      </c>
      <c r="K58" s="601" t="s">
        <v>2591</v>
      </c>
      <c r="L58" s="601" t="s">
        <v>2592</v>
      </c>
      <c r="M58" s="601" t="s">
        <v>2593</v>
      </c>
      <c r="N58" s="601" t="s">
        <v>2594</v>
      </c>
      <c r="AA58" s="1370"/>
      <c r="AB58" s="1370"/>
      <c r="AC58" s="1370"/>
      <c r="AD58" s="1370"/>
      <c r="AE58" s="1370"/>
      <c r="AF58" s="1370"/>
      <c r="AG58" s="1370"/>
      <c r="AH58" s="1370"/>
      <c r="AI58" s="1370"/>
      <c r="AJ58" s="1370"/>
      <c r="AK58" s="1370"/>
    </row>
    <row r="59" spans="1:37" s="1369" customFormat="1" ht="24">
      <c r="A59" s="2869" t="s">
        <v>2958</v>
      </c>
      <c r="B59" s="2872">
        <f>估价对象房地状况!C17</f>
        <v>0</v>
      </c>
      <c r="C59" s="2761"/>
      <c r="D59" s="1285">
        <f t="shared" ref="D59:D67" si="15">SUMIF($J$58:$N$58,C59,J59:N59)</f>
        <v>0</v>
      </c>
      <c r="E59" s="817">
        <f>ROUND(SUM(D59:D67),4)</f>
        <v>0</v>
      </c>
      <c r="F59" s="2495"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2946</v>
      </c>
      <c r="B60" s="2873" t="str">
        <f>估价对象房地状况!C18</f>
        <v>估价对象周边有326、泾阳9、泾阳16等公交线路，综合评价交通便捷度较差</v>
      </c>
      <c r="C60" s="2761"/>
      <c r="D60" s="1285">
        <f t="shared" si="15"/>
        <v>0</v>
      </c>
      <c r="E60" s="818"/>
      <c r="F60" s="2495"/>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2947</v>
      </c>
      <c r="B61" s="2873">
        <f>估价对象房地状况!C19</f>
        <v>0</v>
      </c>
      <c r="C61" s="2761"/>
      <c r="D61" s="1285">
        <f t="shared" si="15"/>
        <v>0</v>
      </c>
      <c r="E61" s="818"/>
      <c r="F61" s="2495"/>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2948</v>
      </c>
      <c r="B62" s="2874" t="s">
        <v>2949</v>
      </c>
      <c r="C62" s="2761"/>
      <c r="D62" s="1285">
        <f t="shared" si="15"/>
        <v>0</v>
      </c>
      <c r="E62" s="818"/>
      <c r="F62" s="2495"/>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2950</v>
      </c>
      <c r="B63" s="2873" t="str">
        <f>估价对象房地状况!C24</f>
        <v>城市支路</v>
      </c>
      <c r="C63" s="2761"/>
      <c r="D63" s="1285">
        <f t="shared" si="15"/>
        <v>0</v>
      </c>
      <c r="E63" s="818"/>
      <c r="F63" s="2495"/>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2951</v>
      </c>
      <c r="B64" s="2875" t="s">
        <v>2952</v>
      </c>
      <c r="C64" s="2761"/>
      <c r="D64" s="1285">
        <f t="shared" si="15"/>
        <v>0</v>
      </c>
      <c r="E64" s="818"/>
      <c r="F64" s="2495"/>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2953</v>
      </c>
      <c r="B65" s="1723" t="str">
        <f>估价对象房地状况!C21</f>
        <v>估价对象所在区域公共配套设施齐备度较差</v>
      </c>
      <c r="C65" s="2761"/>
      <c r="D65" s="1285">
        <f t="shared" si="15"/>
        <v>0</v>
      </c>
      <c r="E65" s="818"/>
      <c r="F65" s="2495"/>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2954</v>
      </c>
      <c r="B66" s="1723" t="str">
        <f>估价对象房地状况!C22</f>
        <v>估价对象所在区域基础设施水平达七通</v>
      </c>
      <c r="C66" s="2761"/>
      <c r="D66" s="1285">
        <f t="shared" si="15"/>
        <v>0</v>
      </c>
      <c r="E66" s="818"/>
      <c r="F66" s="2495"/>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77" t="s">
        <v>2955</v>
      </c>
      <c r="B67" s="2879" t="str">
        <f>估价对象房地状况!C20</f>
        <v>周边1公里有泾河，综合评价环境状况一般</v>
      </c>
      <c r="C67" s="2761"/>
      <c r="D67" s="1285">
        <f t="shared" si="15"/>
        <v>0</v>
      </c>
      <c r="E67" s="821"/>
      <c r="F67" s="2495"/>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2959</v>
      </c>
      <c r="B68" s="2866">
        <f>1+E70</f>
        <v>1</v>
      </c>
      <c r="C68" s="810"/>
      <c r="D68" s="810"/>
      <c r="E68" s="811"/>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2937</v>
      </c>
      <c r="B69" s="1807"/>
      <c r="C69" s="1807" t="s">
        <v>2939</v>
      </c>
      <c r="D69" s="1807" t="s">
        <v>2940</v>
      </c>
      <c r="E69" s="815" t="s">
        <v>2941</v>
      </c>
      <c r="F69" s="2870" t="s">
        <v>2957</v>
      </c>
      <c r="G69" s="1807" t="s">
        <v>754</v>
      </c>
      <c r="H69" s="2871" t="s">
        <v>2943</v>
      </c>
      <c r="I69" s="1807" t="s">
        <v>2944</v>
      </c>
      <c r="J69" s="601" t="s">
        <v>2590</v>
      </c>
      <c r="K69" s="601" t="s">
        <v>2591</v>
      </c>
      <c r="L69" s="601" t="s">
        <v>2592</v>
      </c>
      <c r="M69" s="601" t="s">
        <v>2593</v>
      </c>
      <c r="N69" s="601" t="s">
        <v>2594</v>
      </c>
      <c r="AA69" s="1370"/>
      <c r="AB69" s="1370"/>
      <c r="AC69" s="1370"/>
      <c r="AD69" s="1370"/>
      <c r="AE69" s="1370"/>
      <c r="AF69" s="1370"/>
      <c r="AG69" s="1370"/>
      <c r="AH69" s="1370"/>
      <c r="AI69" s="1370"/>
      <c r="AJ69" s="1370"/>
      <c r="AK69" s="1370"/>
    </row>
    <row r="70" spans="1:37" s="1369" customFormat="1" ht="89.25">
      <c r="A70" s="2869" t="s">
        <v>2960</v>
      </c>
      <c r="B70" s="2872" t="str">
        <f>估价对象房地状况!C15</f>
        <v>估价对象周边居住用地比例较低、居住小区规模和社区发展完善程度较差，2公里内有隆基泰和万和郡、滨江翡翠城小区等项目，综合评价居住社区成熟度一般</v>
      </c>
      <c r="C70" s="2761"/>
      <c r="D70" s="1285">
        <f t="shared" ref="D70:D78" si="20">SUMIF($J$69:$N$69,C70,J70:N70)</f>
        <v>0</v>
      </c>
      <c r="E70" s="817">
        <f>ROUND(SUM(D70:D78),4)</f>
        <v>0</v>
      </c>
      <c r="F70" s="2495"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2946</v>
      </c>
      <c r="B71" s="2873" t="str">
        <f>估价对象房地状况!C18</f>
        <v>估价对象周边有326、泾阳9、泾阳16等公交线路，综合评价交通便捷度较差</v>
      </c>
      <c r="C71" s="2761"/>
      <c r="D71" s="1285">
        <f t="shared" si="20"/>
        <v>0</v>
      </c>
      <c r="E71" s="822"/>
      <c r="F71" s="2495"/>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2947</v>
      </c>
      <c r="B72" s="2873">
        <f>估价对象房地状况!C19</f>
        <v>0</v>
      </c>
      <c r="C72" s="2761"/>
      <c r="D72" s="1285">
        <f t="shared" si="20"/>
        <v>0</v>
      </c>
      <c r="E72" s="822"/>
      <c r="F72" s="2495"/>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2961</v>
      </c>
      <c r="B73" s="2873" t="str">
        <f>估价对象房地状况!C24</f>
        <v>城市支路</v>
      </c>
      <c r="C73" s="2761"/>
      <c r="D73" s="1285">
        <f t="shared" si="20"/>
        <v>0</v>
      </c>
      <c r="E73" s="822"/>
      <c r="F73" s="2495"/>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2953</v>
      </c>
      <c r="B74" s="1723" t="str">
        <f>估价对象房地状况!C21</f>
        <v>估价对象所在区域公共配套设施齐备度较差</v>
      </c>
      <c r="C74" s="2761"/>
      <c r="D74" s="1285">
        <f t="shared" si="20"/>
        <v>0</v>
      </c>
      <c r="E74" s="822"/>
      <c r="F74" s="2495"/>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2954</v>
      </c>
      <c r="B75" s="1723" t="str">
        <f>估价对象房地状况!C22</f>
        <v>估价对象所在区域基础设施水平达七通</v>
      </c>
      <c r="C75" s="2761"/>
      <c r="D75" s="1285">
        <f t="shared" si="20"/>
        <v>0</v>
      </c>
      <c r="E75" s="822"/>
      <c r="F75" s="2495"/>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9" t="s">
        <v>2951</v>
      </c>
      <c r="B76" s="2875" t="s">
        <v>2952</v>
      </c>
      <c r="C76" s="2761"/>
      <c r="D76" s="1285">
        <f t="shared" si="20"/>
        <v>0</v>
      </c>
      <c r="E76" s="822"/>
      <c r="F76" s="2495"/>
      <c r="G76" s="1283"/>
      <c r="H76" s="1287" t="str">
        <f t="shared" si="21"/>
        <v>——</v>
      </c>
      <c r="I76" s="816">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25.5">
      <c r="A77" s="2869" t="s">
        <v>2955</v>
      </c>
      <c r="B77" s="2872" t="str">
        <f>估价对象房地状况!C20</f>
        <v>周边1公里有泾河，综合评价环境状况一般</v>
      </c>
      <c r="C77" s="2761"/>
      <c r="D77" s="1285">
        <f t="shared" si="20"/>
        <v>0</v>
      </c>
      <c r="E77" s="822"/>
      <c r="F77" s="2495"/>
      <c r="G77" s="1283"/>
      <c r="H77" s="1287" t="str">
        <f t="shared" si="21"/>
        <v>——</v>
      </c>
      <c r="I77" s="816">
        <v>0.15</v>
      </c>
      <c r="J77" s="1284">
        <f t="shared" si="22"/>
        <v>0</v>
      </c>
      <c r="K77" s="1284">
        <f t="shared" si="23"/>
        <v>0</v>
      </c>
      <c r="L77" s="1284">
        <v>0</v>
      </c>
      <c r="M77" s="1284">
        <f t="shared" si="24"/>
        <v>0</v>
      </c>
      <c r="N77" s="1284">
        <f t="shared" si="24"/>
        <v>0</v>
      </c>
      <c r="Z77" s="2711"/>
      <c r="AA77" s="2787"/>
      <c r="AG77" s="1371"/>
      <c r="AK77" s="2787"/>
    </row>
    <row r="78" spans="1:37" ht="24.75" thickBot="1">
      <c r="A78" s="2877" t="s">
        <v>2962</v>
      </c>
      <c r="B78" s="2881"/>
      <c r="C78" s="2761"/>
      <c r="D78" s="1285">
        <f t="shared" si="20"/>
        <v>0</v>
      </c>
      <c r="E78" s="823"/>
      <c r="F78" s="2495"/>
      <c r="G78" s="1283"/>
      <c r="H78" s="1287" t="str">
        <f t="shared" si="21"/>
        <v>——</v>
      </c>
      <c r="I78" s="820">
        <v>0.04</v>
      </c>
      <c r="J78" s="1284">
        <f t="shared" si="22"/>
        <v>0</v>
      </c>
      <c r="K78" s="1284">
        <f t="shared" si="23"/>
        <v>0</v>
      </c>
      <c r="L78" s="1284">
        <v>0</v>
      </c>
      <c r="M78" s="1284">
        <f t="shared" si="24"/>
        <v>0</v>
      </c>
      <c r="N78" s="1284">
        <f t="shared" si="24"/>
        <v>0</v>
      </c>
      <c r="Z78" s="2711"/>
      <c r="AA78" s="2787"/>
      <c r="AG78" s="1371"/>
      <c r="AK78" s="2787"/>
    </row>
    <row r="79" spans="1:37" ht="15">
      <c r="A79" s="2865" t="s">
        <v>2963</v>
      </c>
      <c r="B79" s="2866">
        <f>1+E81</f>
        <v>1</v>
      </c>
      <c r="C79" s="810"/>
      <c r="D79" s="810"/>
      <c r="E79" s="811"/>
      <c r="F79" s="2868"/>
      <c r="G79" s="6"/>
      <c r="H79" s="6"/>
      <c r="I79" s="6"/>
      <c r="J79" s="7"/>
      <c r="K79" s="7"/>
      <c r="L79" s="7"/>
      <c r="M79" s="7"/>
      <c r="N79" s="7"/>
      <c r="Z79" s="2711"/>
      <c r="AA79" s="2787"/>
      <c r="AG79" s="1371"/>
      <c r="AK79" s="2787"/>
    </row>
    <row r="80" spans="1:37" ht="24.75">
      <c r="A80" s="2869" t="s">
        <v>2937</v>
      </c>
      <c r="B80" s="1807"/>
      <c r="C80" s="1807" t="s">
        <v>2939</v>
      </c>
      <c r="D80" s="1807" t="s">
        <v>2940</v>
      </c>
      <c r="E80" s="815" t="s">
        <v>2941</v>
      </c>
      <c r="F80" s="2870" t="s">
        <v>2957</v>
      </c>
      <c r="G80" s="1807" t="s">
        <v>754</v>
      </c>
      <c r="H80" s="2871" t="s">
        <v>2943</v>
      </c>
      <c r="I80" s="1807" t="s">
        <v>2944</v>
      </c>
      <c r="J80" s="601" t="s">
        <v>2590</v>
      </c>
      <c r="K80" s="601" t="s">
        <v>2591</v>
      </c>
      <c r="L80" s="601" t="s">
        <v>2592</v>
      </c>
      <c r="M80" s="601" t="s">
        <v>2593</v>
      </c>
      <c r="N80" s="601" t="s">
        <v>2594</v>
      </c>
      <c r="Z80" s="2711"/>
      <c r="AA80" s="2787"/>
      <c r="AG80" s="1371"/>
      <c r="AK80" s="2787"/>
    </row>
    <row r="81" spans="1:37" ht="38.25">
      <c r="A81" s="2869" t="s">
        <v>2964</v>
      </c>
      <c r="B81" s="2873" t="str">
        <f>估价对象房地状况!G15</f>
        <v>估价对象位于XX开发区，园区建设成熟度XX，产业集聚程度XX</v>
      </c>
      <c r="C81" s="2761"/>
      <c r="D81" s="1285">
        <f t="shared" ref="D81:D88" si="25">SUMIF($J$80:$N$80,C81,J81:N81)</f>
        <v>0</v>
      </c>
      <c r="E81" s="817">
        <f>ROUND(SUM(D81:D88),4)</f>
        <v>0</v>
      </c>
      <c r="F81" s="2495"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1"/>
      <c r="AA81" s="2787"/>
      <c r="AG81" s="1371"/>
      <c r="AK81" s="2787"/>
    </row>
    <row r="82" spans="1:37" ht="51">
      <c r="A82" s="2869" t="s">
        <v>2946</v>
      </c>
      <c r="B82" s="2873" t="str">
        <f>估价对象房地状况!G16</f>
        <v>估价对象周边道路状况、公共交通通达情况、停车便捷程度，综合评价交通便捷度较好</v>
      </c>
      <c r="C82" s="2761"/>
      <c r="D82" s="1285">
        <f t="shared" si="25"/>
        <v>0</v>
      </c>
      <c r="E82" s="822"/>
      <c r="F82" s="2495"/>
      <c r="G82" s="1283"/>
      <c r="H82" s="1287" t="str">
        <f t="shared" si="26"/>
        <v>——</v>
      </c>
      <c r="I82" s="816">
        <v>0.33</v>
      </c>
      <c r="J82" s="1284">
        <f t="shared" si="27"/>
        <v>0</v>
      </c>
      <c r="K82" s="1284">
        <f t="shared" si="28"/>
        <v>0</v>
      </c>
      <c r="L82" s="1284">
        <v>0</v>
      </c>
      <c r="M82" s="1284">
        <f t="shared" si="29"/>
        <v>0</v>
      </c>
      <c r="N82" s="1284">
        <f t="shared" si="29"/>
        <v>0</v>
      </c>
      <c r="Z82" s="2711"/>
      <c r="AA82" s="2787"/>
      <c r="AG82" s="1371"/>
      <c r="AK82" s="2787"/>
    </row>
    <row r="83" spans="1:37" ht="24">
      <c r="A83" s="2869" t="s">
        <v>2947</v>
      </c>
      <c r="B83" s="2873">
        <f>估价对象房地状况!G17</f>
        <v>0</v>
      </c>
      <c r="C83" s="2761"/>
      <c r="D83" s="1285">
        <f t="shared" si="25"/>
        <v>0</v>
      </c>
      <c r="E83" s="822"/>
      <c r="F83" s="2495"/>
      <c r="G83" s="1283"/>
      <c r="H83" s="1287" t="str">
        <f t="shared" si="26"/>
        <v>——</v>
      </c>
      <c r="I83" s="816">
        <v>0.05</v>
      </c>
      <c r="J83" s="1284">
        <f t="shared" si="27"/>
        <v>0</v>
      </c>
      <c r="K83" s="1284">
        <f t="shared" si="28"/>
        <v>0</v>
      </c>
      <c r="L83" s="1284">
        <v>0</v>
      </c>
      <c r="M83" s="1284">
        <f t="shared" si="29"/>
        <v>0</v>
      </c>
      <c r="N83" s="1284">
        <f t="shared" si="29"/>
        <v>0</v>
      </c>
      <c r="Z83" s="2711"/>
      <c r="AA83" s="2787"/>
      <c r="AG83" s="1371"/>
      <c r="AK83" s="2787"/>
    </row>
    <row r="84" spans="1:37" ht="14.25">
      <c r="A84" s="2869" t="s">
        <v>2961</v>
      </c>
      <c r="B84" s="2873">
        <f>估价对象房地状况!G22</f>
        <v>0</v>
      </c>
      <c r="C84" s="2761"/>
      <c r="D84" s="1285">
        <f t="shared" si="25"/>
        <v>0</v>
      </c>
      <c r="E84" s="822"/>
      <c r="F84" s="2495"/>
      <c r="G84" s="1283"/>
      <c r="H84" s="1287" t="str">
        <f t="shared" si="26"/>
        <v>——</v>
      </c>
      <c r="I84" s="816">
        <v>0.04</v>
      </c>
      <c r="J84" s="1284">
        <f t="shared" si="27"/>
        <v>0</v>
      </c>
      <c r="K84" s="1284">
        <f t="shared" si="28"/>
        <v>0</v>
      </c>
      <c r="L84" s="1284">
        <v>0</v>
      </c>
      <c r="M84" s="1284">
        <f t="shared" si="29"/>
        <v>0</v>
      </c>
      <c r="N84" s="1284">
        <f t="shared" si="29"/>
        <v>0</v>
      </c>
      <c r="Z84" s="2711"/>
      <c r="AA84" s="2787"/>
      <c r="AG84" s="1371"/>
      <c r="AK84" s="2787"/>
    </row>
    <row r="85" spans="1:37" ht="25.5">
      <c r="A85" s="2869" t="s">
        <v>2953</v>
      </c>
      <c r="B85" s="1723" t="str">
        <f>估价对象房地状况!G19</f>
        <v>估价对象所在区域公共配套设施齐备情况</v>
      </c>
      <c r="C85" s="2761"/>
      <c r="D85" s="1285">
        <f t="shared" si="25"/>
        <v>0</v>
      </c>
      <c r="E85" s="822"/>
      <c r="F85" s="2495"/>
      <c r="G85" s="1283"/>
      <c r="H85" s="1287" t="str">
        <f t="shared" si="26"/>
        <v>——</v>
      </c>
      <c r="I85" s="816">
        <v>0.06</v>
      </c>
      <c r="J85" s="1284">
        <f t="shared" si="27"/>
        <v>0</v>
      </c>
      <c r="K85" s="1284">
        <f t="shared" si="28"/>
        <v>0</v>
      </c>
      <c r="L85" s="1284">
        <v>0</v>
      </c>
      <c r="M85" s="1284">
        <f t="shared" si="29"/>
        <v>0</v>
      </c>
      <c r="N85" s="1284">
        <f t="shared" si="29"/>
        <v>0</v>
      </c>
      <c r="Z85" s="2711"/>
      <c r="AA85" s="2787"/>
      <c r="AG85" s="1371"/>
      <c r="AK85" s="2787"/>
    </row>
    <row r="86" spans="1:37" ht="25.5">
      <c r="A86" s="2869" t="s">
        <v>2954</v>
      </c>
      <c r="B86" s="1723" t="str">
        <f>估价对象房地状况!G20</f>
        <v>估价对象所在区域基础设施水平</v>
      </c>
      <c r="C86" s="2761"/>
      <c r="D86" s="1285">
        <f t="shared" si="25"/>
        <v>0</v>
      </c>
      <c r="E86" s="822"/>
      <c r="F86" s="2495"/>
      <c r="G86" s="1283"/>
      <c r="H86" s="1287" t="str">
        <f t="shared" si="26"/>
        <v>——</v>
      </c>
      <c r="I86" s="816">
        <v>0.15</v>
      </c>
      <c r="J86" s="1284">
        <f t="shared" si="27"/>
        <v>0</v>
      </c>
      <c r="K86" s="1284">
        <f t="shared" si="28"/>
        <v>0</v>
      </c>
      <c r="L86" s="1284">
        <v>0</v>
      </c>
      <c r="M86" s="1284">
        <f t="shared" si="29"/>
        <v>0</v>
      </c>
      <c r="N86" s="1284">
        <f t="shared" si="29"/>
        <v>0</v>
      </c>
      <c r="Z86" s="2711"/>
      <c r="AA86" s="2787"/>
      <c r="AG86" s="1371"/>
      <c r="AK86" s="2787"/>
    </row>
    <row r="87" spans="1:37" ht="24">
      <c r="A87" s="2869" t="s">
        <v>2951</v>
      </c>
      <c r="B87" s="2875" t="s">
        <v>2965</v>
      </c>
      <c r="C87" s="2761"/>
      <c r="D87" s="1285">
        <f t="shared" si="25"/>
        <v>0</v>
      </c>
      <c r="E87" s="822"/>
      <c r="F87" s="2495"/>
      <c r="G87" s="1283"/>
      <c r="H87" s="1287" t="str">
        <f t="shared" si="26"/>
        <v>——</v>
      </c>
      <c r="I87" s="816">
        <v>0.05</v>
      </c>
      <c r="J87" s="1284">
        <f t="shared" si="27"/>
        <v>0</v>
      </c>
      <c r="K87" s="1284">
        <f t="shared" si="28"/>
        <v>0</v>
      </c>
      <c r="L87" s="1284">
        <v>0</v>
      </c>
      <c r="M87" s="1284">
        <f t="shared" si="29"/>
        <v>0</v>
      </c>
      <c r="N87" s="1284">
        <f t="shared" si="29"/>
        <v>0</v>
      </c>
      <c r="Z87" s="2711"/>
      <c r="AA87" s="2787"/>
      <c r="AG87" s="1371"/>
      <c r="AK87" s="2787"/>
    </row>
    <row r="88" spans="1:37" ht="39" thickBot="1">
      <c r="A88" s="2877" t="s">
        <v>2966</v>
      </c>
      <c r="B88" s="2882" t="str">
        <f>估价对象房地状况!G18</f>
        <v>该园区内是否有污染型企业，绿化情况，卫生条件，整体环境状况判断</v>
      </c>
      <c r="C88" s="2761"/>
      <c r="D88" s="1285">
        <f t="shared" si="25"/>
        <v>0</v>
      </c>
      <c r="E88" s="823"/>
      <c r="F88" s="2495"/>
      <c r="G88" s="1283"/>
      <c r="H88" s="1287" t="str">
        <f t="shared" si="26"/>
        <v>——</v>
      </c>
      <c r="I88" s="820">
        <v>0.06</v>
      </c>
      <c r="J88" s="1284">
        <f t="shared" si="27"/>
        <v>0</v>
      </c>
      <c r="K88" s="1284">
        <f t="shared" si="28"/>
        <v>0</v>
      </c>
      <c r="L88" s="1284">
        <v>0</v>
      </c>
      <c r="M88" s="1284">
        <f t="shared" si="29"/>
        <v>0</v>
      </c>
      <c r="N88" s="1284">
        <f t="shared" si="29"/>
        <v>0</v>
      </c>
      <c r="Z88" s="2711"/>
      <c r="AA88" s="2787"/>
      <c r="AG88" s="1371"/>
      <c r="AK88" s="2787"/>
    </row>
    <row r="90" spans="1:37">
      <c r="A90" s="3319" t="s">
        <v>2967</v>
      </c>
      <c r="B90" s="3319"/>
      <c r="C90" s="3319"/>
      <c r="D90" s="3319"/>
      <c r="E90" s="3319"/>
      <c r="F90" s="3319"/>
      <c r="G90" s="3319"/>
      <c r="H90" s="3319"/>
      <c r="I90" s="3319"/>
      <c r="J90" s="3319"/>
      <c r="K90" s="2883"/>
      <c r="L90" s="2883"/>
      <c r="M90" s="2883"/>
      <c r="N90" s="2883"/>
    </row>
    <row r="91" spans="1:37">
      <c r="A91" s="3321" t="s">
        <v>2968</v>
      </c>
      <c r="B91" s="3321" t="s">
        <v>2969</v>
      </c>
      <c r="C91" s="2837" t="s">
        <v>2970</v>
      </c>
      <c r="D91" s="2838"/>
      <c r="E91" s="2838"/>
      <c r="F91" s="2838"/>
      <c r="G91" s="2838"/>
      <c r="H91" s="2838"/>
      <c r="I91" s="2838"/>
      <c r="J91" s="2884"/>
      <c r="K91" s="2885"/>
      <c r="L91" s="2885"/>
      <c r="M91" s="2885"/>
      <c r="N91" s="2885"/>
    </row>
    <row r="92" spans="1:37">
      <c r="A92" s="3321"/>
      <c r="B92" s="3321"/>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322"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3"/>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2" t="s">
        <v>2972</v>
      </c>
      <c r="B101" s="2890" t="s">
        <v>2973</v>
      </c>
      <c r="C101" s="2891">
        <f>$G$3</f>
        <v>1.8</v>
      </c>
      <c r="D101" s="2891">
        <f t="shared" ref="D101:N101" si="31">$G$3</f>
        <v>1.8</v>
      </c>
      <c r="E101" s="2891">
        <f t="shared" si="31"/>
        <v>1.8</v>
      </c>
      <c r="F101" s="2891">
        <f t="shared" si="31"/>
        <v>1.8</v>
      </c>
      <c r="G101" s="2891">
        <f t="shared" si="31"/>
        <v>1.8</v>
      </c>
      <c r="H101" s="2891">
        <f t="shared" si="31"/>
        <v>1.8</v>
      </c>
      <c r="I101" s="2891">
        <f t="shared" si="31"/>
        <v>1.8</v>
      </c>
      <c r="J101" s="2891">
        <f t="shared" si="31"/>
        <v>1.8</v>
      </c>
      <c r="K101" s="2891">
        <f t="shared" si="31"/>
        <v>1.8</v>
      </c>
      <c r="L101" s="2891">
        <f t="shared" si="31"/>
        <v>1.8</v>
      </c>
      <c r="M101" s="2891">
        <f t="shared" si="31"/>
        <v>1.8</v>
      </c>
      <c r="N101" s="2891">
        <f t="shared" si="31"/>
        <v>1.8</v>
      </c>
    </row>
    <row r="102" spans="1:14">
      <c r="A102" s="3323"/>
      <c r="B102" s="2886">
        <v>1</v>
      </c>
      <c r="C102" s="2887">
        <f>1.9362/C101</f>
        <v>1.0756666666666665</v>
      </c>
      <c r="D102" s="2887">
        <f>1.9362/D101</f>
        <v>1.0756666666666665</v>
      </c>
      <c r="E102" s="2887">
        <f>1.8629/E101</f>
        <v>1.0349444444444444</v>
      </c>
      <c r="F102" s="2887">
        <f>1.8629/F101</f>
        <v>1.0349444444444444</v>
      </c>
      <c r="G102" s="2887">
        <f>1.8629/G101</f>
        <v>1.0349444444444444</v>
      </c>
      <c r="H102" s="2887">
        <f>1.8629/H101</f>
        <v>1.0349444444444444</v>
      </c>
      <c r="I102" s="2887">
        <f>1.8629/I101</f>
        <v>1.0349444444444444</v>
      </c>
      <c r="J102" s="2887">
        <f>1.942/J101</f>
        <v>1.0788888888888888</v>
      </c>
      <c r="K102" s="2887">
        <f>1.942/K101</f>
        <v>1.0788888888888888</v>
      </c>
      <c r="L102" s="2887">
        <f>1.942/L101</f>
        <v>1.0788888888888888</v>
      </c>
      <c r="M102" s="2887">
        <f>1.942/M101</f>
        <v>1.0788888888888888</v>
      </c>
      <c r="N102" s="2887">
        <f>1.942/N101</f>
        <v>1.0788888888888888</v>
      </c>
    </row>
    <row r="103" spans="1:14">
      <c r="A103" s="3323"/>
      <c r="B103" s="2886">
        <v>2</v>
      </c>
      <c r="C103" s="2887">
        <f>1.4198/C101</f>
        <v>0.78877777777777769</v>
      </c>
      <c r="D103" s="2887">
        <f>1.4198/D101</f>
        <v>0.78877777777777769</v>
      </c>
      <c r="E103" s="2887">
        <f>1.3372/E101</f>
        <v>0.74288888888888882</v>
      </c>
      <c r="F103" s="2887">
        <f>1.3372/F101</f>
        <v>0.74288888888888882</v>
      </c>
      <c r="G103" s="2887">
        <f>1.3372/G101</f>
        <v>0.74288888888888882</v>
      </c>
      <c r="H103" s="2887">
        <f>1.3372/H101</f>
        <v>0.74288888888888882</v>
      </c>
      <c r="I103" s="2887">
        <f>1.3372/I101</f>
        <v>0.74288888888888882</v>
      </c>
      <c r="J103" s="2887">
        <f>1.2799/J101</f>
        <v>0.71105555555555555</v>
      </c>
      <c r="K103" s="2887">
        <f>1.2799/K101</f>
        <v>0.71105555555555555</v>
      </c>
      <c r="L103" s="2887">
        <f>1.2799/L101</f>
        <v>0.71105555555555555</v>
      </c>
      <c r="M103" s="2887">
        <f>1.2799/M101</f>
        <v>0.71105555555555555</v>
      </c>
      <c r="N103" s="2887">
        <f>1.2799/N101</f>
        <v>0.71105555555555555</v>
      </c>
    </row>
    <row r="104" spans="1:14">
      <c r="A104" s="3323"/>
      <c r="B104" s="2886">
        <v>3</v>
      </c>
      <c r="C104" s="2887">
        <f>1.1594/C101</f>
        <v>0.64411111111111108</v>
      </c>
      <c r="D104" s="2887">
        <f>1.1594/D101</f>
        <v>0.64411111111111108</v>
      </c>
      <c r="E104" s="2887">
        <f>1.0788/E101</f>
        <v>0.59933333333333327</v>
      </c>
      <c r="F104" s="2887">
        <f>1.0788/F101</f>
        <v>0.59933333333333327</v>
      </c>
      <c r="G104" s="2887">
        <f>1.0788/G101</f>
        <v>0.59933333333333327</v>
      </c>
      <c r="H104" s="2887">
        <f>1.0788/H101</f>
        <v>0.59933333333333327</v>
      </c>
      <c r="I104" s="2887">
        <f>1.0788/I101</f>
        <v>0.59933333333333327</v>
      </c>
      <c r="J104" s="2887">
        <f>1.0072/J101</f>
        <v>0.55955555555555558</v>
      </c>
      <c r="K104" s="2887">
        <f>1.0072/K101</f>
        <v>0.55955555555555558</v>
      </c>
      <c r="L104" s="2887">
        <f>1.0072/L101</f>
        <v>0.55955555555555558</v>
      </c>
      <c r="M104" s="2887">
        <f>1.0072/M101</f>
        <v>0.55955555555555558</v>
      </c>
      <c r="N104" s="2887">
        <f>1.0072/N101</f>
        <v>0.55955555555555558</v>
      </c>
    </row>
    <row r="105" spans="1:14">
      <c r="A105" s="3323"/>
      <c r="B105" s="2886">
        <v>4</v>
      </c>
      <c r="C105" s="2887">
        <f>0.9622/C101</f>
        <v>0.53455555555555556</v>
      </c>
      <c r="D105" s="2887">
        <f>0.9622/D101</f>
        <v>0.53455555555555556</v>
      </c>
      <c r="E105" s="2887">
        <f>0.8656/E101</f>
        <v>0.48088888888888892</v>
      </c>
      <c r="F105" s="2887">
        <f>0.8656/F101</f>
        <v>0.48088888888888892</v>
      </c>
      <c r="G105" s="2887">
        <f>0.8656/G101</f>
        <v>0.48088888888888892</v>
      </c>
      <c r="H105" s="2887">
        <f>0.8656/H101</f>
        <v>0.48088888888888892</v>
      </c>
      <c r="I105" s="2887">
        <f>0.8656/I101</f>
        <v>0.48088888888888892</v>
      </c>
      <c r="J105" s="2887">
        <f>0.7525/J101</f>
        <v>0.41805555555555551</v>
      </c>
      <c r="K105" s="2887">
        <f>0.7525/K101</f>
        <v>0.41805555555555551</v>
      </c>
      <c r="L105" s="2887">
        <f>0.7525/L101</f>
        <v>0.41805555555555551</v>
      </c>
      <c r="M105" s="2887">
        <f>0.7525/M101</f>
        <v>0.41805555555555551</v>
      </c>
      <c r="N105" s="2887">
        <f>0.7525/N101</f>
        <v>0.41805555555555551</v>
      </c>
    </row>
    <row r="106" spans="1:14">
      <c r="A106" s="3323"/>
      <c r="B106" s="2886">
        <v>5</v>
      </c>
      <c r="C106" s="2887">
        <f>0.8417/C101</f>
        <v>0.46761111111111109</v>
      </c>
      <c r="D106" s="2887">
        <f>0.8417/D101</f>
        <v>0.46761111111111109</v>
      </c>
      <c r="E106" s="2887">
        <f>0.7371/E101</f>
        <v>0.40949999999999998</v>
      </c>
      <c r="F106" s="2887">
        <f>0.7371/F101</f>
        <v>0.40949999999999998</v>
      </c>
      <c r="G106" s="2887">
        <f>0.7371/G101</f>
        <v>0.40949999999999998</v>
      </c>
      <c r="H106" s="2887">
        <f>0.7371/H101</f>
        <v>0.40949999999999998</v>
      </c>
      <c r="I106" s="2887">
        <f>0.7371/I101</f>
        <v>0.40949999999999998</v>
      </c>
      <c r="J106" s="2887">
        <f>0.5659/J101</f>
        <v>0.31438888888888888</v>
      </c>
      <c r="K106" s="2887">
        <f>0.5659/K101</f>
        <v>0.31438888888888888</v>
      </c>
      <c r="L106" s="2887">
        <f>0.5659/L101</f>
        <v>0.31438888888888888</v>
      </c>
      <c r="M106" s="2887">
        <f>0.5659/M101</f>
        <v>0.31438888888888888</v>
      </c>
      <c r="N106" s="2887">
        <f>0.5659/N101</f>
        <v>0.31438888888888888</v>
      </c>
    </row>
    <row r="107" spans="1:14">
      <c r="A107" s="3323"/>
      <c r="B107" s="2886">
        <v>6</v>
      </c>
      <c r="C107" s="2887">
        <f>0.7608/C101</f>
        <v>0.42266666666666669</v>
      </c>
      <c r="D107" s="2887">
        <f>0.7608/D101</f>
        <v>0.42266666666666669</v>
      </c>
      <c r="E107" s="2887">
        <f>0.6482/E101</f>
        <v>0.3601111111111111</v>
      </c>
      <c r="F107" s="2887">
        <f>0.6482/F101</f>
        <v>0.3601111111111111</v>
      </c>
      <c r="G107" s="2887">
        <f>0.6482/G101</f>
        <v>0.3601111111111111</v>
      </c>
      <c r="H107" s="2887">
        <f>0.6482/H101</f>
        <v>0.3601111111111111</v>
      </c>
      <c r="I107" s="2887">
        <f>0.6482/I101</f>
        <v>0.3601111111111111</v>
      </c>
      <c r="J107" s="2887">
        <f>0.4525/J101</f>
        <v>0.25138888888888888</v>
      </c>
      <c r="K107" s="2887">
        <f>0.4525/K101</f>
        <v>0.25138888888888888</v>
      </c>
      <c r="L107" s="2887">
        <f>0.4525/L101</f>
        <v>0.25138888888888888</v>
      </c>
      <c r="M107" s="2887">
        <f>0.4525/M101</f>
        <v>0.25138888888888888</v>
      </c>
      <c r="N107" s="2887">
        <f>0.4525/N101</f>
        <v>0.25138888888888888</v>
      </c>
    </row>
    <row r="108" spans="1:14">
      <c r="A108" s="3323"/>
      <c r="B108" s="3144" t="s">
        <v>2974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4"/>
      <c r="B109" s="3145"/>
      <c r="C109" s="2889">
        <f>(-0.163*(C108^2)-0.59*C108+7617)*(10^(-4))/C101</f>
        <v>0.42316666666666669</v>
      </c>
      <c r="D109" s="2889">
        <f>(-0.163*(D108^2)-0.59*D108+7617)*(10^(-4))/D101</f>
        <v>0.42316666666666669</v>
      </c>
      <c r="E109" s="2889">
        <f>(-0.161*(E108^2)-7.509*E108+6533)*(10^(-4))/E101</f>
        <v>0.36294444444444446</v>
      </c>
      <c r="F109" s="2889">
        <f>(-0.161*(F108^2)-7.509*F108+6533)*(10^(-4))/F101</f>
        <v>0.36294444444444446</v>
      </c>
      <c r="G109" s="2889">
        <f>(-0.161*(G108^2)-7.509*G108+6533)*(10^(-4))/G101</f>
        <v>0.36294444444444446</v>
      </c>
      <c r="H109" s="2889">
        <f>(-0.161*(H108^2)-7.509*H108+6533)*(10^(-4))/H101</f>
        <v>0.36294444444444446</v>
      </c>
      <c r="I109" s="2889">
        <f>(-0.161*(I108^2)-7.509*I108+6533)*(10^(-4))/I101</f>
        <v>0.36294444444444446</v>
      </c>
      <c r="J109" s="2889">
        <f>(-0.214*(J108^2)-21.991*J108+4665)*(10^(-4))/J101</f>
        <v>0.25916666666666666</v>
      </c>
      <c r="K109" s="2889">
        <f>(-0.214*(K108^2)-21.991*K108+4665)*(10^(-4))/K101</f>
        <v>0.25916666666666666</v>
      </c>
      <c r="L109" s="2889">
        <f>(-0.214*(L108^2)-21.991*L108+4665)*(10^(-4))/L101</f>
        <v>0.25916666666666666</v>
      </c>
      <c r="M109" s="2889">
        <f>(-0.214*(M108^2)-21.991*M108+4665)*(10^(-4))/M101</f>
        <v>0.25916666666666666</v>
      </c>
      <c r="N109" s="2889">
        <f>(-0.214*(N108^2)-21.991*N108+4665)*(10^(-4))/N101</f>
        <v>0.25916666666666666</v>
      </c>
    </row>
    <row r="110" spans="1:14">
      <c r="A110" s="3320" t="s">
        <v>2975</v>
      </c>
      <c r="B110" s="3320"/>
      <c r="C110" s="3320"/>
      <c r="D110" s="3320"/>
      <c r="E110" s="3320"/>
      <c r="F110" s="3320"/>
      <c r="G110" s="3320"/>
      <c r="H110" s="3320"/>
      <c r="I110" s="3320"/>
      <c r="J110" s="3320"/>
      <c r="K110" s="2892"/>
      <c r="L110" s="2892"/>
      <c r="M110" s="2892"/>
      <c r="N110" s="2892"/>
    </row>
    <row r="112" spans="1:14" ht="13.5" thickBot="1"/>
    <row r="113" spans="1:13" ht="25.5" thickBot="1">
      <c r="A113" s="899" t="s">
        <v>2976</v>
      </c>
      <c r="B113" s="1286">
        <f>G3</f>
        <v>1.8</v>
      </c>
      <c r="C113" s="900" t="s">
        <v>2977</v>
      </c>
      <c r="D113" s="901">
        <f>SUMPRODUCT((A115:A118=F113)*(B114:M114=H113)*B115:M118)</f>
        <v>0</v>
      </c>
      <c r="E113" s="2715" t="s">
        <v>2807</v>
      </c>
      <c r="F113" s="2894">
        <f>E2</f>
        <v>0</v>
      </c>
      <c r="G113" s="2715" t="s">
        <v>2808</v>
      </c>
      <c r="H113" s="2894">
        <f>G2</f>
        <v>0</v>
      </c>
      <c r="I113" s="2715"/>
      <c r="J113" s="2895"/>
      <c r="K113" s="2895"/>
      <c r="L113" s="2895"/>
      <c r="M113" s="2895"/>
    </row>
    <row r="114" spans="1:13">
      <c r="A114" s="904"/>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5" t="s">
        <v>2872</v>
      </c>
      <c r="B115" s="906">
        <f>ROUND(0.9335-0.0094*B113,4)</f>
        <v>0.91659999999999997</v>
      </c>
      <c r="C115" s="906">
        <f>B115</f>
        <v>0.91659999999999997</v>
      </c>
      <c r="D115" s="906">
        <f>ROUND(0.8331-0.0109*B113,4)</f>
        <v>0.8135</v>
      </c>
      <c r="E115" s="906">
        <f>D115</f>
        <v>0.8135</v>
      </c>
      <c r="F115" s="906">
        <f>E115</f>
        <v>0.8135</v>
      </c>
      <c r="G115" s="906">
        <f>F115</f>
        <v>0.8135</v>
      </c>
      <c r="H115" s="906">
        <f>G115</f>
        <v>0.8135</v>
      </c>
      <c r="I115" s="906">
        <f>ROUND(0.689-0.0155*B113,4)</f>
        <v>0.66110000000000002</v>
      </c>
      <c r="J115" s="906">
        <f t="shared" ref="J115:M118" si="33">I115</f>
        <v>0.66110000000000002</v>
      </c>
      <c r="K115" s="906">
        <f t="shared" si="33"/>
        <v>0.66110000000000002</v>
      </c>
      <c r="L115" s="906">
        <f t="shared" si="33"/>
        <v>0.66110000000000002</v>
      </c>
      <c r="M115" s="907">
        <f t="shared" si="33"/>
        <v>0.66110000000000002</v>
      </c>
    </row>
    <row r="116" spans="1:13">
      <c r="A116" s="905" t="s">
        <v>2873</v>
      </c>
      <c r="B116" s="906">
        <f>ROUND(0.949-0.012*B113,4)</f>
        <v>0.9274</v>
      </c>
      <c r="C116" s="906">
        <f>B116</f>
        <v>0.9274</v>
      </c>
      <c r="D116" s="906">
        <f>ROUND(0.8567-0.013*B113,4)</f>
        <v>0.83330000000000004</v>
      </c>
      <c r="E116" s="906">
        <f t="shared" ref="E116:H117" si="34">D116</f>
        <v>0.83330000000000004</v>
      </c>
      <c r="F116" s="906">
        <f t="shared" si="34"/>
        <v>0.83330000000000004</v>
      </c>
      <c r="G116" s="906">
        <f t="shared" si="34"/>
        <v>0.83330000000000004</v>
      </c>
      <c r="H116" s="906">
        <f t="shared" si="34"/>
        <v>0.83330000000000004</v>
      </c>
      <c r="I116" s="906">
        <f>ROUND(0.7694-0.014*B113,4)</f>
        <v>0.74419999999999997</v>
      </c>
      <c r="J116" s="906">
        <f t="shared" si="33"/>
        <v>0.74419999999999997</v>
      </c>
      <c r="K116" s="906">
        <f t="shared" si="33"/>
        <v>0.74419999999999997</v>
      </c>
      <c r="L116" s="906">
        <f t="shared" si="33"/>
        <v>0.74419999999999997</v>
      </c>
      <c r="M116" s="907">
        <f t="shared" si="33"/>
        <v>0.74419999999999997</v>
      </c>
    </row>
    <row r="117" spans="1:13">
      <c r="A117" s="905" t="s">
        <v>2874</v>
      </c>
      <c r="B117" s="906">
        <f>ROUND(0.8808-0.006*B113,4)</f>
        <v>0.87</v>
      </c>
      <c r="C117" s="906">
        <f>B117</f>
        <v>0.87</v>
      </c>
      <c r="D117" s="906">
        <f>ROUND(0.8748-0.008*B113,4)</f>
        <v>0.86040000000000005</v>
      </c>
      <c r="E117" s="906">
        <f t="shared" si="34"/>
        <v>0.86040000000000005</v>
      </c>
      <c r="F117" s="906">
        <f t="shared" si="34"/>
        <v>0.86040000000000005</v>
      </c>
      <c r="G117" s="906">
        <f t="shared" si="34"/>
        <v>0.86040000000000005</v>
      </c>
      <c r="H117" s="906">
        <f t="shared" si="34"/>
        <v>0.86040000000000005</v>
      </c>
      <c r="I117" s="906">
        <f>ROUND(0.7412-0.0095*B113,4)</f>
        <v>0.72409999999999997</v>
      </c>
      <c r="J117" s="906">
        <f t="shared" si="33"/>
        <v>0.72409999999999997</v>
      </c>
      <c r="K117" s="906">
        <f t="shared" si="33"/>
        <v>0.72409999999999997</v>
      </c>
      <c r="L117" s="906">
        <f t="shared" si="33"/>
        <v>0.72409999999999997</v>
      </c>
      <c r="M117" s="907">
        <f t="shared" si="33"/>
        <v>0.72409999999999997</v>
      </c>
    </row>
    <row r="118" spans="1:13" ht="13.5" thickBot="1">
      <c r="A118" s="712" t="s">
        <v>2875</v>
      </c>
      <c r="B118" s="908">
        <f>ROUND(0.7275-0.01*B113,4)</f>
        <v>0.70950000000000002</v>
      </c>
      <c r="C118" s="908">
        <f>B118</f>
        <v>0.70950000000000002</v>
      </c>
      <c r="D118" s="908">
        <f>ROUND(0.7043-0.012*B113,4)</f>
        <v>0.68269999999999997</v>
      </c>
      <c r="E118" s="908">
        <f>D118</f>
        <v>0.68269999999999997</v>
      </c>
      <c r="F118" s="908">
        <f>E118</f>
        <v>0.68269999999999997</v>
      </c>
      <c r="G118" s="908">
        <f>ROUND(0.6299-0.0122*B113,4)</f>
        <v>0.6079</v>
      </c>
      <c r="H118" s="908">
        <f>G118</f>
        <v>0.6079</v>
      </c>
      <c r="I118" s="908">
        <f>ROUND(0.5667-0.0136*B113,4)</f>
        <v>0.54220000000000002</v>
      </c>
      <c r="J118" s="908">
        <f t="shared" si="33"/>
        <v>0.54220000000000002</v>
      </c>
      <c r="K118" s="908">
        <f t="shared" si="33"/>
        <v>0.54220000000000002</v>
      </c>
      <c r="L118" s="908">
        <f t="shared" si="33"/>
        <v>0.54220000000000002</v>
      </c>
      <c r="M118" s="909">
        <f t="shared" si="33"/>
        <v>0.54220000000000002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37" t="s">
        <v>183</v>
      </c>
      <c r="B18" s="878" t="s">
        <v>560</v>
      </c>
      <c r="C18" s="879" t="s">
        <v>561</v>
      </c>
      <c r="D18" s="880"/>
      <c r="E18" s="878">
        <v>1</v>
      </c>
      <c r="F18" s="881" t="s">
        <v>562</v>
      </c>
      <c r="G18" s="882"/>
      <c r="H18" s="874"/>
      <c r="I18" s="874"/>
    </row>
    <row r="19" spans="1:9" s="883" customFormat="1" ht="19.5" customHeight="1">
      <c r="A19" s="3337"/>
      <c r="B19" s="3337" t="s">
        <v>563</v>
      </c>
      <c r="C19" s="879" t="s">
        <v>564</v>
      </c>
      <c r="D19" s="880"/>
      <c r="E19" s="878">
        <v>0.9</v>
      </c>
      <c r="F19" s="881" t="s">
        <v>565</v>
      </c>
      <c r="G19" s="882"/>
      <c r="H19" s="874"/>
      <c r="I19" s="874"/>
    </row>
    <row r="20" spans="1:9" s="883" customFormat="1" ht="19.5" customHeight="1">
      <c r="A20" s="3337"/>
      <c r="B20" s="3337"/>
      <c r="C20" s="879" t="s">
        <v>566</v>
      </c>
      <c r="D20" s="880"/>
      <c r="E20" s="878">
        <v>1.1000000000000001</v>
      </c>
      <c r="F20" s="881" t="s">
        <v>567</v>
      </c>
      <c r="G20" s="882"/>
      <c r="H20" s="874"/>
      <c r="I20" s="874"/>
    </row>
    <row r="21" spans="1:9" s="883" customFormat="1" ht="19.5" customHeight="1">
      <c r="A21" s="3337"/>
      <c r="B21" s="3337"/>
      <c r="C21" s="879" t="s">
        <v>568</v>
      </c>
      <c r="D21" s="880"/>
      <c r="E21" s="878">
        <v>0.8</v>
      </c>
      <c r="F21" s="881" t="s">
        <v>569</v>
      </c>
      <c r="G21" s="882"/>
      <c r="H21" s="874"/>
      <c r="I21" s="874"/>
    </row>
    <row r="22" spans="1:9" s="883" customFormat="1" ht="19.5" customHeight="1">
      <c r="A22" s="3337"/>
      <c r="B22" s="3337"/>
      <c r="C22" s="879" t="s">
        <v>570</v>
      </c>
      <c r="D22" s="880"/>
      <c r="E22" s="878">
        <v>0.5</v>
      </c>
      <c r="F22" s="881"/>
      <c r="G22" s="882"/>
      <c r="H22" s="874"/>
      <c r="I22" s="874"/>
    </row>
    <row r="23" spans="1:9" s="883" customFormat="1" ht="19.5" customHeight="1">
      <c r="A23" s="3337" t="s">
        <v>184</v>
      </c>
      <c r="B23" s="878" t="s">
        <v>560</v>
      </c>
      <c r="C23" s="879" t="s">
        <v>571</v>
      </c>
      <c r="D23" s="880"/>
      <c r="E23" s="878">
        <v>1</v>
      </c>
      <c r="F23" s="881" t="s">
        <v>572</v>
      </c>
      <c r="G23" s="882"/>
      <c r="H23" s="874"/>
      <c r="I23" s="874"/>
    </row>
    <row r="24" spans="1:9" s="883" customFormat="1" ht="19.5" customHeight="1">
      <c r="A24" s="3337"/>
      <c r="B24" s="3337" t="s">
        <v>563</v>
      </c>
      <c r="C24" s="879" t="s">
        <v>573</v>
      </c>
      <c r="D24" s="880"/>
      <c r="E24" s="878">
        <v>0.5</v>
      </c>
      <c r="F24" s="881"/>
      <c r="G24" s="882"/>
      <c r="H24" s="874"/>
      <c r="I24" s="874"/>
    </row>
    <row r="25" spans="1:9" s="883" customFormat="1" ht="19.5" customHeight="1">
      <c r="A25" s="3337"/>
      <c r="B25" s="3337"/>
      <c r="C25" s="879" t="s">
        <v>574</v>
      </c>
      <c r="D25" s="880"/>
      <c r="E25" s="878">
        <v>1.1000000000000001</v>
      </c>
      <c r="F25" s="881"/>
      <c r="G25" s="882"/>
      <c r="H25" s="874"/>
      <c r="I25" s="874"/>
    </row>
    <row r="26" spans="1:9" s="883" customFormat="1" ht="19.5" customHeight="1">
      <c r="A26" s="3337"/>
      <c r="B26" s="3337"/>
      <c r="C26" s="879" t="s">
        <v>575</v>
      </c>
      <c r="D26" s="880"/>
      <c r="E26" s="878">
        <v>1.1000000000000001</v>
      </c>
      <c r="F26" s="881"/>
      <c r="G26" s="882"/>
      <c r="H26" s="874"/>
      <c r="I26" s="874"/>
    </row>
    <row r="27" spans="1:9" s="883" customFormat="1" ht="19.5" customHeight="1">
      <c r="A27" s="3337"/>
      <c r="B27" s="3337"/>
      <c r="C27" s="879" t="s">
        <v>576</v>
      </c>
      <c r="D27" s="880"/>
      <c r="E27" s="878">
        <v>0.9</v>
      </c>
      <c r="F27" s="881" t="s">
        <v>577</v>
      </c>
      <c r="G27" s="882"/>
      <c r="H27" s="874"/>
      <c r="I27" s="874"/>
    </row>
    <row r="28" spans="1:9" s="883" customFormat="1" ht="19.5" customHeight="1">
      <c r="A28" s="3337"/>
      <c r="B28" s="3337"/>
      <c r="C28" s="879" t="s">
        <v>578</v>
      </c>
      <c r="D28" s="880"/>
      <c r="E28" s="878">
        <v>0.9</v>
      </c>
      <c r="F28" s="881" t="s">
        <v>579</v>
      </c>
      <c r="G28" s="882"/>
      <c r="H28" s="874"/>
      <c r="I28" s="874"/>
    </row>
    <row r="29" spans="1:9" s="883" customFormat="1" ht="19.5" customHeight="1">
      <c r="A29" s="3337"/>
      <c r="B29" s="3337"/>
      <c r="C29" s="879" t="s">
        <v>580</v>
      </c>
      <c r="D29" s="880"/>
      <c r="E29" s="878">
        <v>0.9</v>
      </c>
      <c r="F29" s="881" t="s">
        <v>581</v>
      </c>
      <c r="G29" s="882"/>
      <c r="H29" s="874"/>
      <c r="I29" s="874"/>
    </row>
    <row r="30" spans="1:9" s="883" customFormat="1" ht="19.5" customHeight="1">
      <c r="A30" s="3337"/>
      <c r="B30" s="3337"/>
      <c r="C30" s="879" t="s">
        <v>582</v>
      </c>
      <c r="D30" s="880"/>
      <c r="E30" s="878">
        <v>0.9</v>
      </c>
      <c r="F30" s="881" t="s">
        <v>583</v>
      </c>
      <c r="G30" s="882"/>
      <c r="H30" s="874"/>
      <c r="I30" s="874"/>
    </row>
    <row r="31" spans="1:9" s="883" customFormat="1" ht="19.5" customHeight="1">
      <c r="A31" s="3337"/>
      <c r="B31" s="3337"/>
      <c r="C31" s="879" t="s">
        <v>584</v>
      </c>
      <c r="D31" s="880"/>
      <c r="E31" s="878">
        <v>0.8</v>
      </c>
      <c r="F31" s="881" t="s">
        <v>585</v>
      </c>
      <c r="G31" s="882"/>
      <c r="H31" s="874"/>
      <c r="I31" s="874"/>
    </row>
    <row r="32" spans="1:9" s="883" customFormat="1" ht="19.5" customHeight="1">
      <c r="A32" s="3337"/>
      <c r="B32" s="3337"/>
      <c r="C32" s="879" t="s">
        <v>586</v>
      </c>
      <c r="D32" s="880"/>
      <c r="E32" s="878">
        <v>0.8</v>
      </c>
      <c r="F32" s="881" t="s">
        <v>587</v>
      </c>
      <c r="G32" s="882"/>
      <c r="H32" s="874"/>
      <c r="I32" s="874"/>
    </row>
    <row r="33" spans="1:9" s="883" customFormat="1" ht="19.5" customHeight="1">
      <c r="A33" s="3337" t="s">
        <v>185</v>
      </c>
      <c r="B33" s="878" t="s">
        <v>560</v>
      </c>
      <c r="C33" s="879" t="s">
        <v>588</v>
      </c>
      <c r="D33" s="880"/>
      <c r="E33" s="878">
        <v>1</v>
      </c>
      <c r="F33" s="881" t="s">
        <v>589</v>
      </c>
      <c r="G33" s="882"/>
      <c r="H33" s="874"/>
      <c r="I33" s="874"/>
    </row>
    <row r="34" spans="1:9" s="883" customFormat="1" ht="19.5" customHeight="1">
      <c r="A34" s="3337"/>
      <c r="B34" s="878" t="s">
        <v>563</v>
      </c>
      <c r="C34" s="879" t="s">
        <v>590</v>
      </c>
      <c r="D34" s="880"/>
      <c r="E34" s="878">
        <v>1.5</v>
      </c>
      <c r="F34" s="881" t="s">
        <v>591</v>
      </c>
      <c r="G34" s="882"/>
      <c r="H34" s="874"/>
      <c r="I34" s="874"/>
    </row>
    <row r="35" spans="1:9" s="883" customFormat="1" ht="19.5" customHeight="1">
      <c r="A35" s="3337" t="s">
        <v>186</v>
      </c>
      <c r="B35" s="878" t="s">
        <v>560</v>
      </c>
      <c r="C35" s="879" t="s">
        <v>592</v>
      </c>
      <c r="D35" s="880"/>
      <c r="E35" s="878">
        <v>1</v>
      </c>
      <c r="F35" s="881" t="s">
        <v>593</v>
      </c>
      <c r="G35" s="882"/>
      <c r="H35" s="874"/>
      <c r="I35" s="874"/>
    </row>
    <row r="36" spans="1:9" s="883" customFormat="1" ht="19.5" customHeight="1">
      <c r="A36" s="3337"/>
      <c r="B36" s="3337" t="s">
        <v>563</v>
      </c>
      <c r="C36" s="879" t="s">
        <v>594</v>
      </c>
      <c r="D36" s="880"/>
      <c r="E36" s="878">
        <v>1</v>
      </c>
      <c r="F36" s="881" t="s">
        <v>595</v>
      </c>
      <c r="G36" s="882"/>
      <c r="H36" s="874"/>
      <c r="I36" s="874"/>
    </row>
    <row r="37" spans="1:9" s="883" customFormat="1" ht="19.5" customHeight="1">
      <c r="A37" s="3337"/>
      <c r="B37" s="3337"/>
      <c r="C37" s="879" t="s">
        <v>596</v>
      </c>
      <c r="D37" s="880"/>
      <c r="E37" s="878">
        <v>1.5</v>
      </c>
      <c r="F37" s="881" t="s">
        <v>597</v>
      </c>
      <c r="G37" s="882"/>
      <c r="H37" s="874"/>
      <c r="I37" s="874"/>
    </row>
    <row r="38" spans="1:9" s="883" customFormat="1" ht="19.5" customHeight="1">
      <c r="A38" s="3337"/>
      <c r="B38" s="3337"/>
      <c r="C38" s="879" t="s">
        <v>598</v>
      </c>
      <c r="D38" s="880"/>
      <c r="E38" s="878">
        <v>1</v>
      </c>
      <c r="F38" s="881" t="s">
        <v>599</v>
      </c>
      <c r="G38" s="882"/>
      <c r="H38" s="874"/>
      <c r="I38" s="874"/>
    </row>
    <row r="39" spans="1:9" s="883" customFormat="1" ht="19.5" customHeight="1">
      <c r="A39" s="3337"/>
      <c r="B39" s="333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37" t="s">
        <v>614</v>
      </c>
      <c r="C61" s="814" t="s">
        <v>615</v>
      </c>
      <c r="D61" s="814" t="s">
        <v>616</v>
      </c>
      <c r="E61" s="891">
        <v>0.5</v>
      </c>
      <c r="F61" s="878">
        <v>80</v>
      </c>
    </row>
    <row r="62" spans="1:8" s="874" customFormat="1" ht="24">
      <c r="A62" s="878">
        <v>2</v>
      </c>
      <c r="B62" s="3337"/>
      <c r="C62" s="814" t="s">
        <v>617</v>
      </c>
      <c r="D62" s="814" t="s">
        <v>618</v>
      </c>
      <c r="E62" s="891">
        <v>0.5</v>
      </c>
      <c r="F62" s="878">
        <v>80</v>
      </c>
    </row>
    <row r="63" spans="1:8" s="874" customFormat="1" ht="36">
      <c r="A63" s="878">
        <v>3</v>
      </c>
      <c r="B63" s="3337"/>
      <c r="C63" s="814" t="s">
        <v>619</v>
      </c>
      <c r="D63" s="814" t="s">
        <v>620</v>
      </c>
      <c r="E63" s="891">
        <v>0.5</v>
      </c>
      <c r="F63" s="878">
        <v>80</v>
      </c>
    </row>
    <row r="64" spans="1:8" s="874" customFormat="1" ht="36">
      <c r="A64" s="878">
        <v>4</v>
      </c>
      <c r="B64" s="3337"/>
      <c r="C64" s="814" t="s">
        <v>621</v>
      </c>
      <c r="D64" s="814" t="s">
        <v>622</v>
      </c>
      <c r="E64" s="891">
        <v>0.4</v>
      </c>
      <c r="F64" s="878">
        <v>60</v>
      </c>
    </row>
    <row r="65" spans="1:6" s="874" customFormat="1" ht="36">
      <c r="A65" s="878">
        <v>5</v>
      </c>
      <c r="B65" s="3337"/>
      <c r="C65" s="814" t="s">
        <v>623</v>
      </c>
      <c r="D65" s="814" t="s">
        <v>624</v>
      </c>
      <c r="E65" s="891">
        <v>0.2</v>
      </c>
      <c r="F65" s="878">
        <v>30</v>
      </c>
    </row>
    <row r="66" spans="1:6" s="874" customFormat="1" ht="36">
      <c r="A66" s="878">
        <v>6</v>
      </c>
      <c r="B66" s="3337"/>
      <c r="C66" s="814" t="s">
        <v>625</v>
      </c>
      <c r="D66" s="814" t="s">
        <v>626</v>
      </c>
      <c r="E66" s="891">
        <v>0.3</v>
      </c>
      <c r="F66" s="878">
        <v>50</v>
      </c>
    </row>
    <row r="67" spans="1:6" s="874" customFormat="1" ht="36">
      <c r="A67" s="878">
        <v>7</v>
      </c>
      <c r="B67" s="3337"/>
      <c r="C67" s="814" t="s">
        <v>627</v>
      </c>
      <c r="D67" s="814" t="s">
        <v>628</v>
      </c>
      <c r="E67" s="891">
        <v>0.2</v>
      </c>
      <c r="F67" s="878">
        <v>30</v>
      </c>
    </row>
    <row r="68" spans="1:6" s="874" customFormat="1" ht="36">
      <c r="A68" s="878">
        <v>8</v>
      </c>
      <c r="B68" s="3337"/>
      <c r="C68" s="814" t="s">
        <v>629</v>
      </c>
      <c r="D68" s="814" t="s">
        <v>630</v>
      </c>
      <c r="E68" s="891">
        <v>0.2</v>
      </c>
      <c r="F68" s="878">
        <v>30</v>
      </c>
    </row>
    <row r="69" spans="1:6" s="874" customFormat="1" ht="36">
      <c r="A69" s="878">
        <v>9</v>
      </c>
      <c r="B69" s="3337"/>
      <c r="C69" s="814" t="s">
        <v>631</v>
      </c>
      <c r="D69" s="814" t="s">
        <v>632</v>
      </c>
      <c r="E69" s="891">
        <v>0.2</v>
      </c>
      <c r="F69" s="878">
        <v>30</v>
      </c>
    </row>
    <row r="70" spans="1:6" s="874" customFormat="1" ht="48">
      <c r="A70" s="878">
        <v>10</v>
      </c>
      <c r="B70" s="3337"/>
      <c r="C70" s="814" t="s">
        <v>633</v>
      </c>
      <c r="D70" s="814" t="s">
        <v>634</v>
      </c>
      <c r="E70" s="891">
        <v>0.2</v>
      </c>
      <c r="F70" s="878">
        <v>30</v>
      </c>
    </row>
    <row r="71" spans="1:6" s="874" customFormat="1" ht="48">
      <c r="A71" s="878">
        <v>11</v>
      </c>
      <c r="B71" s="3337"/>
      <c r="C71" s="814" t="s">
        <v>635</v>
      </c>
      <c r="D71" s="814" t="s">
        <v>636</v>
      </c>
      <c r="E71" s="891">
        <v>0.2</v>
      </c>
      <c r="F71" s="878">
        <v>30</v>
      </c>
    </row>
    <row r="72" spans="1:6" s="874" customFormat="1" ht="36">
      <c r="A72" s="878">
        <v>12</v>
      </c>
      <c r="B72" s="3337"/>
      <c r="C72" s="814" t="s">
        <v>637</v>
      </c>
      <c r="D72" s="814" t="s">
        <v>638</v>
      </c>
      <c r="E72" s="891">
        <v>0.5</v>
      </c>
      <c r="F72" s="878">
        <v>80</v>
      </c>
    </row>
    <row r="73" spans="1:6" s="874" customFormat="1" ht="24">
      <c r="A73" s="878">
        <v>13</v>
      </c>
      <c r="B73" s="3337"/>
      <c r="C73" s="814" t="s">
        <v>639</v>
      </c>
      <c r="D73" s="814" t="s">
        <v>640</v>
      </c>
      <c r="E73" s="891">
        <v>0.4</v>
      </c>
      <c r="F73" s="878">
        <v>60</v>
      </c>
    </row>
    <row r="74" spans="1:6" s="874" customFormat="1" ht="24">
      <c r="A74" s="878">
        <v>14</v>
      </c>
      <c r="B74" s="3337"/>
      <c r="C74" s="814" t="s">
        <v>641</v>
      </c>
      <c r="D74" s="814" t="s">
        <v>642</v>
      </c>
      <c r="E74" s="891">
        <v>0.2</v>
      </c>
      <c r="F74" s="878">
        <v>30</v>
      </c>
    </row>
    <row r="75" spans="1:6" s="874" customFormat="1" ht="24">
      <c r="A75" s="878">
        <v>15</v>
      </c>
      <c r="B75" s="3337"/>
      <c r="C75" s="814" t="s">
        <v>643</v>
      </c>
      <c r="D75" s="814" t="s">
        <v>644</v>
      </c>
      <c r="E75" s="891">
        <v>0.2</v>
      </c>
      <c r="F75" s="878">
        <v>30</v>
      </c>
    </row>
    <row r="76" spans="1:6" s="874" customFormat="1" ht="24">
      <c r="A76" s="878">
        <v>16</v>
      </c>
      <c r="B76" s="3337" t="s">
        <v>645</v>
      </c>
      <c r="C76" s="814" t="s">
        <v>646</v>
      </c>
      <c r="D76" s="814" t="s">
        <v>647</v>
      </c>
      <c r="E76" s="891">
        <v>0.5</v>
      </c>
      <c r="F76" s="878">
        <v>80</v>
      </c>
    </row>
    <row r="77" spans="1:6" s="874" customFormat="1" ht="24">
      <c r="A77" s="878">
        <v>17</v>
      </c>
      <c r="B77" s="3337"/>
      <c r="C77" s="814" t="s">
        <v>648</v>
      </c>
      <c r="D77" s="814" t="s">
        <v>649</v>
      </c>
      <c r="E77" s="891">
        <v>0.5</v>
      </c>
      <c r="F77" s="878">
        <v>80</v>
      </c>
    </row>
    <row r="78" spans="1:6" s="874" customFormat="1" ht="24">
      <c r="A78" s="878">
        <v>18</v>
      </c>
      <c r="B78" s="3337"/>
      <c r="C78" s="814" t="s">
        <v>650</v>
      </c>
      <c r="D78" s="814" t="s">
        <v>651</v>
      </c>
      <c r="E78" s="891">
        <v>0.2</v>
      </c>
      <c r="F78" s="878">
        <v>30</v>
      </c>
    </row>
    <row r="79" spans="1:6" s="874" customFormat="1" ht="24">
      <c r="A79" s="878">
        <v>19</v>
      </c>
      <c r="B79" s="3337"/>
      <c r="C79" s="814" t="s">
        <v>652</v>
      </c>
      <c r="D79" s="814" t="s">
        <v>653</v>
      </c>
      <c r="E79" s="891">
        <v>0.5</v>
      </c>
      <c r="F79" s="878">
        <v>80</v>
      </c>
    </row>
    <row r="80" spans="1:6" s="874" customFormat="1" ht="36">
      <c r="A80" s="878">
        <v>20</v>
      </c>
      <c r="B80" s="3337"/>
      <c r="C80" s="814" t="s">
        <v>654</v>
      </c>
      <c r="D80" s="814" t="s">
        <v>655</v>
      </c>
      <c r="E80" s="891">
        <v>0.2</v>
      </c>
      <c r="F80" s="878">
        <v>30</v>
      </c>
    </row>
    <row r="81" spans="1:6" s="874" customFormat="1" ht="36">
      <c r="A81" s="878">
        <v>21</v>
      </c>
      <c r="B81" s="3337"/>
      <c r="C81" s="814" t="s">
        <v>656</v>
      </c>
      <c r="D81" s="814" t="s">
        <v>657</v>
      </c>
      <c r="E81" s="891">
        <v>0.2</v>
      </c>
      <c r="F81" s="878">
        <v>30</v>
      </c>
    </row>
    <row r="82" spans="1:6" s="874" customFormat="1" ht="48">
      <c r="A82" s="878">
        <v>22</v>
      </c>
      <c r="B82" s="3337"/>
      <c r="C82" s="814" t="s">
        <v>658</v>
      </c>
      <c r="D82" s="814" t="s">
        <v>659</v>
      </c>
      <c r="E82" s="891">
        <v>0.2</v>
      </c>
      <c r="F82" s="878">
        <v>30</v>
      </c>
    </row>
    <row r="83" spans="1:6" s="874" customFormat="1" ht="48">
      <c r="A83" s="878">
        <v>23</v>
      </c>
      <c r="B83" s="3337"/>
      <c r="C83" s="814" t="s">
        <v>660</v>
      </c>
      <c r="D83" s="814" t="s">
        <v>661</v>
      </c>
      <c r="E83" s="891">
        <v>0.2</v>
      </c>
      <c r="F83" s="878">
        <v>30</v>
      </c>
    </row>
    <row r="84" spans="1:6" s="874" customFormat="1" ht="36">
      <c r="A84" s="878">
        <v>24</v>
      </c>
      <c r="B84" s="3337"/>
      <c r="C84" s="814" t="s">
        <v>662</v>
      </c>
      <c r="D84" s="814" t="s">
        <v>663</v>
      </c>
      <c r="E84" s="891">
        <v>0.2</v>
      </c>
      <c r="F84" s="878">
        <v>30</v>
      </c>
    </row>
    <row r="85" spans="1:6" s="874" customFormat="1" ht="36">
      <c r="A85" s="878">
        <v>25</v>
      </c>
      <c r="B85" s="3337"/>
      <c r="C85" s="814" t="s">
        <v>664</v>
      </c>
      <c r="D85" s="814" t="s">
        <v>665</v>
      </c>
      <c r="E85" s="891">
        <v>0.5</v>
      </c>
      <c r="F85" s="878">
        <v>80</v>
      </c>
    </row>
    <row r="86" spans="1:6" s="874" customFormat="1" ht="36">
      <c r="A86" s="878">
        <v>26</v>
      </c>
      <c r="B86" s="3337"/>
      <c r="C86" s="814" t="s">
        <v>666</v>
      </c>
      <c r="D86" s="814" t="s">
        <v>667</v>
      </c>
      <c r="E86" s="891">
        <v>0.2</v>
      </c>
      <c r="F86" s="878">
        <v>30</v>
      </c>
    </row>
    <row r="87" spans="1:6" s="874" customFormat="1" ht="36">
      <c r="A87" s="878">
        <v>27</v>
      </c>
      <c r="B87" s="3337"/>
      <c r="C87" s="814" t="s">
        <v>668</v>
      </c>
      <c r="D87" s="814" t="s">
        <v>669</v>
      </c>
      <c r="E87" s="891">
        <v>0.2</v>
      </c>
      <c r="F87" s="878">
        <v>30</v>
      </c>
    </row>
    <row r="88" spans="1:6" s="874" customFormat="1" ht="36">
      <c r="A88" s="878">
        <v>28</v>
      </c>
      <c r="B88" s="3337"/>
      <c r="C88" s="814" t="s">
        <v>670</v>
      </c>
      <c r="D88" s="814" t="s">
        <v>671</v>
      </c>
      <c r="E88" s="891">
        <v>0.2</v>
      </c>
      <c r="F88" s="878">
        <v>30</v>
      </c>
    </row>
    <row r="89" spans="1:6" s="874" customFormat="1" ht="24">
      <c r="A89" s="878">
        <v>29</v>
      </c>
      <c r="B89" s="3337"/>
      <c r="C89" s="814" t="s">
        <v>672</v>
      </c>
      <c r="D89" s="814" t="s">
        <v>673</v>
      </c>
      <c r="E89" s="891">
        <v>0.2</v>
      </c>
      <c r="F89" s="878">
        <v>30</v>
      </c>
    </row>
    <row r="90" spans="1:6" s="874" customFormat="1" ht="24">
      <c r="A90" s="878">
        <v>30</v>
      </c>
      <c r="B90" s="3337"/>
      <c r="C90" s="814" t="s">
        <v>674</v>
      </c>
      <c r="D90" s="814" t="s">
        <v>675</v>
      </c>
      <c r="E90" s="891">
        <v>0.2</v>
      </c>
      <c r="F90" s="878">
        <v>30</v>
      </c>
    </row>
    <row r="91" spans="1:6" s="874" customFormat="1" ht="36">
      <c r="A91" s="878">
        <v>31</v>
      </c>
      <c r="B91" s="3337"/>
      <c r="C91" s="814" t="s">
        <v>676</v>
      </c>
      <c r="D91" s="814" t="s">
        <v>677</v>
      </c>
      <c r="E91" s="891">
        <v>0.2</v>
      </c>
      <c r="F91" s="878">
        <v>30</v>
      </c>
    </row>
    <row r="92" spans="1:6" s="874" customFormat="1" ht="24">
      <c r="A92" s="878">
        <v>32</v>
      </c>
      <c r="B92" s="3337" t="s">
        <v>678</v>
      </c>
      <c r="C92" s="878" t="s">
        <v>679</v>
      </c>
      <c r="D92" s="814" t="s">
        <v>680</v>
      </c>
      <c r="E92" s="891">
        <v>0.2</v>
      </c>
      <c r="F92" s="878">
        <v>30</v>
      </c>
    </row>
    <row r="93" spans="1:6" s="874" customFormat="1" ht="36">
      <c r="A93" s="878">
        <v>33</v>
      </c>
      <c r="B93" s="3337"/>
      <c r="C93" s="878" t="s">
        <v>681</v>
      </c>
      <c r="D93" s="814" t="s">
        <v>682</v>
      </c>
      <c r="E93" s="891">
        <v>0.2</v>
      </c>
      <c r="F93" s="878">
        <v>30</v>
      </c>
    </row>
    <row r="94" spans="1:6" s="874" customFormat="1" ht="48">
      <c r="A94" s="878">
        <v>34</v>
      </c>
      <c r="B94" s="3337"/>
      <c r="C94" s="878" t="s">
        <v>683</v>
      </c>
      <c r="D94" s="814" t="s">
        <v>684</v>
      </c>
      <c r="E94" s="891">
        <v>0.2</v>
      </c>
      <c r="F94" s="878">
        <v>30</v>
      </c>
    </row>
    <row r="95" spans="1:6" s="874" customFormat="1" ht="36">
      <c r="A95" s="878">
        <v>35</v>
      </c>
      <c r="B95" s="3337"/>
      <c r="C95" s="878" t="s">
        <v>685</v>
      </c>
      <c r="D95" s="814" t="s">
        <v>686</v>
      </c>
      <c r="E95" s="891">
        <v>0.2</v>
      </c>
      <c r="F95" s="878">
        <v>30</v>
      </c>
    </row>
    <row r="96" spans="1:6" s="874" customFormat="1" ht="48">
      <c r="A96" s="878">
        <v>36</v>
      </c>
      <c r="B96" s="3337"/>
      <c r="C96" s="814" t="s">
        <v>687</v>
      </c>
      <c r="D96" s="814" t="s">
        <v>688</v>
      </c>
      <c r="E96" s="891">
        <v>0.2</v>
      </c>
      <c r="F96" s="878">
        <v>30</v>
      </c>
    </row>
    <row r="97" spans="1:6" s="874" customFormat="1" ht="36">
      <c r="A97" s="878">
        <v>37</v>
      </c>
      <c r="B97" s="3337"/>
      <c r="C97" s="878" t="s">
        <v>689</v>
      </c>
      <c r="D97" s="814" t="s">
        <v>690</v>
      </c>
      <c r="E97" s="891">
        <v>0.2</v>
      </c>
      <c r="F97" s="878">
        <v>30</v>
      </c>
    </row>
    <row r="98" spans="1:6" s="874" customFormat="1" ht="36">
      <c r="A98" s="878">
        <v>38</v>
      </c>
      <c r="B98" s="3337"/>
      <c r="C98" s="878" t="s">
        <v>691</v>
      </c>
      <c r="D98" s="814" t="s">
        <v>692</v>
      </c>
      <c r="E98" s="891">
        <v>0.2</v>
      </c>
      <c r="F98" s="878">
        <v>30</v>
      </c>
    </row>
    <row r="99" spans="1:6" s="874" customFormat="1" ht="36">
      <c r="A99" s="878">
        <v>39</v>
      </c>
      <c r="B99" s="3337" t="s">
        <v>693</v>
      </c>
      <c r="C99" s="878" t="s">
        <v>694</v>
      </c>
      <c r="D99" s="814" t="s">
        <v>695</v>
      </c>
      <c r="E99" s="891">
        <v>0.3</v>
      </c>
      <c r="F99" s="878">
        <v>50</v>
      </c>
    </row>
    <row r="100" spans="1:6" s="874" customFormat="1" ht="24">
      <c r="A100" s="878">
        <v>40</v>
      </c>
      <c r="B100" s="3337"/>
      <c r="C100" s="878" t="s">
        <v>696</v>
      </c>
      <c r="D100" s="814" t="s">
        <v>697</v>
      </c>
      <c r="E100" s="891">
        <v>0.2</v>
      </c>
      <c r="F100" s="878">
        <v>30</v>
      </c>
    </row>
    <row r="101" spans="1:6" s="874" customFormat="1" ht="36">
      <c r="A101" s="878">
        <v>41</v>
      </c>
      <c r="B101" s="333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37" t="s">
        <v>708</v>
      </c>
      <c r="C105" s="878" t="s">
        <v>709</v>
      </c>
      <c r="D105" s="814" t="s">
        <v>710</v>
      </c>
      <c r="E105" s="891">
        <v>0.2</v>
      </c>
      <c r="F105" s="878">
        <v>30</v>
      </c>
    </row>
    <row r="106" spans="1:6" s="874" customFormat="1" ht="36">
      <c r="A106" s="878">
        <v>46</v>
      </c>
      <c r="B106" s="3337"/>
      <c r="C106" s="878" t="s">
        <v>711</v>
      </c>
      <c r="D106" s="814" t="s">
        <v>712</v>
      </c>
      <c r="E106" s="891">
        <v>0.2</v>
      </c>
      <c r="F106" s="878">
        <v>30</v>
      </c>
    </row>
    <row r="107" spans="1:6" s="874" customFormat="1" ht="36">
      <c r="A107" s="878">
        <v>47</v>
      </c>
      <c r="B107" s="3337" t="s">
        <v>713</v>
      </c>
      <c r="C107" s="878" t="s">
        <v>714</v>
      </c>
      <c r="D107" s="814" t="s">
        <v>715</v>
      </c>
      <c r="E107" s="891">
        <v>0.3</v>
      </c>
      <c r="F107" s="878">
        <v>50</v>
      </c>
    </row>
    <row r="108" spans="1:6" s="874" customFormat="1" ht="36">
      <c r="A108" s="878">
        <v>48</v>
      </c>
      <c r="B108" s="333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37" t="s">
        <v>724</v>
      </c>
      <c r="C111" s="878" t="s">
        <v>725</v>
      </c>
      <c r="D111" s="814" t="s">
        <v>726</v>
      </c>
      <c r="E111" s="891">
        <v>0.2</v>
      </c>
      <c r="F111" s="878">
        <v>30</v>
      </c>
    </row>
    <row r="112" spans="1:6" s="874" customFormat="1" ht="24">
      <c r="A112" s="878">
        <v>52</v>
      </c>
      <c r="B112" s="3337"/>
      <c r="C112" s="878" t="s">
        <v>727</v>
      </c>
      <c r="D112" s="814" t="s">
        <v>728</v>
      </c>
      <c r="E112" s="891">
        <v>0.2</v>
      </c>
      <c r="F112" s="878">
        <v>30</v>
      </c>
    </row>
    <row r="113" spans="1:6" s="874" customFormat="1" ht="24">
      <c r="A113" s="878">
        <v>53</v>
      </c>
      <c r="B113" s="333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37" t="s">
        <v>737</v>
      </c>
      <c r="C116" s="878" t="s">
        <v>738</v>
      </c>
      <c r="D116" s="814" t="s">
        <v>739</v>
      </c>
      <c r="E116" s="891">
        <v>0.2</v>
      </c>
      <c r="F116" s="878">
        <v>30</v>
      </c>
    </row>
    <row r="117" spans="1:6" ht="36">
      <c r="A117" s="878">
        <v>57</v>
      </c>
      <c r="B117" s="333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1625</v>
      </c>
      <c r="C4" s="3009"/>
      <c r="D4" s="3009"/>
      <c r="E4" s="1959"/>
    </row>
    <row r="5" spans="1:5" ht="16.5" thickTop="1">
      <c r="A5" s="1957"/>
      <c r="B5" s="3007" t="s">
        <v>1617</v>
      </c>
      <c r="C5" s="1960" t="s">
        <v>1618</v>
      </c>
      <c r="D5" s="1039">
        <f ca="1">结果表!H101</f>
        <v>77995</v>
      </c>
      <c r="E5" s="1957"/>
    </row>
    <row r="6" spans="1:5" ht="15.75">
      <c r="A6" s="1957"/>
      <c r="B6" s="3007"/>
      <c r="C6" s="1960" t="s">
        <v>1619</v>
      </c>
      <c r="D6" s="1039" t="str">
        <f ca="1">NUMBERSTRING(INT(D5*10000),2)&amp;"元整"</f>
        <v>柒亿柒仟玖佰玖拾伍万元整</v>
      </c>
      <c r="E6" s="1957"/>
    </row>
    <row r="7" spans="1:5" ht="15.75">
      <c r="A7" s="1957"/>
      <c r="B7" s="3012"/>
      <c r="C7" s="1961" t="s">
        <v>1620</v>
      </c>
      <c r="D7" s="1040">
        <f ca="1">结果表!H102</f>
        <v>2889</v>
      </c>
      <c r="E7" s="1957"/>
    </row>
    <row r="8" spans="1:5" ht="15.75">
      <c r="A8" s="1957"/>
      <c r="B8" s="3013" t="str">
        <f>结果表!E103</f>
        <v>2.估价师知悉的法定优先受偿款</v>
      </c>
      <c r="C8" s="1962" t="s">
        <v>1621</v>
      </c>
      <c r="D8" s="1040">
        <f>结果表!H103</f>
        <v>0</v>
      </c>
      <c r="E8" s="1957"/>
    </row>
    <row r="9" spans="1:5" ht="15.75">
      <c r="A9" s="1957"/>
      <c r="B9" s="3015"/>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06" t="str">
        <f>结果表!E107</f>
        <v>3.房地产抵押价值</v>
      </c>
      <c r="C13" s="1965" t="s">
        <v>1618</v>
      </c>
      <c r="D13" s="1042">
        <f ca="1">结果表!H107</f>
        <v>77995</v>
      </c>
      <c r="E13" s="1957"/>
    </row>
    <row r="14" spans="1:5" ht="15.75">
      <c r="A14" s="1957"/>
      <c r="B14" s="3007"/>
      <c r="C14" s="1960" t="s">
        <v>1619</v>
      </c>
      <c r="D14" s="1039" t="str">
        <f ca="1">NUMBERSTRING(INT(D13*10000),2)&amp;"元整"</f>
        <v>柒亿柒仟玖佰玖拾伍万元整</v>
      </c>
      <c r="E14" s="1957"/>
    </row>
    <row r="15" spans="1:5" ht="15">
      <c r="A15" s="1957"/>
      <c r="B15" s="3012"/>
      <c r="C15" s="1961" t="s">
        <v>1629</v>
      </c>
      <c r="D15" s="1051">
        <f ca="1">结果表!H108</f>
        <v>2889</v>
      </c>
      <c r="E15" s="1957"/>
    </row>
    <row r="16" spans="1:5" ht="15">
      <c r="A16" s="1957"/>
      <c r="B16" s="3013" t="str">
        <f>结果表!E109</f>
        <v>——</v>
      </c>
      <c r="C16" s="1965" t="s">
        <v>1630</v>
      </c>
      <c r="D16" s="1966" t="str">
        <f>结果表!H109</f>
        <v>——</v>
      </c>
      <c r="E16" s="1957"/>
    </row>
    <row r="17" spans="1:5" ht="15.75">
      <c r="A17" s="1957"/>
      <c r="B17" s="3014"/>
      <c r="C17" s="1960" t="s">
        <v>1631</v>
      </c>
      <c r="D17" s="1039" t="e">
        <f>NUMBERSTRING(INT(D16*10000),2)&amp;"元整"</f>
        <v>#VALUE!</v>
      </c>
      <c r="E17" s="1957"/>
    </row>
    <row r="18" spans="1:5" ht="15">
      <c r="A18" s="1957"/>
      <c r="B18" s="3015"/>
      <c r="C18" s="1961" t="s">
        <v>1620</v>
      </c>
      <c r="D18" s="1051" t="str">
        <f>结果表!H110</f>
        <v>——</v>
      </c>
      <c r="E18" s="1957"/>
    </row>
    <row r="19" spans="1:5" ht="15.75">
      <c r="A19" s="1957"/>
      <c r="B19" s="3006" t="str">
        <f>结果表!E111</f>
        <v>——</v>
      </c>
      <c r="C19" s="1965" t="s">
        <v>1618</v>
      </c>
      <c r="D19" s="1040" t="str">
        <f>结果表!H111</f>
        <v>——</v>
      </c>
      <c r="E19" s="1957"/>
    </row>
    <row r="20" spans="1:5" ht="15.75">
      <c r="A20" s="1957"/>
      <c r="B20" s="3007"/>
      <c r="C20" s="1960" t="s">
        <v>1631</v>
      </c>
      <c r="D20" s="1039" t="e">
        <f>NUMBERSTRING(INT(D19*10000),2)&amp;"元整"</f>
        <v>#VALUE!</v>
      </c>
      <c r="E20" s="1957"/>
    </row>
    <row r="21" spans="1:5" ht="15.75" thickBot="1">
      <c r="A21" s="1957"/>
      <c r="B21" s="3008"/>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2998</v>
      </c>
    </row>
    <row r="2" spans="1:5" ht="15.75">
      <c r="A2" s="2901" t="s">
        <v>2990</v>
      </c>
      <c r="B2" s="2902" t="e">
        <f ca="1">SUMIF(B6:B13,"&lt;&gt;#ref!",B6:B13)</f>
        <v>#DIV/0!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t="e">
        <f ca="1">SUMIF(INDIRECT("'"&amp;A6&amp;"'"&amp;"!A:A"),"总价",INDIRECT("'"&amp;A6&amp;"'"&amp;"!B:B"))</f>
        <v>#DIV/0!</v>
      </c>
      <c r="C6" s="2901" t="s">
        <v>2991</v>
      </c>
      <c r="D6" s="2903"/>
      <c r="E6" s="2569">
        <f ca="1">SUMIF(INDIRECT("'"&amp;A6&amp;"'"&amp;"!C:C"),"建筑面积",INDIRECT("'"&amp;A6&amp;"'"&amp;"!D:D"))</f>
        <v>0</v>
      </c>
    </row>
    <row r="7" spans="1:5" ht="15.75">
      <c r="A7" s="2906"/>
      <c r="B7" s="2902" t="e">
        <f ca="1">SUMIF(INDIRECT("'"&amp;A7&amp;"'"&amp;"!A:A"),"总价",INDIRECT("'"&amp;A7&amp;"'"&amp;"!B:B"))</f>
        <v>#REF!</v>
      </c>
      <c r="C7" s="2901" t="s">
        <v>2991</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69" t="e">
        <f t="shared" ca="1" si="0"/>
        <v>#REF!</v>
      </c>
    </row>
    <row r="9" spans="1:5" ht="15.75">
      <c r="A9" s="2906"/>
      <c r="B9" s="2902" t="e">
        <f t="shared" ca="1" si="1"/>
        <v>#REF!</v>
      </c>
      <c r="C9" s="2901" t="s">
        <v>2991</v>
      </c>
      <c r="D9" s="2903"/>
      <c r="E9" s="2569" t="e">
        <f t="shared" ca="1" si="0"/>
        <v>#REF!</v>
      </c>
    </row>
    <row r="10" spans="1:5" ht="15.75">
      <c r="A10" s="2906"/>
      <c r="B10" s="2902" t="e">
        <f t="shared" ca="1" si="1"/>
        <v>#REF!</v>
      </c>
      <c r="C10" s="2901" t="s">
        <v>2991</v>
      </c>
      <c r="D10" s="2903"/>
      <c r="E10" s="2569" t="e">
        <f t="shared" ca="1" si="0"/>
        <v>#REF!</v>
      </c>
    </row>
    <row r="11" spans="1:5" ht="15.75">
      <c r="A11" s="2906"/>
      <c r="B11" s="2902" t="e">
        <f t="shared" ca="1" si="1"/>
        <v>#REF!</v>
      </c>
      <c r="C11" s="2901" t="s">
        <v>2991</v>
      </c>
      <c r="D11" s="2903"/>
      <c r="E11" s="2569" t="e">
        <f t="shared" ca="1" si="0"/>
        <v>#REF!</v>
      </c>
    </row>
    <row r="12" spans="1:5" ht="15.75">
      <c r="A12" s="2906"/>
      <c r="B12" s="2902" t="e">
        <f t="shared" ca="1" si="1"/>
        <v>#REF!</v>
      </c>
      <c r="C12" s="2901" t="s">
        <v>2991</v>
      </c>
      <c r="D12" s="2903"/>
      <c r="E12" s="2569" t="e">
        <f t="shared" ca="1" si="0"/>
        <v>#REF!</v>
      </c>
    </row>
    <row r="13" spans="1:5" ht="15.75">
      <c r="A13" s="2906"/>
      <c r="B13" s="2902" t="e">
        <f t="shared" ca="1" si="1"/>
        <v>#REF!</v>
      </c>
      <c r="C13" s="2901" t="s">
        <v>2991</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S38" sqref="S3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3" t="s">
        <v>1145</v>
      </c>
      <c r="C1" s="3343"/>
      <c r="D1" s="3343"/>
      <c r="E1" s="3343"/>
      <c r="F1" s="3343"/>
      <c r="G1" s="3339" t="s">
        <v>1146</v>
      </c>
      <c r="H1" s="3339"/>
      <c r="I1" s="3339"/>
      <c r="J1" s="3339"/>
      <c r="K1" s="3339"/>
      <c r="L1" s="3339"/>
      <c r="N1" s="3339" t="s">
        <v>1147</v>
      </c>
      <c r="O1" s="3339"/>
      <c r="P1" s="3339"/>
      <c r="Q1" s="3339"/>
      <c r="R1" s="1445"/>
      <c r="S1" s="3339" t="s">
        <v>1148</v>
      </c>
      <c r="T1" s="3339"/>
      <c r="U1" s="3339"/>
      <c r="V1" s="3339"/>
      <c r="X1" s="3338" t="s">
        <v>1149</v>
      </c>
      <c r="Y1" s="3339"/>
      <c r="Z1" s="3339"/>
      <c r="AA1" s="3339"/>
      <c r="AB1" s="3339"/>
      <c r="AD1" s="3338" t="s">
        <v>1150</v>
      </c>
      <c r="AE1" s="3339"/>
      <c r="AF1" s="3339"/>
      <c r="AG1" s="3339"/>
      <c r="AH1" s="3339"/>
    </row>
    <row r="2" spans="1:34" s="1446" customFormat="1" ht="14.25" thickBot="1">
      <c r="B2" s="1447" t="s">
        <v>1151</v>
      </c>
      <c r="C2" s="1447" t="s">
        <v>1152</v>
      </c>
      <c r="D2" s="1448" t="s">
        <v>1153</v>
      </c>
      <c r="E2" s="1448" t="s">
        <v>1154</v>
      </c>
      <c r="F2" s="1447" t="s">
        <v>1155</v>
      </c>
      <c r="G2" s="1449"/>
      <c r="H2" s="1450"/>
      <c r="I2" s="1447" t="s">
        <v>1151</v>
      </c>
      <c r="J2" s="1448" t="s">
        <v>1380</v>
      </c>
      <c r="K2" s="1448" t="s">
        <v>751</v>
      </c>
      <c r="L2" s="1447" t="s">
        <v>1155</v>
      </c>
      <c r="N2" s="1447" t="s">
        <v>1151</v>
      </c>
      <c r="O2" s="1448" t="s">
        <v>1380</v>
      </c>
      <c r="P2" s="1448" t="s">
        <v>751</v>
      </c>
      <c r="Q2" s="1447" t="s">
        <v>1155</v>
      </c>
      <c r="R2" s="1451"/>
      <c r="S2" s="1447" t="s">
        <v>1151</v>
      </c>
      <c r="T2" s="1448" t="s">
        <v>1380</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7" customFormat="1" ht="14.25">
      <c r="A3" s="2926" t="s">
        <v>3033</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3046</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0">
        <v>2019</v>
      </c>
      <c r="H5" s="1728">
        <v>1</v>
      </c>
      <c r="I5" s="2913">
        <v>0</v>
      </c>
      <c r="J5" s="2913">
        <v>0</v>
      </c>
      <c r="K5" s="2913">
        <v>0</v>
      </c>
      <c r="L5" s="2913">
        <v>0</v>
      </c>
      <c r="N5" s="1466">
        <f>I5/100</f>
        <v>0</v>
      </c>
      <c r="O5" s="1466">
        <f t="shared" ref="O5" si="7">J5/100</f>
        <v>0</v>
      </c>
      <c r="P5" s="1466">
        <f t="shared" ref="P5" si="8">K5/100</f>
        <v>0</v>
      </c>
      <c r="Q5" s="1466">
        <f t="shared" ref="Q5" si="9">L5/100</f>
        <v>0</v>
      </c>
      <c r="R5" s="1730"/>
      <c r="S5" s="1731"/>
      <c r="T5" s="1730"/>
      <c r="U5" s="1730"/>
      <c r="V5" s="1730"/>
      <c r="W5" s="2916" t="s">
        <v>3034</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3047</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341">
        <v>2018</v>
      </c>
      <c r="H6" s="1463">
        <v>4</v>
      </c>
      <c r="I6" s="2931">
        <v>0.96</v>
      </c>
      <c r="J6" s="2931">
        <v>1.03</v>
      </c>
      <c r="K6" s="2931">
        <v>0.92</v>
      </c>
      <c r="L6" s="2932">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5" customFormat="1" ht="14.45" customHeight="1">
      <c r="A7" s="1460" t="s">
        <v>3040</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341"/>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5" customFormat="1" ht="14.45" customHeight="1">
      <c r="A8" s="1460" t="s">
        <v>3039</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341"/>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5" customFormat="1" ht="15" customHeight="1" thickBot="1">
      <c r="A9" s="1460" t="s">
        <v>3032</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348"/>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60" t="s">
        <v>3029</v>
      </c>
      <c r="B10" s="1468">
        <v>439</v>
      </c>
      <c r="C10" s="1468">
        <v>327</v>
      </c>
      <c r="D10" s="1468">
        <f>C10</f>
        <v>327</v>
      </c>
      <c r="E10" s="1468">
        <v>627</v>
      </c>
      <c r="F10" s="1469">
        <v>283</v>
      </c>
      <c r="G10" s="3344">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5" customHeight="1">
      <c r="A11" s="1460" t="s">
        <v>3030</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341"/>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60" t="s">
        <v>1381</v>
      </c>
      <c r="B12" s="1476">
        <f t="shared" si="60"/>
        <v>419.31181600000002</v>
      </c>
      <c r="C12" s="1476">
        <f t="shared" si="61"/>
        <v>313.95436800000004</v>
      </c>
      <c r="D12" s="1476">
        <f t="shared" si="62"/>
        <v>313.95436800000004</v>
      </c>
      <c r="E12" s="1476">
        <f t="shared" si="63"/>
        <v>596.63028431999999</v>
      </c>
      <c r="F12" s="1476">
        <f t="shared" si="64"/>
        <v>274.74220703999998</v>
      </c>
      <c r="G12" s="3341"/>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2"/>
      <c r="AD12" s="1787">
        <f>ROUND(AVERAGE(I12:I$25)/100,4)</f>
        <v>2.46E-2</v>
      </c>
      <c r="AE12" s="1787">
        <f>ROUND(AVERAGE(J12:J$25)/100,4)</f>
        <v>1.6E-2</v>
      </c>
      <c r="AF12" s="1787">
        <f t="shared" si="1"/>
        <v>1.6E-2</v>
      </c>
      <c r="AG12" s="1787">
        <f>ROUND(AVERAGE(K12:K$25)/100,4)</f>
        <v>2.75E-2</v>
      </c>
      <c r="AH12" s="1787">
        <f>ROUND(AVERAGE(L12:L$25)/100,4)</f>
        <v>1.37E-2</v>
      </c>
    </row>
    <row r="13" spans="1:34" s="1465" customFormat="1" ht="15" customHeight="1" thickBot="1">
      <c r="A13" s="1460" t="s">
        <v>1156</v>
      </c>
      <c r="B13" s="1476">
        <f>B14*(1+N13)</f>
        <v>405.524</v>
      </c>
      <c r="C13" s="1476">
        <f>C14*(1+O13)</f>
        <v>307.79840000000002</v>
      </c>
      <c r="D13" s="1476">
        <f>C13</f>
        <v>307.79840000000002</v>
      </c>
      <c r="E13" s="1476">
        <f>E14*(1+P13)</f>
        <v>574.67759999999998</v>
      </c>
      <c r="F13" s="1476">
        <f>F14*(1+Q13)</f>
        <v>270.20280000000002</v>
      </c>
      <c r="G13" s="3348"/>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60" t="s">
        <v>154</v>
      </c>
      <c r="B14" s="1468">
        <v>392</v>
      </c>
      <c r="C14" s="1468">
        <v>302</v>
      </c>
      <c r="D14" s="1468">
        <f>C14</f>
        <v>302</v>
      </c>
      <c r="E14" s="1468">
        <v>553</v>
      </c>
      <c r="F14" s="1469">
        <v>266</v>
      </c>
      <c r="G14" s="3344">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341"/>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341"/>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5"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342"/>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5" thickBot="1">
      <c r="A18" s="1460" t="s">
        <v>151</v>
      </c>
      <c r="B18" s="1468">
        <v>333</v>
      </c>
      <c r="C18" s="1468">
        <v>277</v>
      </c>
      <c r="D18" s="1468">
        <f t="shared" si="74"/>
        <v>277</v>
      </c>
      <c r="E18" s="1468">
        <v>459</v>
      </c>
      <c r="F18" s="1469">
        <v>249</v>
      </c>
      <c r="G18" s="3340">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341"/>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341"/>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342"/>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5" thickBot="1">
      <c r="A22" s="1460" t="s">
        <v>147</v>
      </c>
      <c r="B22" s="1489">
        <v>318</v>
      </c>
      <c r="C22" s="1489">
        <v>268</v>
      </c>
      <c r="D22" s="1489">
        <f t="shared" si="74"/>
        <v>268</v>
      </c>
      <c r="E22" s="1489">
        <v>437</v>
      </c>
      <c r="F22" s="1490">
        <v>237</v>
      </c>
      <c r="G22" s="3340">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341"/>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5"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341"/>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5"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342"/>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1157</v>
      </c>
      <c r="X25" s="1504">
        <v>1</v>
      </c>
      <c r="Y25" s="1504">
        <v>1</v>
      </c>
      <c r="Z25" s="1504">
        <v>1</v>
      </c>
      <c r="AA25" s="1504">
        <v>1</v>
      </c>
      <c r="AB25" s="1504">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60" t="s">
        <v>1158</v>
      </c>
      <c r="B26" s="1468">
        <v>299</v>
      </c>
      <c r="C26" s="1468">
        <v>252</v>
      </c>
      <c r="D26" s="1468">
        <f t="shared" si="74"/>
        <v>252</v>
      </c>
      <c r="E26" s="1468">
        <v>409</v>
      </c>
      <c r="F26" s="1469">
        <v>227</v>
      </c>
      <c r="G26" s="3345">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1159</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346"/>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1160</v>
      </c>
      <c r="B28" s="1476">
        <f t="shared" si="83"/>
        <v>288.2649053828776</v>
      </c>
      <c r="C28" s="1476">
        <f t="shared" si="83"/>
        <v>243.64564425013293</v>
      </c>
      <c r="D28" s="1476">
        <f t="shared" si="74"/>
        <v>243.64564425013293</v>
      </c>
      <c r="E28" s="1476">
        <f t="shared" si="84"/>
        <v>393.31080825986544</v>
      </c>
      <c r="F28" s="1476">
        <f t="shared" si="84"/>
        <v>223.07903790551154</v>
      </c>
      <c r="G28" s="3346"/>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1161</v>
      </c>
      <c r="B29" s="1476">
        <f t="shared" si="83"/>
        <v>282.50186729015837</v>
      </c>
      <c r="C29" s="1476">
        <f t="shared" si="83"/>
        <v>238.09796174155468</v>
      </c>
      <c r="D29" s="1476">
        <f t="shared" si="74"/>
        <v>238.09796174155468</v>
      </c>
      <c r="E29" s="1476">
        <f t="shared" si="84"/>
        <v>385.33438646014054</v>
      </c>
      <c r="F29" s="1476">
        <f t="shared" si="84"/>
        <v>221.55034055567739</v>
      </c>
      <c r="G29" s="3347"/>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5" thickBot="1">
      <c r="A30" s="1460" t="s">
        <v>1162</v>
      </c>
      <c r="B30" s="1510">
        <v>278</v>
      </c>
      <c r="C30" s="1510">
        <v>234</v>
      </c>
      <c r="D30" s="1510">
        <f t="shared" si="74"/>
        <v>234</v>
      </c>
      <c r="E30" s="1510">
        <v>379</v>
      </c>
      <c r="F30" s="1511">
        <v>220</v>
      </c>
      <c r="G30" s="3340">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1163</v>
      </c>
      <c r="B31" s="1476">
        <f>B30/(1+N30)</f>
        <v>275.49301357645425</v>
      </c>
      <c r="C31" s="1476">
        <f>C30/(1+O30)</f>
        <v>232.41954707985698</v>
      </c>
      <c r="D31" s="1476">
        <f t="shared" si="74"/>
        <v>232.41954707985698</v>
      </c>
      <c r="E31" s="1476">
        <f t="shared" ref="E31:F33" si="85">E30/(1+P30)</f>
        <v>375.32184591008121</v>
      </c>
      <c r="F31" s="1476">
        <f t="shared" si="85"/>
        <v>218.03766105054513</v>
      </c>
      <c r="G31" s="3341"/>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1164</v>
      </c>
      <c r="B32" s="1476">
        <f>B31/(1+N31)</f>
        <v>275.24529281292263</v>
      </c>
      <c r="C32" s="1476">
        <f>C31/(1+O31)</f>
        <v>231.74747938962707</v>
      </c>
      <c r="D32" s="1476">
        <f t="shared" si="74"/>
        <v>231.74747938962707</v>
      </c>
      <c r="E32" s="1476">
        <f t="shared" si="85"/>
        <v>375.35938184826603</v>
      </c>
      <c r="F32" s="1476">
        <f t="shared" si="85"/>
        <v>216.78033510692495</v>
      </c>
      <c r="G32" s="3341"/>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5" thickBot="1">
      <c r="A33" s="1460" t="s">
        <v>1165</v>
      </c>
      <c r="B33" s="1476">
        <f>B32/(1+N32)</f>
        <v>275.19025476197027</v>
      </c>
      <c r="C33" s="1512">
        <v>232</v>
      </c>
      <c r="D33" s="1512">
        <f t="shared" si="74"/>
        <v>232</v>
      </c>
      <c r="E33" s="1476">
        <f t="shared" si="85"/>
        <v>375.65990977608692</v>
      </c>
      <c r="F33" s="1476">
        <f t="shared" si="85"/>
        <v>214.12518283971252</v>
      </c>
      <c r="G33" s="3342"/>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5" thickBot="1">
      <c r="A34" s="1460" t="s">
        <v>1166</v>
      </c>
      <c r="B34" s="1468">
        <v>275</v>
      </c>
      <c r="C34" s="1468">
        <v>232</v>
      </c>
      <c r="D34" s="1468">
        <f t="shared" si="74"/>
        <v>232</v>
      </c>
      <c r="E34" s="1468">
        <v>376</v>
      </c>
      <c r="F34" s="1469">
        <v>213</v>
      </c>
      <c r="G34" s="3340">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1167</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341">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1168</v>
      </c>
      <c r="B36" s="1476">
        <f t="shared" si="86"/>
        <v>275.19335084830601</v>
      </c>
      <c r="C36" s="1476">
        <f t="shared" si="86"/>
        <v>230.18088050139744</v>
      </c>
      <c r="D36" s="1476">
        <f t="shared" si="74"/>
        <v>230.18088050139744</v>
      </c>
      <c r="E36" s="1476">
        <f t="shared" si="87"/>
        <v>377.58482925212331</v>
      </c>
      <c r="F36" s="1476">
        <f t="shared" si="87"/>
        <v>210.90687997847917</v>
      </c>
      <c r="G36" s="3341">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5" thickBot="1">
      <c r="A37" s="1460" t="s">
        <v>1169</v>
      </c>
      <c r="B37" s="1476">
        <f t="shared" si="86"/>
        <v>276.29854502841971</v>
      </c>
      <c r="C37" s="1476">
        <f t="shared" si="86"/>
        <v>229.79023709833027</v>
      </c>
      <c r="D37" s="1476">
        <f t="shared" si="74"/>
        <v>229.79023709833027</v>
      </c>
      <c r="E37" s="1476">
        <f t="shared" si="87"/>
        <v>379.78759731655936</v>
      </c>
      <c r="F37" s="1476">
        <f t="shared" si="87"/>
        <v>211.32953905659235</v>
      </c>
      <c r="G37" s="3342">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5" thickBot="1">
      <c r="A38" s="1460" t="s">
        <v>1170</v>
      </c>
      <c r="B38" s="1468">
        <v>269</v>
      </c>
      <c r="C38" s="1468">
        <v>221</v>
      </c>
      <c r="D38" s="1468">
        <f t="shared" si="74"/>
        <v>221</v>
      </c>
      <c r="E38" s="1468">
        <v>373</v>
      </c>
      <c r="F38" s="1469">
        <v>196</v>
      </c>
      <c r="G38" s="3340">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1171</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341">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1172</v>
      </c>
      <c r="B40" s="1476">
        <f t="shared" si="88"/>
        <v>242.95398227588385</v>
      </c>
      <c r="C40" s="1476">
        <f t="shared" si="88"/>
        <v>199.59137053614126</v>
      </c>
      <c r="D40" s="1476">
        <f t="shared" si="74"/>
        <v>199.59137053614126</v>
      </c>
      <c r="E40" s="1476">
        <f t="shared" si="89"/>
        <v>335.92189522342125</v>
      </c>
      <c r="F40" s="1476">
        <f t="shared" si="89"/>
        <v>183.10139991109489</v>
      </c>
      <c r="G40" s="3341">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5" thickBot="1">
      <c r="A41" s="1460" t="s">
        <v>1173</v>
      </c>
      <c r="B41" s="1476">
        <f t="shared" si="88"/>
        <v>232.06990378821649</v>
      </c>
      <c r="C41" s="1476">
        <f t="shared" si="88"/>
        <v>192.74878854286936</v>
      </c>
      <c r="D41" s="1476">
        <f t="shared" si="74"/>
        <v>192.74878854286936</v>
      </c>
      <c r="E41" s="1476">
        <f t="shared" si="89"/>
        <v>319.71247284992984</v>
      </c>
      <c r="F41" s="1476">
        <f t="shared" si="89"/>
        <v>175.67053622862409</v>
      </c>
      <c r="G41" s="3342">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5" thickBot="1">
      <c r="A42" s="1460" t="s">
        <v>1174</v>
      </c>
      <c r="B42" s="1468">
        <v>220</v>
      </c>
      <c r="C42" s="1468">
        <v>187</v>
      </c>
      <c r="D42" s="1468">
        <f t="shared" si="74"/>
        <v>187</v>
      </c>
      <c r="E42" s="1468">
        <v>301</v>
      </c>
      <c r="F42" s="1469">
        <v>168</v>
      </c>
      <c r="G42" s="3340">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1175</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341">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1176</v>
      </c>
      <c r="B44" s="1476">
        <f t="shared" si="90"/>
        <v>210.630522469011</v>
      </c>
      <c r="C44" s="1476">
        <f t="shared" si="90"/>
        <v>181.69567812247232</v>
      </c>
      <c r="D44" s="1476">
        <f t="shared" si="74"/>
        <v>181.69567812247232</v>
      </c>
      <c r="E44" s="1476">
        <f t="shared" si="91"/>
        <v>286.13517466736738</v>
      </c>
      <c r="F44" s="1476">
        <f t="shared" si="91"/>
        <v>165.47535084591149</v>
      </c>
      <c r="G44" s="3341">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1177</v>
      </c>
      <c r="B45" s="1476">
        <f t="shared" si="90"/>
        <v>208.83454537875372</v>
      </c>
      <c r="C45" s="1476">
        <f t="shared" si="90"/>
        <v>183.77230517090351</v>
      </c>
      <c r="D45" s="1476">
        <f t="shared" si="74"/>
        <v>183.77230517090351</v>
      </c>
      <c r="E45" s="1476">
        <f t="shared" si="91"/>
        <v>281.10342338870947</v>
      </c>
      <c r="F45" s="1476">
        <f t="shared" si="91"/>
        <v>168.97309388942256</v>
      </c>
      <c r="G45" s="3342">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5" thickBot="1">
      <c r="A46" s="1460" t="s">
        <v>1178</v>
      </c>
      <c r="B46" s="1510">
        <v>214</v>
      </c>
      <c r="C46" s="1510">
        <v>188</v>
      </c>
      <c r="D46" s="1510">
        <f t="shared" si="74"/>
        <v>188</v>
      </c>
      <c r="E46" s="1510">
        <v>289</v>
      </c>
      <c r="F46" s="1511">
        <v>166</v>
      </c>
      <c r="G46" s="3340">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1179</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341">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1180</v>
      </c>
      <c r="B48" s="1476">
        <f t="shared" si="92"/>
        <v>206.31694671589116</v>
      </c>
      <c r="C48" s="1476">
        <f t="shared" si="92"/>
        <v>183.61041121036101</v>
      </c>
      <c r="D48" s="1476">
        <f t="shared" si="74"/>
        <v>183.61041121036101</v>
      </c>
      <c r="E48" s="1476">
        <f t="shared" si="93"/>
        <v>276.66850301795557</v>
      </c>
      <c r="F48" s="1476">
        <f t="shared" si="93"/>
        <v>165.1360938278614</v>
      </c>
      <c r="G48" s="3341">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5" thickBot="1">
      <c r="A49" s="1460" t="s">
        <v>1181</v>
      </c>
      <c r="B49" s="1513">
        <f t="shared" si="92"/>
        <v>196.62341248059772</v>
      </c>
      <c r="C49" s="1513">
        <f t="shared" si="92"/>
        <v>170.99125648199012</v>
      </c>
      <c r="D49" s="1513">
        <f t="shared" si="74"/>
        <v>170.99125648199012</v>
      </c>
      <c r="E49" s="1513">
        <f t="shared" si="93"/>
        <v>266.07857570490052</v>
      </c>
      <c r="F49" s="1513">
        <f t="shared" si="93"/>
        <v>154.53499328828505</v>
      </c>
      <c r="G49" s="3342">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5" thickBot="1">
      <c r="A50" s="1460" t="s">
        <v>1182</v>
      </c>
      <c r="B50" s="1468">
        <v>188</v>
      </c>
      <c r="C50" s="1468">
        <v>165</v>
      </c>
      <c r="D50" s="1468">
        <f t="shared" si="74"/>
        <v>165</v>
      </c>
      <c r="E50" s="1468">
        <v>254</v>
      </c>
      <c r="F50" s="1469">
        <v>148</v>
      </c>
      <c r="G50" s="3340">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1183</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341">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1184</v>
      </c>
      <c r="B52" s="1476">
        <f t="shared" si="96"/>
        <v>168.82017748715555</v>
      </c>
      <c r="C52" s="1476">
        <f t="shared" si="96"/>
        <v>148.06267029972753</v>
      </c>
      <c r="D52" s="1476">
        <f t="shared" si="74"/>
        <v>148.06267029972753</v>
      </c>
      <c r="E52" s="1476">
        <f t="shared" si="97"/>
        <v>216.46288379323747</v>
      </c>
      <c r="F52" s="1476">
        <f t="shared" si="97"/>
        <v>134.23529411764704</v>
      </c>
      <c r="G52" s="3341">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1185</v>
      </c>
      <c r="B53" s="1476">
        <f t="shared" si="96"/>
        <v>163.84913591779542</v>
      </c>
      <c r="C53" s="1476">
        <f t="shared" si="96"/>
        <v>145.0283378746594</v>
      </c>
      <c r="D53" s="1476">
        <f t="shared" si="74"/>
        <v>145.0283378746594</v>
      </c>
      <c r="E53" s="1476">
        <f t="shared" si="97"/>
        <v>204.95180722891567</v>
      </c>
      <c r="F53" s="1476">
        <f t="shared" si="97"/>
        <v>125.95920303605313</v>
      </c>
      <c r="G53" s="3342">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5" thickBot="1">
      <c r="A54" s="1460" t="s">
        <v>1186</v>
      </c>
      <c r="B54" s="1489">
        <v>159</v>
      </c>
      <c r="C54" s="1489">
        <v>141</v>
      </c>
      <c r="D54" s="1489">
        <f t="shared" si="74"/>
        <v>141</v>
      </c>
      <c r="E54" s="1489">
        <v>195</v>
      </c>
      <c r="F54" s="1490">
        <v>122</v>
      </c>
      <c r="G54" s="3340">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1187</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341">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1188</v>
      </c>
      <c r="B56" s="1476">
        <f t="shared" si="100"/>
        <v>146.57412060301507</v>
      </c>
      <c r="C56" s="1476">
        <f t="shared" si="100"/>
        <v>136.46831955922866</v>
      </c>
      <c r="D56" s="1476">
        <f t="shared" si="74"/>
        <v>136.46831955922866</v>
      </c>
      <c r="E56" s="1476">
        <f t="shared" si="101"/>
        <v>166.73864894795128</v>
      </c>
      <c r="F56" s="1476">
        <f t="shared" si="101"/>
        <v>115.05882352941177</v>
      </c>
      <c r="G56" s="3341">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1189</v>
      </c>
      <c r="B57" s="1476">
        <f t="shared" si="100"/>
        <v>144.04145728643215</v>
      </c>
      <c r="C57" s="1476">
        <f t="shared" si="100"/>
        <v>136.12396694214877</v>
      </c>
      <c r="D57" s="1476">
        <f t="shared" si="74"/>
        <v>136.12396694214877</v>
      </c>
      <c r="E57" s="1476">
        <f t="shared" si="101"/>
        <v>158.32225913621264</v>
      </c>
      <c r="F57" s="1476">
        <f t="shared" si="101"/>
        <v>114.04278074866311</v>
      </c>
      <c r="G57" s="3342">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5" thickBot="1">
      <c r="A58" s="1460" t="s">
        <v>1190</v>
      </c>
      <c r="B58" s="1489">
        <v>138</v>
      </c>
      <c r="C58" s="1489">
        <v>131</v>
      </c>
      <c r="D58" s="1489">
        <f t="shared" si="74"/>
        <v>131</v>
      </c>
      <c r="E58" s="1489">
        <v>155</v>
      </c>
      <c r="F58" s="1490">
        <v>114</v>
      </c>
      <c r="G58" s="3340">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1191</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341">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1192</v>
      </c>
      <c r="B60" s="1476">
        <f t="shared" si="104"/>
        <v>124.29032258064517</v>
      </c>
      <c r="C60" s="1476">
        <f t="shared" si="104"/>
        <v>123.8968609865471</v>
      </c>
      <c r="D60" s="1476">
        <f t="shared" si="74"/>
        <v>123.8968609865471</v>
      </c>
      <c r="E60" s="1476">
        <f t="shared" si="105"/>
        <v>138.00507614213197</v>
      </c>
      <c r="F60" s="1476">
        <f t="shared" si="105"/>
        <v>107.96106557377048</v>
      </c>
      <c r="G60" s="3341">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1193</v>
      </c>
      <c r="B61" s="1476">
        <f t="shared" si="104"/>
        <v>122.57204301075269</v>
      </c>
      <c r="C61" s="1476">
        <f t="shared" si="104"/>
        <v>123.4932735426009</v>
      </c>
      <c r="D61" s="1476">
        <f t="shared" si="74"/>
        <v>123.4932735426009</v>
      </c>
      <c r="E61" s="1476">
        <f t="shared" si="105"/>
        <v>129.82233502538071</v>
      </c>
      <c r="F61" s="1476">
        <f t="shared" si="105"/>
        <v>107.39446721311475</v>
      </c>
      <c r="G61" s="3342">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5" thickBot="1">
      <c r="A62" s="1460" t="s">
        <v>1194</v>
      </c>
      <c r="B62" s="1510">
        <v>121</v>
      </c>
      <c r="C62" s="1510">
        <v>122</v>
      </c>
      <c r="D62" s="1510">
        <f t="shared" si="74"/>
        <v>122</v>
      </c>
      <c r="E62" s="1510">
        <v>124</v>
      </c>
      <c r="F62" s="1511">
        <v>107</v>
      </c>
      <c r="G62" s="3340">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1195</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341">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1196</v>
      </c>
      <c r="B64" s="1476">
        <f t="shared" si="108"/>
        <v>116.99099099099099</v>
      </c>
      <c r="C64" s="1476">
        <f t="shared" si="108"/>
        <v>118.84848484848486</v>
      </c>
      <c r="D64" s="1476">
        <f t="shared" si="74"/>
        <v>118.84848484848486</v>
      </c>
      <c r="E64" s="1476">
        <f t="shared" si="109"/>
        <v>117.60960960960961</v>
      </c>
      <c r="F64" s="1476">
        <f t="shared" si="109"/>
        <v>104</v>
      </c>
      <c r="G64" s="3341">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5" thickBot="1">
      <c r="A65" s="1460" t="s">
        <v>1197</v>
      </c>
      <c r="B65" s="1513">
        <f t="shared" si="108"/>
        <v>112.48648648648648</v>
      </c>
      <c r="C65" s="1513">
        <f t="shared" si="108"/>
        <v>115.21212121212122</v>
      </c>
      <c r="D65" s="1513">
        <f t="shared" si="74"/>
        <v>115.21212121212122</v>
      </c>
      <c r="E65" s="1513">
        <f t="shared" si="109"/>
        <v>110.4024024024024</v>
      </c>
      <c r="F65" s="1513">
        <f t="shared" si="109"/>
        <v>104</v>
      </c>
      <c r="G65" s="3342">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5" thickBot="1">
      <c r="A66" s="1460" t="s">
        <v>1198</v>
      </c>
      <c r="B66" s="1531">
        <v>111</v>
      </c>
      <c r="C66" s="1531">
        <v>114</v>
      </c>
      <c r="D66" s="1531">
        <f t="shared" si="74"/>
        <v>114</v>
      </c>
      <c r="E66" s="1531">
        <v>108</v>
      </c>
      <c r="F66" s="1532">
        <v>104</v>
      </c>
      <c r="G66" s="3340">
        <v>2003</v>
      </c>
      <c r="H66" s="1521">
        <v>4</v>
      </c>
      <c r="I66" s="1533"/>
      <c r="J66" s="1533"/>
      <c r="K66" s="1533"/>
      <c r="L66" s="1533"/>
      <c r="N66" s="1534"/>
      <c r="O66" s="1533"/>
      <c r="P66" s="1533"/>
      <c r="Q66" s="1533"/>
      <c r="S66" s="1534"/>
      <c r="T66" s="1533"/>
      <c r="U66" s="1533"/>
      <c r="V66" s="1533"/>
      <c r="X66" s="1525"/>
      <c r="Y66" s="1525"/>
      <c r="Z66" s="1525"/>
    </row>
    <row r="67" spans="1:26">
      <c r="A67" s="1460" t="s">
        <v>1199</v>
      </c>
      <c r="B67" s="1535">
        <f t="shared" ref="B67:C69" si="110">B68+(B$66-B$70)/4</f>
        <v>109.75</v>
      </c>
      <c r="C67" s="1535">
        <f t="shared" si="110"/>
        <v>112.25</v>
      </c>
      <c r="D67" s="1535">
        <f t="shared" si="74"/>
        <v>112.25</v>
      </c>
      <c r="E67" s="1535">
        <f t="shared" ref="E67:F69" si="111">E68+(E$66-E$70)/4</f>
        <v>107.25</v>
      </c>
      <c r="F67" s="1535">
        <f t="shared" si="111"/>
        <v>103.5</v>
      </c>
      <c r="G67" s="3341">
        <v>2003</v>
      </c>
      <c r="H67" s="1486">
        <v>3</v>
      </c>
      <c r="I67" s="1533"/>
      <c r="J67" s="1533"/>
      <c r="K67" s="1533"/>
      <c r="L67" s="1533"/>
      <c r="X67" s="1525"/>
      <c r="Y67" s="1525"/>
      <c r="Z67" s="1525"/>
    </row>
    <row r="68" spans="1:26">
      <c r="A68" s="1460" t="s">
        <v>1200</v>
      </c>
      <c r="B68" s="1535">
        <f t="shared" si="110"/>
        <v>108.5</v>
      </c>
      <c r="C68" s="1535">
        <f t="shared" si="110"/>
        <v>110.5</v>
      </c>
      <c r="D68" s="1535">
        <f t="shared" si="74"/>
        <v>110.5</v>
      </c>
      <c r="E68" s="1535">
        <f t="shared" si="111"/>
        <v>106.5</v>
      </c>
      <c r="F68" s="1535">
        <f t="shared" si="111"/>
        <v>103</v>
      </c>
      <c r="G68" s="3341">
        <v>2003</v>
      </c>
      <c r="H68" s="1464">
        <v>2</v>
      </c>
      <c r="I68" s="1533"/>
      <c r="J68" s="1533"/>
      <c r="K68" s="1533"/>
      <c r="L68" s="1533"/>
      <c r="X68" s="1525"/>
      <c r="Y68" s="1525"/>
      <c r="Z68" s="1525"/>
    </row>
    <row r="69" spans="1:26" ht="13.5" thickBot="1">
      <c r="A69" s="1460" t="s">
        <v>1201</v>
      </c>
      <c r="B69" s="1535">
        <f t="shared" si="110"/>
        <v>107.25</v>
      </c>
      <c r="C69" s="1535">
        <f t="shared" si="110"/>
        <v>108.75</v>
      </c>
      <c r="D69" s="1535">
        <f t="shared" si="74"/>
        <v>108.75</v>
      </c>
      <c r="E69" s="1535">
        <f t="shared" si="111"/>
        <v>105.75</v>
      </c>
      <c r="F69" s="1535">
        <f t="shared" si="111"/>
        <v>102.5</v>
      </c>
      <c r="G69" s="3342">
        <v>2003</v>
      </c>
      <c r="H69" s="1536">
        <v>1</v>
      </c>
      <c r="I69" s="1533"/>
      <c r="J69" s="1533"/>
      <c r="K69" s="1533"/>
      <c r="L69" s="1533"/>
      <c r="S69" s="1471"/>
      <c r="T69" s="1472"/>
      <c r="U69" s="1472"/>
      <c r="X69" s="1525"/>
      <c r="Y69" s="1525"/>
      <c r="Z69" s="1525"/>
    </row>
    <row r="70" spans="1:26" ht="13.5" thickBot="1">
      <c r="A70" s="1460" t="s">
        <v>1202</v>
      </c>
      <c r="B70" s="1537">
        <v>106</v>
      </c>
      <c r="C70" s="1537">
        <v>107</v>
      </c>
      <c r="D70" s="1537">
        <f t="shared" si="74"/>
        <v>107</v>
      </c>
      <c r="E70" s="1537">
        <v>105</v>
      </c>
      <c r="F70" s="1538">
        <v>102</v>
      </c>
      <c r="G70" s="3340">
        <v>2002</v>
      </c>
      <c r="H70" s="1481">
        <v>4</v>
      </c>
      <c r="I70" s="1533"/>
      <c r="J70" s="1533"/>
      <c r="K70" s="1533"/>
      <c r="L70" s="1533"/>
      <c r="N70" s="1534"/>
      <c r="O70" s="1533"/>
      <c r="P70" s="1533"/>
      <c r="Q70" s="1533"/>
      <c r="S70" s="1534"/>
      <c r="T70" s="1533"/>
      <c r="U70" s="1533"/>
      <c r="V70" s="1533"/>
      <c r="X70" s="1525"/>
      <c r="Y70" s="1525"/>
      <c r="Z70" s="1525"/>
    </row>
    <row r="71" spans="1:26">
      <c r="A71" s="1460" t="s">
        <v>1203</v>
      </c>
      <c r="B71" s="1535">
        <f t="shared" ref="B71:C73" si="112">B72+(B$70-B$74)/4</f>
        <v>105</v>
      </c>
      <c r="C71" s="1535">
        <f t="shared" si="112"/>
        <v>106</v>
      </c>
      <c r="D71" s="1535">
        <f t="shared" si="74"/>
        <v>106</v>
      </c>
      <c r="E71" s="1535">
        <f t="shared" ref="E71:F73" si="113">E72+(E$70-E$74)/4</f>
        <v>104.5</v>
      </c>
      <c r="F71" s="1535">
        <f t="shared" si="113"/>
        <v>101.5</v>
      </c>
      <c r="G71" s="3341">
        <v>2002</v>
      </c>
      <c r="H71" s="1486">
        <v>3</v>
      </c>
      <c r="I71" s="1533"/>
      <c r="J71" s="1533"/>
      <c r="K71" s="1533"/>
      <c r="L71" s="1533"/>
      <c r="X71" s="1525"/>
      <c r="Y71" s="1525"/>
      <c r="Z71" s="1525"/>
    </row>
    <row r="72" spans="1:26">
      <c r="A72" s="1460" t="s">
        <v>1204</v>
      </c>
      <c r="B72" s="1535">
        <f t="shared" si="112"/>
        <v>104</v>
      </c>
      <c r="C72" s="1535">
        <f t="shared" si="112"/>
        <v>105</v>
      </c>
      <c r="D72" s="1535">
        <f t="shared" si="74"/>
        <v>105</v>
      </c>
      <c r="E72" s="1535">
        <f t="shared" si="113"/>
        <v>104</v>
      </c>
      <c r="F72" s="1535">
        <f t="shared" si="113"/>
        <v>101</v>
      </c>
      <c r="G72" s="3341">
        <v>2002</v>
      </c>
      <c r="H72" s="1464">
        <v>2</v>
      </c>
      <c r="I72" s="1533"/>
      <c r="J72" s="1533"/>
      <c r="K72" s="1533"/>
      <c r="L72" s="1533"/>
      <c r="X72" s="1525"/>
      <c r="Y72" s="1525"/>
      <c r="Z72" s="1525"/>
    </row>
    <row r="73" spans="1:26" s="1497" customFormat="1" ht="13.5" thickBot="1">
      <c r="A73" s="1493" t="s">
        <v>1205</v>
      </c>
      <c r="B73" s="1539">
        <f t="shared" si="112"/>
        <v>103</v>
      </c>
      <c r="C73" s="1539">
        <f t="shared" si="112"/>
        <v>104</v>
      </c>
      <c r="D73" s="1539">
        <f t="shared" si="74"/>
        <v>104</v>
      </c>
      <c r="E73" s="1539">
        <f t="shared" si="113"/>
        <v>103.5</v>
      </c>
      <c r="F73" s="1539">
        <f t="shared" si="113"/>
        <v>100.5</v>
      </c>
      <c r="G73" s="3342">
        <v>2002</v>
      </c>
      <c r="H73" s="1540">
        <v>1</v>
      </c>
      <c r="I73" s="1541"/>
      <c r="J73" s="1541"/>
      <c r="K73" s="1541"/>
      <c r="L73" s="1541"/>
      <c r="N73" s="1542"/>
      <c r="S73" s="1542"/>
      <c r="X73" s="1543"/>
      <c r="Y73" s="1543"/>
      <c r="Z73" s="1543"/>
    </row>
    <row r="74" spans="1:26" ht="13.5"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1206</v>
      </c>
      <c r="G76" s="1549"/>
      <c r="N76" s="1549"/>
      <c r="S76" s="1549"/>
    </row>
    <row r="77" spans="1:26" s="1548" customFormat="1">
      <c r="A77" s="1548" t="s">
        <v>1207</v>
      </c>
      <c r="G77" s="1549"/>
      <c r="N77" s="1549"/>
      <c r="S77" s="1549"/>
    </row>
    <row r="78" spans="1:26" s="1548" customFormat="1">
      <c r="A78" s="1548" t="s">
        <v>1208</v>
      </c>
      <c r="G78" s="1549"/>
      <c r="I78" s="1550"/>
      <c r="J78" s="1550"/>
      <c r="K78" s="1550"/>
      <c r="L78" s="1550"/>
      <c r="N78" s="1551"/>
      <c r="O78" s="1550"/>
      <c r="P78" s="1550"/>
      <c r="Q78" s="1550"/>
      <c r="S78" s="1551"/>
      <c r="T78" s="1550"/>
      <c r="U78" s="1550"/>
      <c r="V78" s="1550"/>
    </row>
    <row r="79" spans="1:26" s="1548" customFormat="1">
      <c r="A79" s="1548" t="s">
        <v>1209</v>
      </c>
      <c r="G79" s="1549"/>
      <c r="N79" s="1549"/>
      <c r="S79" s="1549"/>
    </row>
    <row r="86" spans="7:22" ht="13.5" thickBot="1"/>
    <row r="87" spans="7:22">
      <c r="G87" s="1470"/>
      <c r="S87" s="1552" t="s">
        <v>1210</v>
      </c>
      <c r="T87" s="1553" t="s">
        <v>1211</v>
      </c>
      <c r="U87" s="1553" t="s">
        <v>1212</v>
      </c>
      <c r="V87" s="1553" t="s">
        <v>1213</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5"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3" t="s">
        <v>3000</v>
      </c>
      <c r="C1" s="3350" t="s">
        <v>3001</v>
      </c>
      <c r="D1" s="3351"/>
      <c r="E1" s="3351"/>
      <c r="F1" s="3351"/>
      <c r="G1" s="3351"/>
      <c r="H1" s="3351"/>
      <c r="I1" s="3351"/>
      <c r="J1" s="3351"/>
      <c r="K1" s="3351"/>
      <c r="L1" s="3351"/>
      <c r="M1" s="3351"/>
      <c r="N1" s="3351"/>
      <c r="O1" s="3351"/>
      <c r="P1" s="3351"/>
      <c r="Q1" s="3351"/>
      <c r="R1" s="3351"/>
      <c r="S1" s="3352"/>
      <c r="T1" s="1203" t="s">
        <v>3002</v>
      </c>
    </row>
    <row r="2" spans="1:45" s="705" customFormat="1">
      <c r="A2" s="1204"/>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6"/>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4"/>
      <c r="B5" s="1767" t="s">
        <v>3004</v>
      </c>
      <c r="C5" s="1215"/>
      <c r="D5" s="1216"/>
      <c r="E5" s="1216"/>
      <c r="F5" s="1709"/>
      <c r="G5" s="1709"/>
      <c r="H5" s="1709"/>
      <c r="I5" s="1709"/>
      <c r="J5" s="1709"/>
      <c r="K5" s="1709"/>
      <c r="L5" s="1710"/>
      <c r="M5" s="1711"/>
      <c r="N5" s="1711"/>
      <c r="O5" s="1709"/>
      <c r="P5" s="1709"/>
      <c r="Q5" s="1709"/>
      <c r="R5" s="1709"/>
      <c r="S5" s="1712"/>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4"/>
      <c r="B7" s="1768" t="s">
        <v>3005</v>
      </c>
      <c r="C7" s="1120"/>
      <c r="D7" s="1114"/>
      <c r="E7" s="1114"/>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4"/>
      <c r="B9" s="1768" t="s">
        <v>3006</v>
      </c>
      <c r="C9" s="1120"/>
      <c r="D9" s="1114"/>
      <c r="E9" s="1114"/>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4"/>
      <c r="B11" s="1767" t="s">
        <v>3007</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4"/>
      <c r="B13" s="1767" t="s">
        <v>3008</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4"/>
      <c r="B15" s="1767" t="s">
        <v>3009</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3010</v>
      </c>
      <c r="B17" s="2908"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09" t="s">
        <v>3012</v>
      </c>
      <c r="E19" s="1790"/>
      <c r="F19" s="1790"/>
      <c r="G19" s="1790"/>
      <c r="H19" s="1279"/>
      <c r="I19" s="166"/>
      <c r="J19" s="166"/>
      <c r="K19" s="166"/>
      <c r="L19" s="166"/>
      <c r="M19" s="166"/>
      <c r="N19" s="166"/>
      <c r="O19" s="166"/>
      <c r="P19" s="166"/>
      <c r="Q19" s="166"/>
      <c r="R19" s="786"/>
      <c r="S19" s="136"/>
    </row>
    <row r="20" spans="1:45" ht="16.5" thickBot="1">
      <c r="A20" s="713" t="s">
        <v>3013</v>
      </c>
      <c r="B20" s="336" t="e">
        <f ca="1">IF(D20="——",S22,S22-F20)</f>
        <v>#REF!</v>
      </c>
      <c r="C20" s="166"/>
      <c r="D20" s="2910" t="s">
        <v>3014</v>
      </c>
      <c r="E20" s="1791"/>
      <c r="F20" s="1203" t="e">
        <f ca="1">SUMIF(INDIRECT("'"&amp;H20&amp;"'"&amp;"!A:A"),"承租人权益价值",INDIRECT("'"&amp;H20&amp;"'"&amp;"!c:c"))</f>
        <v>#REF!</v>
      </c>
      <c r="G20" s="1203" t="s">
        <v>3015</v>
      </c>
      <c r="H20" s="2911"/>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25" t="s">
        <v>33</v>
      </c>
      <c r="D22" s="3126"/>
      <c r="E22" s="3126"/>
      <c r="F22" s="3126"/>
      <c r="G22" s="3126"/>
      <c r="H22" s="3126"/>
      <c r="I22" s="3126"/>
      <c r="J22" s="3126"/>
      <c r="K22" s="3126"/>
      <c r="L22" s="3126"/>
      <c r="M22" s="3126"/>
      <c r="N22" s="3126"/>
      <c r="O22" s="3126"/>
      <c r="P22" s="3126"/>
      <c r="Q22" s="3349"/>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31263</v>
      </c>
      <c r="C2" s="2" t="s">
        <v>133</v>
      </c>
      <c r="D2" s="241"/>
      <c r="E2" s="241"/>
      <c r="F2" s="241"/>
      <c r="G2" s="241"/>
    </row>
    <row r="3" spans="1:7" s="242" customFormat="1" ht="18" customHeight="1" thickBot="1">
      <c r="A3" s="245" t="s">
        <v>85</v>
      </c>
      <c r="B3" s="246">
        <f ca="1">ROUND(B2*10000/'数据-汇总表'!E3,0)</f>
        <v>1158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1144</v>
      </c>
    </row>
    <row r="9" spans="1:7" s="256" customFormat="1" ht="13.5" customHeight="1">
      <c r="A9" s="949" t="s">
        <v>800</v>
      </c>
      <c r="B9" s="266" t="s">
        <v>93</v>
      </c>
      <c r="C9" s="267">
        <f>ROUND(D9*E9/10000,0)</f>
        <v>2353</v>
      </c>
      <c r="D9" s="1031">
        <f>'数据-汇总表'!E5</f>
        <v>156896.10000000003</v>
      </c>
      <c r="E9" s="267">
        <f>'数据-取费表'!B27</f>
        <v>150</v>
      </c>
      <c r="F9" s="263"/>
      <c r="G9" s="268"/>
    </row>
    <row r="10" spans="1:7" s="256" customFormat="1" ht="13.5" customHeight="1">
      <c r="A10" s="949" t="s">
        <v>801</v>
      </c>
      <c r="B10" s="266" t="s">
        <v>94</v>
      </c>
      <c r="C10" s="267">
        <f>ROUND(D10*E10/10000,0)</f>
        <v>1696</v>
      </c>
      <c r="D10" s="1031">
        <f>'数据-汇总表'!E6</f>
        <v>113059.03999999998</v>
      </c>
      <c r="E10" s="267">
        <f>'数据-取费表'!B28</f>
        <v>150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1052</v>
      </c>
      <c r="B19" s="252" t="s">
        <v>111</v>
      </c>
      <c r="C19" s="253">
        <f>IF(G19="已包含在土地取得成本中","0",ROUND(D19*E19/10000,0))</f>
        <v>5399</v>
      </c>
      <c r="D19" s="1035">
        <f>'数据-汇总表'!E3</f>
        <v>269955.14</v>
      </c>
      <c r="E19" s="253">
        <f>'数据-取费表'!B31</f>
        <v>200</v>
      </c>
      <c r="F19" s="273"/>
      <c r="G19" s="1" t="s">
        <v>1071</v>
      </c>
    </row>
    <row r="20" spans="1:7" s="256" customFormat="1" ht="13.5" customHeight="1">
      <c r="A20" s="947" t="s">
        <v>1054</v>
      </c>
      <c r="B20" s="252" t="s">
        <v>104</v>
      </c>
      <c r="C20" s="274">
        <f>ROUND((C5+C19)*F20,0)</f>
        <v>520</v>
      </c>
      <c r="D20" s="274"/>
      <c r="E20" s="274"/>
      <c r="F20" s="275">
        <f>'数据-取费表'!B37</f>
        <v>0.02</v>
      </c>
      <c r="G20" s="1288" t="s">
        <v>1065</v>
      </c>
    </row>
    <row r="21" spans="1:7" s="256" customFormat="1" ht="13.5" customHeight="1">
      <c r="A21" s="947" t="s">
        <v>1056</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122</v>
      </c>
      <c r="D22" s="277">
        <f ca="1">C26</f>
        <v>0</v>
      </c>
      <c r="E22" s="278" t="s">
        <v>126</v>
      </c>
      <c r="F22" s="279">
        <f ca="1">'数据-取费表'!B40</f>
        <v>4.7500000000000001E-2</v>
      </c>
      <c r="G22" s="1288" t="str">
        <f>IF('数据-取费表'!B22&lt;=1,"单利计息","复利计息")</f>
        <v>复利计息</v>
      </c>
    </row>
    <row r="23" spans="1:7" s="256" customFormat="1" ht="13.5" customHeight="1">
      <c r="A23" s="950" t="s">
        <v>794</v>
      </c>
      <c r="B23" s="257" t="s">
        <v>1058</v>
      </c>
      <c r="C23" s="1354">
        <f ca="1">ROUND(IF('数据-取费表'!B22&lt;=1,C5*F22*'数据-取费表'!B23,C5*(POWER((1+F22),'数据-取费表'!B23)-1)),0)</f>
        <v>96</v>
      </c>
      <c r="D23" s="280"/>
      <c r="E23" s="280"/>
      <c r="F23" s="281"/>
      <c r="G23" s="282" t="s">
        <v>108</v>
      </c>
    </row>
    <row r="24" spans="1:7" s="256" customFormat="1" ht="13.5" customHeight="1">
      <c r="A24" s="950" t="s">
        <v>792</v>
      </c>
      <c r="B24" s="257" t="s">
        <v>1053</v>
      </c>
      <c r="C24" s="1354">
        <f ca="1">ROUND(IF('数据-取费表'!B22&lt;=1,C19*F22*('数据-取费表'!B19/2+'数据-取费表'!B21),C19*(POWER((1+F22),('数据-取费表'!B19/2+'数据-取费表'!B21))-1)),0)</f>
        <v>25</v>
      </c>
      <c r="D24" s="280"/>
      <c r="E24" s="280"/>
      <c r="F24" s="281"/>
      <c r="G24" s="282" t="s">
        <v>109</v>
      </c>
    </row>
    <row r="25" spans="1:7" s="256" customFormat="1" ht="24">
      <c r="A25" s="950" t="s">
        <v>793</v>
      </c>
      <c r="B25" s="257" t="s">
        <v>1055</v>
      </c>
      <c r="C25" s="1354">
        <f ca="1">ROUND(IF('数据-取费表'!B22&lt;=1,C20*F22*'数据-取费表'!B23/2,C20*(POWER((1+F22),'数据-取费表'!B23/2)-1)),0)</f>
        <v>1</v>
      </c>
      <c r="D25" s="280"/>
      <c r="E25" s="283"/>
      <c r="F25" s="281"/>
      <c r="G25" s="284" t="s">
        <v>110</v>
      </c>
    </row>
    <row r="26" spans="1:7" s="256" customFormat="1">
      <c r="A26" s="950" t="s">
        <v>795</v>
      </c>
      <c r="B26" s="257" t="s">
        <v>1057</v>
      </c>
      <c r="C26" s="280">
        <f ca="1">ROUND(IF('数据-取费表'!B22&lt;=1,F21*F22*'数据-取费表'!B23/2,F21*(POWER((1+F22),'数据-取费表'!B23/2)-1)),4)</f>
        <v>0</v>
      </c>
      <c r="D26" s="280"/>
      <c r="E26" s="283"/>
      <c r="F26" s="281"/>
      <c r="G26" s="285"/>
    </row>
    <row r="27" spans="1:7" s="256" customFormat="1" ht="24.75">
      <c r="A27" s="947" t="s">
        <v>787</v>
      </c>
      <c r="B27" s="286" t="s">
        <v>112</v>
      </c>
      <c r="C27" s="287">
        <f>C28</f>
        <v>119</v>
      </c>
      <c r="D27" s="277">
        <f>C29</f>
        <v>1E-4</v>
      </c>
      <c r="E27" s="278" t="s">
        <v>126</v>
      </c>
      <c r="F27" s="288">
        <f>'数据-取费表'!Q16</f>
        <v>0.09</v>
      </c>
      <c r="G27" s="289" t="s">
        <v>1066</v>
      </c>
    </row>
    <row r="28" spans="1:7" s="256" customFormat="1" ht="13.5" customHeight="1">
      <c r="A28" s="950" t="s">
        <v>794</v>
      </c>
      <c r="B28" s="290" t="s">
        <v>1059</v>
      </c>
      <c r="C28" s="291">
        <f>ROUND((C5+C19+C20)*F27*'数据-取费表'!B21/'数据-取费表'!B20,0)</f>
        <v>119</v>
      </c>
      <c r="D28" s="277"/>
      <c r="E28" s="278"/>
      <c r="F28" s="288"/>
      <c r="G28" s="289"/>
    </row>
    <row r="29" spans="1:7" s="256" customFormat="1" ht="13.5" customHeight="1">
      <c r="A29" s="950" t="s">
        <v>792</v>
      </c>
      <c r="B29" s="290" t="s">
        <v>1060</v>
      </c>
      <c r="C29" s="280">
        <f>ROUND(C21*F27*'数据-取费表'!B21/'数据-取费表'!B20,4)</f>
        <v>1E-4</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28862</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1995</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1703</v>
      </c>
      <c r="D34" s="259"/>
      <c r="E34" s="262"/>
      <c r="F34" s="299">
        <f>IF('数据-取费表'!B24=0,1,'数据-取费表'!N16)</f>
        <v>0.03</v>
      </c>
      <c r="G34" s="261" t="s">
        <v>116</v>
      </c>
    </row>
    <row r="35" spans="1:7" ht="13.5" customHeight="1">
      <c r="A35" s="950" t="s">
        <v>796</v>
      </c>
      <c r="B35" s="257" t="s">
        <v>60</v>
      </c>
      <c r="C35" s="262">
        <f>ROUND(C34*F35,0)</f>
        <v>51</v>
      </c>
      <c r="D35" s="262"/>
      <c r="E35" s="262"/>
      <c r="F35" s="301">
        <f>'数据-取费表'!B33</f>
        <v>0.03</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53</v>
      </c>
      <c r="D36" s="262"/>
      <c r="E36" s="262"/>
      <c r="F36" s="301">
        <f>'数据-取费表'!B34</f>
        <v>0.05</v>
      </c>
      <c r="G36" s="302" t="s">
        <v>62</v>
      </c>
    </row>
    <row r="37" spans="1:7" s="300" customFormat="1" ht="13.5" customHeight="1">
      <c r="A37" s="950" t="s">
        <v>798</v>
      </c>
      <c r="B37" s="257" t="s">
        <v>118</v>
      </c>
      <c r="C37" s="291">
        <f>ROUND(E37*D37*F34/10000,0)</f>
        <v>162</v>
      </c>
      <c r="D37" s="259">
        <f>'数据-汇总表'!E3</f>
        <v>269955.14</v>
      </c>
      <c r="E37" s="291">
        <f>'数据-取费表'!B35</f>
        <v>200</v>
      </c>
      <c r="F37" s="301"/>
      <c r="G37" s="303" t="s">
        <v>119</v>
      </c>
    </row>
    <row r="38" spans="1:7" ht="13.5" customHeight="1">
      <c r="A38" s="950" t="s">
        <v>799</v>
      </c>
      <c r="B38" s="257" t="s">
        <v>63</v>
      </c>
      <c r="C38" s="262">
        <f>ROUND(C34*F38,0)</f>
        <v>26</v>
      </c>
      <c r="D38" s="262"/>
      <c r="E38" s="262"/>
      <c r="F38" s="301">
        <f>'数据-取费表'!B36</f>
        <v>1.4999999999999999E-2</v>
      </c>
      <c r="G38" s="261" t="s">
        <v>117</v>
      </c>
    </row>
    <row r="39" spans="1:7" s="256" customFormat="1" ht="13.5" customHeight="1">
      <c r="A39" s="947" t="s">
        <v>783</v>
      </c>
      <c r="B39" s="252" t="s">
        <v>104</v>
      </c>
      <c r="C39" s="274">
        <f>ROUND(C33*F20,0)</f>
        <v>40</v>
      </c>
      <c r="D39" s="274"/>
      <c r="E39" s="274"/>
      <c r="F39" s="275"/>
      <c r="G39" s="1288" t="s">
        <v>1068</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5</v>
      </c>
      <c r="D41" s="277">
        <f ca="1">C44</f>
        <v>0</v>
      </c>
      <c r="E41" s="278" t="s">
        <v>129</v>
      </c>
      <c r="F41" s="279"/>
      <c r="G41" s="1288" t="str">
        <f>IF('数据-取费表'!B22&lt;=1,"单利计息","复利计息")</f>
        <v>复利计息</v>
      </c>
    </row>
    <row r="42" spans="1:7" ht="13.5" customHeight="1">
      <c r="A42" s="950" t="s">
        <v>794</v>
      </c>
      <c r="B42" s="257" t="s">
        <v>1058</v>
      </c>
      <c r="C42" s="280">
        <f ca="1">ROUND(IF('数据-取费表'!B22&lt;=1,C33*F22*'数据-取费表'!B21/2,C33*(POWER((1+F22),'数据-取费表'!B21/2)-1)),0)</f>
        <v>5</v>
      </c>
      <c r="D42" s="280"/>
      <c r="E42" s="280"/>
      <c r="F42" s="281"/>
      <c r="G42" s="3258" t="s">
        <v>121</v>
      </c>
    </row>
    <row r="43" spans="1:7" ht="13.5" customHeight="1">
      <c r="A43" s="950" t="s">
        <v>792</v>
      </c>
      <c r="B43" s="257" t="s">
        <v>1061</v>
      </c>
      <c r="C43" s="280">
        <f ca="1">ROUND(IF('数据-取费表'!B22&lt;=1,C39*F22*'数据-取费表'!B21/2,C39*(POWER((1+F22),'数据-取费表'!B21/2)-1)),0)</f>
        <v>0</v>
      </c>
      <c r="D43" s="280"/>
      <c r="E43" s="280"/>
      <c r="F43" s="281"/>
      <c r="G43" s="3259"/>
    </row>
    <row r="44" spans="1:7" ht="13.5" customHeight="1">
      <c r="A44" s="950" t="s">
        <v>793</v>
      </c>
      <c r="B44" s="257" t="s">
        <v>1063</v>
      </c>
      <c r="C44" s="280">
        <f ca="1">ROUND(IF('数据-取费表'!B22&lt;=1,C40*F22*'数据-取费表'!B21/2,C40*(POWER((1+F22),'数据-取费表'!B21/2)-1)),4)</f>
        <v>0</v>
      </c>
      <c r="D44" s="280"/>
      <c r="E44" s="280"/>
      <c r="F44" s="281"/>
      <c r="G44" s="3260"/>
    </row>
    <row r="45" spans="1:7" s="256" customFormat="1" ht="13.5" customHeight="1">
      <c r="A45" s="947" t="s">
        <v>786</v>
      </c>
      <c r="B45" s="286" t="s">
        <v>112</v>
      </c>
      <c r="C45" s="287">
        <f>C46</f>
        <v>183</v>
      </c>
      <c r="D45" s="277">
        <f>C47</f>
        <v>1.8E-3</v>
      </c>
      <c r="E45" s="278" t="s">
        <v>129</v>
      </c>
      <c r="F45" s="288"/>
      <c r="G45" s="289" t="s">
        <v>1069</v>
      </c>
    </row>
    <row r="46" spans="1:7" s="256" customFormat="1" ht="13.5" customHeight="1">
      <c r="A46" s="950" t="s">
        <v>794</v>
      </c>
      <c r="B46" s="290" t="s">
        <v>1062</v>
      </c>
      <c r="C46" s="291">
        <f>ROUND((C33+C39)*F27,0)</f>
        <v>183</v>
      </c>
      <c r="D46" s="305"/>
      <c r="E46" s="278"/>
      <c r="F46" s="288"/>
      <c r="G46" s="289"/>
    </row>
    <row r="47" spans="1:7" s="256" customFormat="1" ht="13.5" customHeight="1">
      <c r="A47" s="950" t="s">
        <v>792</v>
      </c>
      <c r="B47" s="290" t="s">
        <v>1064</v>
      </c>
      <c r="C47" s="280">
        <f>ROUND(C40*F27,4)</f>
        <v>1.8E-3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2401</v>
      </c>
      <c r="D49" s="274"/>
      <c r="E49" s="274"/>
      <c r="F49" s="306"/>
      <c r="G49" s="276" t="s">
        <v>1070</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2401</v>
      </c>
      <c r="D51" s="274"/>
      <c r="E51" s="274"/>
      <c r="F51" s="306"/>
      <c r="G51" s="276" t="s">
        <v>64</v>
      </c>
    </row>
    <row r="52" spans="1:7" s="250" customFormat="1" ht="16.5" thickBot="1">
      <c r="A52" s="307" t="s">
        <v>65</v>
      </c>
      <c r="B52" s="308"/>
      <c r="C52" s="309">
        <f ca="1">C31+C51</f>
        <v>31263</v>
      </c>
      <c r="D52" s="308"/>
      <c r="E52" s="308"/>
      <c r="F52" s="308"/>
      <c r="G52" s="310"/>
    </row>
    <row r="55" spans="1:7" ht="15">
      <c r="B55" s="312" t="s">
        <v>66</v>
      </c>
      <c r="C55" s="313"/>
    </row>
    <row r="56" spans="1:7">
      <c r="B56" s="315" t="s">
        <v>67</v>
      </c>
      <c r="C56" s="316">
        <f ca="1">ROUND(C51/C52,3)</f>
        <v>7.6999999999999999E-2</v>
      </c>
    </row>
    <row r="57" spans="1:7">
      <c r="B57" s="315" t="s">
        <v>68</v>
      </c>
      <c r="C57" s="317">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3" t="s">
        <v>156</v>
      </c>
      <c r="B1" s="3353"/>
      <c r="C1" s="3353"/>
      <c r="D1" s="3353"/>
      <c r="E1" s="3353"/>
      <c r="F1" s="335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4" t="s">
        <v>169</v>
      </c>
      <c r="B2" s="3354"/>
      <c r="C2" s="3354"/>
      <c r="D2" s="3354"/>
      <c r="E2" s="3354"/>
      <c r="F2" s="335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3" t="s">
        <v>868</v>
      </c>
      <c r="B1" s="3353"/>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6" t="s">
        <v>875</v>
      </c>
      <c r="B5" s="837" t="s">
        <v>876</v>
      </c>
      <c r="C5" s="1061">
        <v>8.8999999999999996E-2</v>
      </c>
      <c r="D5" s="1061">
        <v>7.3999999999999996E-2</v>
      </c>
      <c r="E5" s="1061">
        <v>7.4999999999999997E-2</v>
      </c>
      <c r="F5" s="1062">
        <v>0.1</v>
      </c>
    </row>
    <row r="6" spans="1:6" ht="14.25" thickBot="1">
      <c r="A6" s="836" t="s">
        <v>212</v>
      </c>
      <c r="B6" s="830" t="s">
        <v>877</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878</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879</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880</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881</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882</v>
      </c>
      <c r="C72" s="1076"/>
      <c r="D72" s="1076"/>
      <c r="E72" s="1076"/>
      <c r="F72" s="1064">
        <v>0.05</v>
      </c>
    </row>
    <row r="73" spans="1:6" ht="14.25" thickBot="1">
      <c r="A73" s="836" t="s">
        <v>137</v>
      </c>
      <c r="B73" s="830" t="s">
        <v>883</v>
      </c>
      <c r="C73" s="1076"/>
      <c r="D73" s="1076"/>
      <c r="E73" s="1076"/>
      <c r="F73" s="1064">
        <v>0.05</v>
      </c>
    </row>
    <row r="74" spans="1:6" ht="14.25" thickBot="1">
      <c r="A74" s="836" t="s">
        <v>137</v>
      </c>
      <c r="B74" s="830" t="s">
        <v>884</v>
      </c>
      <c r="C74" s="1076"/>
      <c r="D74" s="1076"/>
      <c r="E74" s="1076"/>
      <c r="F74" s="1064">
        <v>0.05</v>
      </c>
    </row>
    <row r="75" spans="1:6" ht="14.25" thickBot="1">
      <c r="A75" s="846" t="s">
        <v>137</v>
      </c>
      <c r="B75" s="842" t="s">
        <v>885</v>
      </c>
      <c r="C75" s="1073"/>
      <c r="D75" s="1073"/>
      <c r="E75" s="1073"/>
      <c r="F75" s="1066">
        <v>0.05</v>
      </c>
    </row>
    <row r="76" spans="1:6" ht="14.25" thickBot="1">
      <c r="A76" s="836" t="s">
        <v>523</v>
      </c>
      <c r="B76" s="837" t="s">
        <v>886</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887</v>
      </c>
      <c r="C102" s="1076"/>
      <c r="D102" s="1076"/>
      <c r="E102" s="1076"/>
      <c r="F102" s="1064">
        <v>0.05</v>
      </c>
    </row>
    <row r="103" spans="1:6" ht="24.75" thickBot="1">
      <c r="A103" s="836" t="s">
        <v>523</v>
      </c>
      <c r="B103" s="830" t="s">
        <v>888</v>
      </c>
      <c r="C103" s="1076"/>
      <c r="D103" s="1076"/>
      <c r="E103" s="1076"/>
      <c r="F103" s="1064">
        <v>0.05</v>
      </c>
    </row>
    <row r="104" spans="1:6" ht="14.25" thickBot="1">
      <c r="A104" s="836" t="s">
        <v>523</v>
      </c>
      <c r="B104" s="830" t="s">
        <v>889</v>
      </c>
      <c r="C104" s="1076"/>
      <c r="D104" s="1076"/>
      <c r="E104" s="1076"/>
      <c r="F104" s="1064">
        <v>0.05</v>
      </c>
    </row>
    <row r="105" spans="1:6" ht="14.25" thickBot="1">
      <c r="A105" s="836" t="s">
        <v>523</v>
      </c>
      <c r="B105" s="830" t="s">
        <v>890</v>
      </c>
      <c r="C105" s="1076"/>
      <c r="D105" s="1076"/>
      <c r="E105" s="1076"/>
      <c r="F105" s="1064">
        <v>0.05</v>
      </c>
    </row>
    <row r="106" spans="1:6" ht="14.25" thickBot="1">
      <c r="A106" s="836" t="s">
        <v>523</v>
      </c>
      <c r="B106" s="830" t="s">
        <v>891</v>
      </c>
      <c r="C106" s="1076"/>
      <c r="D106" s="1076"/>
      <c r="E106" s="1076"/>
      <c r="F106" s="1064">
        <v>0.05</v>
      </c>
    </row>
    <row r="107" spans="1:6" ht="24.75" thickBot="1">
      <c r="A107" s="836" t="s">
        <v>523</v>
      </c>
      <c r="B107" s="830" t="s">
        <v>892</v>
      </c>
      <c r="C107" s="1076"/>
      <c r="D107" s="1076"/>
      <c r="E107" s="1076"/>
      <c r="F107" s="1064">
        <v>0.05</v>
      </c>
    </row>
    <row r="108" spans="1:6" ht="24.75" thickBot="1">
      <c r="A108" s="836" t="s">
        <v>523</v>
      </c>
      <c r="B108" s="830" t="s">
        <v>893</v>
      </c>
      <c r="C108" s="1076"/>
      <c r="D108" s="1076"/>
      <c r="E108" s="1076"/>
      <c r="F108" s="1064">
        <v>0.05</v>
      </c>
    </row>
    <row r="109" spans="1:6" ht="24.75" thickBot="1">
      <c r="A109" s="846" t="s">
        <v>523</v>
      </c>
      <c r="B109" s="842" t="s">
        <v>894</v>
      </c>
      <c r="C109" s="1073"/>
      <c r="D109" s="1073"/>
      <c r="E109" s="1073"/>
      <c r="F109" s="1066">
        <v>0.05</v>
      </c>
    </row>
    <row r="110" spans="1:6" ht="14.25" thickBot="1">
      <c r="A110" s="836" t="s">
        <v>56</v>
      </c>
      <c r="B110" s="837" t="s">
        <v>895</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896</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897</v>
      </c>
      <c r="C138" s="1063">
        <v>0.105</v>
      </c>
      <c r="D138" s="1063">
        <v>0.125</v>
      </c>
      <c r="E138" s="1063">
        <v>0.112</v>
      </c>
      <c r="F138" s="1075"/>
    </row>
    <row r="139" spans="1:6" ht="14.25" thickBot="1">
      <c r="A139" s="836" t="s">
        <v>56</v>
      </c>
      <c r="B139" s="830" t="s">
        <v>898</v>
      </c>
      <c r="C139" s="1063">
        <v>0.127</v>
      </c>
      <c r="D139" s="1063">
        <v>0.127</v>
      </c>
      <c r="E139" s="1063">
        <v>0.122</v>
      </c>
      <c r="F139" s="1064">
        <v>0.13</v>
      </c>
    </row>
    <row r="140" spans="1:6" ht="14.25" thickBot="1">
      <c r="A140" s="836" t="s">
        <v>56</v>
      </c>
      <c r="B140" s="830" t="s">
        <v>899</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900</v>
      </c>
      <c r="C144" s="1068">
        <v>0.126</v>
      </c>
      <c r="D144" s="1068">
        <v>0.126</v>
      </c>
      <c r="E144" s="1068">
        <v>0.121</v>
      </c>
      <c r="F144" s="1075"/>
    </row>
    <row r="145" spans="1:6" ht="14.25" thickBot="1">
      <c r="A145" s="846" t="s">
        <v>56</v>
      </c>
      <c r="B145" s="1069" t="s">
        <v>901</v>
      </c>
      <c r="C145" s="1077"/>
      <c r="D145" s="1077"/>
      <c r="E145" s="1077"/>
      <c r="F145" s="1070">
        <v>0.05</v>
      </c>
    </row>
    <row r="146" spans="1:6" ht="24.75" thickBot="1">
      <c r="A146" s="1071" t="s">
        <v>56</v>
      </c>
      <c r="B146" s="840" t="s">
        <v>902</v>
      </c>
      <c r="C146" s="1076"/>
      <c r="D146" s="1076"/>
      <c r="E146" s="1076"/>
      <c r="F146" s="1072">
        <v>0.05</v>
      </c>
    </row>
    <row r="147" spans="1:6" ht="24.75" thickBot="1">
      <c r="A147" s="836" t="s">
        <v>56</v>
      </c>
      <c r="B147" s="830" t="s">
        <v>903</v>
      </c>
      <c r="C147" s="1076"/>
      <c r="D147" s="1076"/>
      <c r="E147" s="1076"/>
      <c r="F147" s="1064">
        <v>0.05</v>
      </c>
    </row>
    <row r="148" spans="1:6" ht="24.75" thickBot="1">
      <c r="A148" s="836" t="s">
        <v>56</v>
      </c>
      <c r="B148" s="830" t="s">
        <v>904</v>
      </c>
      <c r="C148" s="1076"/>
      <c r="D148" s="1076"/>
      <c r="E148" s="1076"/>
      <c r="F148" s="1064">
        <v>0.05</v>
      </c>
    </row>
    <row r="149" spans="1:6" ht="24.75" thickBot="1">
      <c r="A149" s="836" t="s">
        <v>56</v>
      </c>
      <c r="B149" s="830" t="s">
        <v>905</v>
      </c>
      <c r="C149" s="1076"/>
      <c r="D149" s="1076"/>
      <c r="E149" s="1076"/>
      <c r="F149" s="1064">
        <v>0.05</v>
      </c>
    </row>
    <row r="150" spans="1:6" ht="24.75" thickBot="1">
      <c r="A150" s="836" t="s">
        <v>56</v>
      </c>
      <c r="B150" s="830" t="s">
        <v>906</v>
      </c>
      <c r="C150" s="1076"/>
      <c r="D150" s="1076"/>
      <c r="E150" s="1076"/>
      <c r="F150" s="1064">
        <v>0.05</v>
      </c>
    </row>
    <row r="151" spans="1:6" ht="24.75" thickBot="1">
      <c r="A151" s="836" t="s">
        <v>56</v>
      </c>
      <c r="B151" s="830" t="s">
        <v>907</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908</v>
      </c>
      <c r="C153" s="1076"/>
      <c r="D153" s="1076"/>
      <c r="E153" s="1076"/>
      <c r="F153" s="1064">
        <v>0.05</v>
      </c>
    </row>
    <row r="154" spans="1:6" ht="14.25" thickBot="1">
      <c r="A154" s="836" t="s">
        <v>56</v>
      </c>
      <c r="B154" s="830" t="s">
        <v>909</v>
      </c>
      <c r="C154" s="1076"/>
      <c r="D154" s="1076"/>
      <c r="E154" s="1076"/>
      <c r="F154" s="1064">
        <v>0.05</v>
      </c>
    </row>
    <row r="155" spans="1:6" ht="24.75" thickBot="1">
      <c r="A155" s="836" t="s">
        <v>56</v>
      </c>
      <c r="B155" s="830" t="s">
        <v>910</v>
      </c>
      <c r="C155" s="1076"/>
      <c r="D155" s="1076"/>
      <c r="E155" s="1076"/>
      <c r="F155" s="1064">
        <v>0.05</v>
      </c>
    </row>
    <row r="156" spans="1:6" ht="24.75" thickBot="1">
      <c r="A156" s="836" t="s">
        <v>56</v>
      </c>
      <c r="B156" s="830" t="s">
        <v>911</v>
      </c>
      <c r="C156" s="1076"/>
      <c r="D156" s="1076"/>
      <c r="E156" s="1076"/>
      <c r="F156" s="1064">
        <v>0.05</v>
      </c>
    </row>
    <row r="157" spans="1:6" ht="14.25" thickBot="1">
      <c r="A157" s="846" t="s">
        <v>56</v>
      </c>
      <c r="B157" s="842" t="s">
        <v>912</v>
      </c>
      <c r="C157" s="1073"/>
      <c r="D157" s="1073"/>
      <c r="E157" s="1073"/>
      <c r="F157" s="1066">
        <v>0.05</v>
      </c>
    </row>
    <row r="158" spans="1:6" ht="14.25" thickBot="1">
      <c r="A158" s="836" t="s">
        <v>526</v>
      </c>
      <c r="B158" s="837" t="s">
        <v>913</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914</v>
      </c>
      <c r="C171" s="1063">
        <v>0.127</v>
      </c>
      <c r="D171" s="1063">
        <v>0.126</v>
      </c>
      <c r="E171" s="1063">
        <v>0.126</v>
      </c>
      <c r="F171" s="1064">
        <v>0.11799999999999999</v>
      </c>
    </row>
    <row r="172" spans="1:6" ht="14.25" thickBot="1">
      <c r="A172" s="836" t="s">
        <v>526</v>
      </c>
      <c r="B172" s="830" t="s">
        <v>915</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916</v>
      </c>
      <c r="C174" s="1063">
        <v>0.13</v>
      </c>
      <c r="D174" s="1063">
        <v>0.13</v>
      </c>
      <c r="E174" s="1063">
        <v>0.13</v>
      </c>
      <c r="F174" s="1064">
        <v>0.13</v>
      </c>
    </row>
    <row r="175" spans="1:6" ht="14.25" thickBot="1">
      <c r="A175" s="836" t="s">
        <v>526</v>
      </c>
      <c r="B175" s="830" t="s">
        <v>917</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918</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919</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920</v>
      </c>
      <c r="C185" s="1063">
        <v>0.127</v>
      </c>
      <c r="D185" s="1063">
        <v>0.127</v>
      </c>
      <c r="E185" s="1063">
        <v>0.128</v>
      </c>
      <c r="F185" s="1064">
        <v>0.13</v>
      </c>
    </row>
    <row r="186" spans="1:6" ht="24.75" thickBot="1">
      <c r="A186" s="836" t="s">
        <v>526</v>
      </c>
      <c r="B186" s="830" t="s">
        <v>921</v>
      </c>
      <c r="C186" s="1076"/>
      <c r="D186" s="1076"/>
      <c r="E186" s="1076"/>
      <c r="F186" s="1064">
        <v>0.05</v>
      </c>
    </row>
    <row r="187" spans="1:6" ht="14.25" thickBot="1">
      <c r="A187" s="836" t="s">
        <v>526</v>
      </c>
      <c r="B187" s="830" t="s">
        <v>922</v>
      </c>
      <c r="C187" s="1076"/>
      <c r="D187" s="1076"/>
      <c r="E187" s="1076"/>
      <c r="F187" s="1064">
        <v>0.05</v>
      </c>
    </row>
    <row r="188" spans="1:6" ht="14.25" thickBot="1">
      <c r="A188" s="836" t="s">
        <v>526</v>
      </c>
      <c r="B188" s="830" t="s">
        <v>923</v>
      </c>
      <c r="C188" s="1076"/>
      <c r="D188" s="1076"/>
      <c r="E188" s="1076"/>
      <c r="F188" s="1064">
        <v>0.05</v>
      </c>
    </row>
    <row r="189" spans="1:6" ht="24.75" thickBot="1">
      <c r="A189" s="836" t="s">
        <v>526</v>
      </c>
      <c r="B189" s="830" t="s">
        <v>924</v>
      </c>
      <c r="C189" s="1076"/>
      <c r="D189" s="1076"/>
      <c r="E189" s="1076"/>
      <c r="F189" s="1064">
        <v>0.05</v>
      </c>
    </row>
    <row r="190" spans="1:6" ht="24.75" thickBot="1">
      <c r="A190" s="836" t="s">
        <v>526</v>
      </c>
      <c r="B190" s="830" t="s">
        <v>925</v>
      </c>
      <c r="C190" s="1076"/>
      <c r="D190" s="1076"/>
      <c r="E190" s="1076"/>
      <c r="F190" s="1064">
        <v>0.05</v>
      </c>
    </row>
    <row r="191" spans="1:6" ht="24.75" thickBot="1">
      <c r="A191" s="836" t="s">
        <v>526</v>
      </c>
      <c r="B191" s="830" t="s">
        <v>926</v>
      </c>
      <c r="C191" s="1076"/>
      <c r="D191" s="1076"/>
      <c r="E191" s="1076"/>
      <c r="F191" s="1064">
        <v>0.05</v>
      </c>
    </row>
    <row r="192" spans="1:6" ht="24.75" thickBot="1">
      <c r="A192" s="836" t="s">
        <v>526</v>
      </c>
      <c r="B192" s="830" t="s">
        <v>927</v>
      </c>
      <c r="C192" s="1076"/>
      <c r="D192" s="1076"/>
      <c r="E192" s="1076"/>
      <c r="F192" s="1064">
        <v>0.05</v>
      </c>
    </row>
    <row r="193" spans="1:6" ht="24.75" thickBot="1">
      <c r="A193" s="836" t="s">
        <v>526</v>
      </c>
      <c r="B193" s="830" t="s">
        <v>928</v>
      </c>
      <c r="C193" s="1076"/>
      <c r="D193" s="1076"/>
      <c r="E193" s="1076"/>
      <c r="F193" s="1064">
        <v>0.05</v>
      </c>
    </row>
    <row r="194" spans="1:6" ht="24.75" thickBot="1">
      <c r="A194" s="836" t="s">
        <v>526</v>
      </c>
      <c r="B194" s="830" t="s">
        <v>929</v>
      </c>
      <c r="C194" s="1076"/>
      <c r="D194" s="1076"/>
      <c r="E194" s="1076"/>
      <c r="F194" s="1064">
        <v>0.05</v>
      </c>
    </row>
    <row r="195" spans="1:6" ht="14.25" thickBot="1">
      <c r="A195" s="836" t="s">
        <v>526</v>
      </c>
      <c r="B195" s="830" t="s">
        <v>930</v>
      </c>
      <c r="C195" s="1076"/>
      <c r="D195" s="1076"/>
      <c r="E195" s="1076"/>
      <c r="F195" s="1064">
        <v>0.05</v>
      </c>
    </row>
    <row r="196" spans="1:6" ht="24.75" thickBot="1">
      <c r="A196" s="836" t="s">
        <v>526</v>
      </c>
      <c r="B196" s="830" t="s">
        <v>931</v>
      </c>
      <c r="C196" s="1076"/>
      <c r="D196" s="1076"/>
      <c r="E196" s="1076"/>
      <c r="F196" s="1064">
        <v>0.05</v>
      </c>
    </row>
    <row r="197" spans="1:6" ht="24.75" thickBot="1">
      <c r="A197" s="836" t="s">
        <v>526</v>
      </c>
      <c r="B197" s="830" t="s">
        <v>932</v>
      </c>
      <c r="C197" s="1076"/>
      <c r="D197" s="1076"/>
      <c r="E197" s="1076"/>
      <c r="F197" s="1064">
        <v>0.05</v>
      </c>
    </row>
    <row r="198" spans="1:6" ht="24.75" thickBot="1">
      <c r="A198" s="836" t="s">
        <v>526</v>
      </c>
      <c r="B198" s="830" t="s">
        <v>933</v>
      </c>
      <c r="C198" s="1076"/>
      <c r="D198" s="1076"/>
      <c r="E198" s="1076"/>
      <c r="F198" s="1064">
        <v>0.05</v>
      </c>
    </row>
    <row r="199" spans="1:6" ht="24.75" thickBot="1">
      <c r="A199" s="836" t="s">
        <v>526</v>
      </c>
      <c r="B199" s="830" t="s">
        <v>934</v>
      </c>
      <c r="C199" s="1076"/>
      <c r="D199" s="1076"/>
      <c r="E199" s="1076"/>
      <c r="F199" s="1064">
        <v>0.05</v>
      </c>
    </row>
    <row r="200" spans="1:6" ht="24.75" thickBot="1">
      <c r="A200" s="836" t="s">
        <v>526</v>
      </c>
      <c r="B200" s="830" t="s">
        <v>935</v>
      </c>
      <c r="C200" s="1076"/>
      <c r="D200" s="1076"/>
      <c r="E200" s="1076"/>
      <c r="F200" s="1064">
        <v>0.05</v>
      </c>
    </row>
    <row r="201" spans="1:6" ht="24.75" thickBot="1">
      <c r="A201" s="836" t="s">
        <v>526</v>
      </c>
      <c r="B201" s="830" t="s">
        <v>936</v>
      </c>
      <c r="C201" s="1076"/>
      <c r="D201" s="1076"/>
      <c r="E201" s="1076"/>
      <c r="F201" s="1064">
        <v>0.05</v>
      </c>
    </row>
    <row r="202" spans="1:6" ht="24.75" thickBot="1">
      <c r="A202" s="836" t="s">
        <v>526</v>
      </c>
      <c r="B202" s="830" t="s">
        <v>937</v>
      </c>
      <c r="C202" s="1076"/>
      <c r="D202" s="1076"/>
      <c r="E202" s="1076"/>
      <c r="F202" s="1064">
        <v>0.05</v>
      </c>
    </row>
    <row r="203" spans="1:6" ht="24.75" thickBot="1">
      <c r="A203" s="836" t="s">
        <v>526</v>
      </c>
      <c r="B203" s="830" t="s">
        <v>938</v>
      </c>
      <c r="C203" s="1076"/>
      <c r="D203" s="1076"/>
      <c r="E203" s="1076"/>
      <c r="F203" s="1064">
        <v>0.05</v>
      </c>
    </row>
    <row r="204" spans="1:6" ht="14.25" thickBot="1">
      <c r="A204" s="836" t="s">
        <v>526</v>
      </c>
      <c r="B204" s="830" t="s">
        <v>939</v>
      </c>
      <c r="C204" s="1076"/>
      <c r="D204" s="1076"/>
      <c r="E204" s="1076"/>
      <c r="F204" s="1064">
        <v>0.05</v>
      </c>
    </row>
    <row r="205" spans="1:6" ht="14.25" thickBot="1">
      <c r="A205" s="846" t="s">
        <v>526</v>
      </c>
      <c r="B205" s="842" t="s">
        <v>940</v>
      </c>
      <c r="C205" s="1073"/>
      <c r="D205" s="1073"/>
      <c r="E205" s="1073"/>
      <c r="F205" s="1066">
        <v>0.05</v>
      </c>
    </row>
    <row r="206" spans="1:6" ht="14.25" thickBot="1">
      <c r="A206" s="836" t="s">
        <v>528</v>
      </c>
      <c r="B206" s="837" t="s">
        <v>941</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942</v>
      </c>
      <c r="C210" s="1063">
        <v>0.15</v>
      </c>
      <c r="D210" s="1063">
        <v>0.15</v>
      </c>
      <c r="E210" s="1063">
        <v>0.15</v>
      </c>
      <c r="F210" s="1064">
        <v>0.13800000000000001</v>
      </c>
    </row>
    <row r="211" spans="1:6" ht="14.25" thickBot="1">
      <c r="A211" s="836" t="s">
        <v>528</v>
      </c>
      <c r="B211" s="830" t="s">
        <v>943</v>
      </c>
      <c r="C211" s="1063">
        <v>0.13700000000000001</v>
      </c>
      <c r="D211" s="1063">
        <v>0.13500000000000001</v>
      </c>
      <c r="E211" s="1063">
        <v>0.13600000000000001</v>
      </c>
      <c r="F211" s="1064">
        <v>0.1</v>
      </c>
    </row>
    <row r="212" spans="1:6" ht="14.25" thickBot="1">
      <c r="A212" s="836" t="s">
        <v>528</v>
      </c>
      <c r="B212" s="830" t="s">
        <v>944</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945</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946</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947</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948</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949</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950</v>
      </c>
      <c r="C231" s="1063">
        <v>0.128</v>
      </c>
      <c r="D231" s="1063">
        <v>0.125</v>
      </c>
      <c r="E231" s="1063">
        <v>0.13200000000000001</v>
      </c>
      <c r="F231" s="1075"/>
    </row>
    <row r="232" spans="1:6" ht="14.25" thickBot="1">
      <c r="A232" s="836" t="s">
        <v>528</v>
      </c>
      <c r="B232" s="830" t="s">
        <v>951</v>
      </c>
      <c r="C232" s="1063">
        <v>0.14499999999999999</v>
      </c>
      <c r="D232" s="1063">
        <v>0.14399999999999999</v>
      </c>
      <c r="E232" s="1063">
        <v>0.14599999999999999</v>
      </c>
      <c r="F232" s="1064">
        <v>0.13800000000000001</v>
      </c>
    </row>
    <row r="233" spans="1:6" ht="14.25" thickBot="1">
      <c r="A233" s="836" t="s">
        <v>528</v>
      </c>
      <c r="B233" s="830" t="s">
        <v>952</v>
      </c>
      <c r="C233" s="1063">
        <v>0.14499999999999999</v>
      </c>
      <c r="D233" s="1063">
        <v>0.14299999999999999</v>
      </c>
      <c r="E233" s="1063">
        <v>0.14199999999999999</v>
      </c>
      <c r="F233" s="1075"/>
    </row>
    <row r="234" spans="1:6" ht="14.25" thickBot="1">
      <c r="A234" s="836" t="s">
        <v>528</v>
      </c>
      <c r="B234" s="830" t="s">
        <v>953</v>
      </c>
      <c r="C234" s="1063">
        <v>0.14000000000000001</v>
      </c>
      <c r="D234" s="1063">
        <v>0.14000000000000001</v>
      </c>
      <c r="E234" s="1063">
        <v>0.14399999999999999</v>
      </c>
      <c r="F234" s="1075"/>
    </row>
    <row r="235" spans="1:6" ht="14.25" thickBot="1">
      <c r="A235" s="836" t="s">
        <v>528</v>
      </c>
      <c r="B235" s="830" t="s">
        <v>954</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955</v>
      </c>
      <c r="C237" s="1076"/>
      <c r="D237" s="1076"/>
      <c r="E237" s="1076"/>
      <c r="F237" s="1064">
        <v>0.05</v>
      </c>
    </row>
    <row r="238" spans="1:6" ht="24.75" thickBot="1">
      <c r="A238" s="836" t="s">
        <v>528</v>
      </c>
      <c r="B238" s="830" t="s">
        <v>956</v>
      </c>
      <c r="C238" s="1076"/>
      <c r="D238" s="1076"/>
      <c r="E238" s="1076"/>
      <c r="F238" s="1064">
        <v>0.05</v>
      </c>
    </row>
    <row r="239" spans="1:6" ht="24.75" thickBot="1">
      <c r="A239" s="836" t="s">
        <v>528</v>
      </c>
      <c r="B239" s="830" t="s">
        <v>957</v>
      </c>
      <c r="C239" s="1076"/>
      <c r="D239" s="1076"/>
      <c r="E239" s="1076"/>
      <c r="F239" s="1064">
        <v>0.05</v>
      </c>
    </row>
    <row r="240" spans="1:6" ht="24.75" thickBot="1">
      <c r="A240" s="836" t="s">
        <v>528</v>
      </c>
      <c r="B240" s="830" t="s">
        <v>958</v>
      </c>
      <c r="C240" s="1076"/>
      <c r="D240" s="1076"/>
      <c r="E240" s="1076"/>
      <c r="F240" s="1064">
        <v>0.05</v>
      </c>
    </row>
    <row r="241" spans="1:6" ht="24.75" thickBot="1">
      <c r="A241" s="836" t="s">
        <v>528</v>
      </c>
      <c r="B241" s="830" t="s">
        <v>959</v>
      </c>
      <c r="C241" s="1076"/>
      <c r="D241" s="1076"/>
      <c r="E241" s="1076"/>
      <c r="F241" s="1064">
        <v>0.05</v>
      </c>
    </row>
    <row r="242" spans="1:6" ht="24.75" thickBot="1">
      <c r="A242" s="836" t="s">
        <v>528</v>
      </c>
      <c r="B242" s="830" t="s">
        <v>960</v>
      </c>
      <c r="C242" s="1076"/>
      <c r="D242" s="1076"/>
      <c r="E242" s="1076"/>
      <c r="F242" s="1064">
        <v>0.05</v>
      </c>
    </row>
    <row r="243" spans="1:6" ht="24.75" thickBot="1">
      <c r="A243" s="836" t="s">
        <v>528</v>
      </c>
      <c r="B243" s="830" t="s">
        <v>961</v>
      </c>
      <c r="C243" s="1076"/>
      <c r="D243" s="1076"/>
      <c r="E243" s="1076"/>
      <c r="F243" s="1064">
        <v>0.05</v>
      </c>
    </row>
    <row r="244" spans="1:6" ht="24.75" thickBot="1">
      <c r="A244" s="846" t="s">
        <v>528</v>
      </c>
      <c r="B244" s="842" t="s">
        <v>962</v>
      </c>
      <c r="C244" s="1073"/>
      <c r="D244" s="1073"/>
      <c r="E244" s="1073"/>
      <c r="F244" s="1066">
        <v>0.05</v>
      </c>
    </row>
    <row r="245" spans="1:6" ht="14.25" thickBot="1">
      <c r="A245" s="836" t="s">
        <v>530</v>
      </c>
      <c r="B245" s="837" t="s">
        <v>963</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964</v>
      </c>
      <c r="C247" s="1063">
        <v>0.15</v>
      </c>
      <c r="D247" s="1063">
        <v>0.15</v>
      </c>
      <c r="E247" s="1063">
        <v>0.15</v>
      </c>
      <c r="F247" s="1064">
        <v>0.15</v>
      </c>
    </row>
    <row r="248" spans="1:6" ht="14.25" thickBot="1">
      <c r="A248" s="836" t="s">
        <v>530</v>
      </c>
      <c r="B248" s="830" t="s">
        <v>965</v>
      </c>
      <c r="C248" s="1063">
        <v>0.15</v>
      </c>
      <c r="D248" s="1063">
        <v>0.15</v>
      </c>
      <c r="E248" s="1063">
        <v>0.15</v>
      </c>
      <c r="F248" s="1064">
        <v>0.14000000000000001</v>
      </c>
    </row>
    <row r="249" spans="1:6" ht="14.25" thickBot="1">
      <c r="A249" s="836" t="s">
        <v>530</v>
      </c>
      <c r="B249" s="830" t="s">
        <v>966</v>
      </c>
      <c r="C249" s="1063">
        <v>0.15</v>
      </c>
      <c r="D249" s="1063">
        <v>0.14899999999999999</v>
      </c>
      <c r="E249" s="1063">
        <v>0.15</v>
      </c>
      <c r="F249" s="1064">
        <v>0.1</v>
      </c>
    </row>
    <row r="250" spans="1:6" ht="14.25" thickBot="1">
      <c r="A250" s="836" t="s">
        <v>530</v>
      </c>
      <c r="B250" s="830" t="s">
        <v>967</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968</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969</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970</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971</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972</v>
      </c>
      <c r="C273" s="1063">
        <v>0.14199999999999999</v>
      </c>
      <c r="D273" s="1063">
        <v>0.14299999999999999</v>
      </c>
      <c r="E273" s="1063">
        <v>0.15</v>
      </c>
      <c r="F273" s="1064">
        <v>0.1</v>
      </c>
    </row>
    <row r="274" spans="1:6" ht="14.25" thickBot="1">
      <c r="A274" s="836" t="s">
        <v>530</v>
      </c>
      <c r="B274" s="830" t="s">
        <v>973</v>
      </c>
      <c r="C274" s="1063">
        <v>0.14799999999999999</v>
      </c>
      <c r="D274" s="1063">
        <v>0.14799999999999999</v>
      </c>
      <c r="E274" s="1063">
        <v>0.15</v>
      </c>
      <c r="F274" s="1064">
        <v>6.7000000000000004E-2</v>
      </c>
    </row>
    <row r="275" spans="1:6" ht="14.25" thickBot="1">
      <c r="A275" s="836" t="s">
        <v>530</v>
      </c>
      <c r="B275" s="830" t="s">
        <v>974</v>
      </c>
      <c r="C275" s="1063">
        <v>0.15</v>
      </c>
      <c r="D275" s="1063">
        <v>0.15</v>
      </c>
      <c r="E275" s="1063">
        <v>0.15</v>
      </c>
      <c r="F275" s="1064">
        <v>0.15</v>
      </c>
    </row>
    <row r="276" spans="1:6" ht="14.25" thickBot="1">
      <c r="A276" s="836" t="s">
        <v>530</v>
      </c>
      <c r="B276" s="830" t="s">
        <v>975</v>
      </c>
      <c r="C276" s="1063">
        <v>0.14499999999999999</v>
      </c>
      <c r="D276" s="1063">
        <v>0.14299999999999999</v>
      </c>
      <c r="E276" s="1063">
        <v>0.15</v>
      </c>
      <c r="F276" s="1064">
        <v>5.8999999999999997E-2</v>
      </c>
    </row>
    <row r="277" spans="1:6" ht="14.25" thickBot="1">
      <c r="A277" s="836" t="s">
        <v>530</v>
      </c>
      <c r="B277" s="830" t="s">
        <v>976</v>
      </c>
      <c r="C277" s="1063">
        <v>0.15</v>
      </c>
      <c r="D277" s="1063">
        <v>0.15</v>
      </c>
      <c r="E277" s="1063">
        <v>0.15</v>
      </c>
      <c r="F277" s="1064">
        <v>0.121</v>
      </c>
    </row>
    <row r="278" spans="1:6" ht="14.25" thickBot="1">
      <c r="A278" s="836" t="s">
        <v>530</v>
      </c>
      <c r="B278" s="830" t="s">
        <v>977</v>
      </c>
      <c r="C278" s="1063">
        <v>0.15</v>
      </c>
      <c r="D278" s="1063">
        <v>0.15</v>
      </c>
      <c r="E278" s="1063">
        <v>0.15</v>
      </c>
      <c r="F278" s="1064">
        <v>0.13800000000000001</v>
      </c>
    </row>
    <row r="279" spans="1:6" ht="24.75" thickBot="1">
      <c r="A279" s="836" t="s">
        <v>530</v>
      </c>
      <c r="B279" s="830" t="s">
        <v>978</v>
      </c>
      <c r="C279" s="1076"/>
      <c r="D279" s="1076"/>
      <c r="E279" s="1076"/>
      <c r="F279" s="1064">
        <v>0.05</v>
      </c>
    </row>
    <row r="280" spans="1:6" ht="24.75" thickBot="1">
      <c r="A280" s="836" t="s">
        <v>530</v>
      </c>
      <c r="B280" s="830" t="s">
        <v>979</v>
      </c>
      <c r="C280" s="1076"/>
      <c r="D280" s="1076"/>
      <c r="E280" s="1076"/>
      <c r="F280" s="1064">
        <v>0.05</v>
      </c>
    </row>
    <row r="281" spans="1:6" ht="24.75" thickBot="1">
      <c r="A281" s="836" t="s">
        <v>530</v>
      </c>
      <c r="B281" s="830" t="s">
        <v>980</v>
      </c>
      <c r="C281" s="1076"/>
      <c r="D281" s="1076"/>
      <c r="E281" s="1076"/>
      <c r="F281" s="1064">
        <v>0.05</v>
      </c>
    </row>
    <row r="282" spans="1:6" ht="24.75" thickBot="1">
      <c r="A282" s="836" t="s">
        <v>530</v>
      </c>
      <c r="B282" s="830" t="s">
        <v>981</v>
      </c>
      <c r="C282" s="1076"/>
      <c r="D282" s="1076"/>
      <c r="E282" s="1076"/>
      <c r="F282" s="1064">
        <v>0.05</v>
      </c>
    </row>
    <row r="283" spans="1:6" ht="24.75" thickBot="1">
      <c r="A283" s="836" t="s">
        <v>530</v>
      </c>
      <c r="B283" s="830" t="s">
        <v>982</v>
      </c>
      <c r="C283" s="1076"/>
      <c r="D283" s="1076"/>
      <c r="E283" s="1076"/>
      <c r="F283" s="1064">
        <v>0.05</v>
      </c>
    </row>
    <row r="284" spans="1:6" ht="24.75" thickBot="1">
      <c r="A284" s="836" t="s">
        <v>530</v>
      </c>
      <c r="B284" s="830" t="s">
        <v>983</v>
      </c>
      <c r="C284" s="1076"/>
      <c r="D284" s="1076"/>
      <c r="E284" s="1076"/>
      <c r="F284" s="1064">
        <v>0.05</v>
      </c>
    </row>
    <row r="285" spans="1:6" ht="24.75" thickBot="1">
      <c r="A285" s="836" t="s">
        <v>530</v>
      </c>
      <c r="B285" s="830" t="s">
        <v>984</v>
      </c>
      <c r="C285" s="1076"/>
      <c r="D285" s="1076"/>
      <c r="E285" s="1076"/>
      <c r="F285" s="1064">
        <v>0.05</v>
      </c>
    </row>
    <row r="286" spans="1:6" ht="24.75" thickBot="1">
      <c r="A286" s="836" t="s">
        <v>530</v>
      </c>
      <c r="B286" s="830" t="s">
        <v>985</v>
      </c>
      <c r="C286" s="1076"/>
      <c r="D286" s="1076"/>
      <c r="E286" s="1076"/>
      <c r="F286" s="1064">
        <v>0.05</v>
      </c>
    </row>
    <row r="287" spans="1:6" ht="24.75" thickBot="1">
      <c r="A287" s="836" t="s">
        <v>530</v>
      </c>
      <c r="B287" s="830" t="s">
        <v>986</v>
      </c>
      <c r="C287" s="1076"/>
      <c r="D287" s="1076"/>
      <c r="E287" s="1076"/>
      <c r="F287" s="1064">
        <v>0.05</v>
      </c>
    </row>
    <row r="288" spans="1:6" ht="24.75" thickBot="1">
      <c r="A288" s="836" t="s">
        <v>530</v>
      </c>
      <c r="B288" s="830" t="s">
        <v>987</v>
      </c>
      <c r="C288" s="1076"/>
      <c r="D288" s="1076"/>
      <c r="E288" s="1076"/>
      <c r="F288" s="1064">
        <v>0.05</v>
      </c>
    </row>
    <row r="289" spans="1:6" ht="24.75" thickBot="1">
      <c r="A289" s="846" t="s">
        <v>530</v>
      </c>
      <c r="B289" s="842" t="s">
        <v>988</v>
      </c>
      <c r="C289" s="1073"/>
      <c r="D289" s="1073"/>
      <c r="E289" s="1073"/>
      <c r="F289" s="1066">
        <v>0.05</v>
      </c>
    </row>
    <row r="290" spans="1:6" ht="14.25" thickBot="1">
      <c r="A290" s="836" t="s">
        <v>534</v>
      </c>
      <c r="B290" s="837" t="s">
        <v>989</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990</v>
      </c>
      <c r="C292" s="1063">
        <v>0.15</v>
      </c>
      <c r="D292" s="1063">
        <v>0.15</v>
      </c>
      <c r="E292" s="1063">
        <v>0.15</v>
      </c>
      <c r="F292" s="1064">
        <v>0.14699999999999999</v>
      </c>
    </row>
    <row r="293" spans="1:6" ht="14.25" thickBot="1">
      <c r="A293" s="836" t="s">
        <v>534</v>
      </c>
      <c r="B293" s="830" t="s">
        <v>991</v>
      </c>
      <c r="C293" s="1076"/>
      <c r="D293" s="1076"/>
      <c r="E293" s="1076"/>
      <c r="F293" s="1064">
        <v>0.1</v>
      </c>
    </row>
    <row r="294" spans="1:6" ht="14.25" thickBot="1">
      <c r="A294" s="836" t="s">
        <v>534</v>
      </c>
      <c r="B294" s="830" t="s">
        <v>992</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993</v>
      </c>
      <c r="C296" s="1063">
        <v>0.15</v>
      </c>
      <c r="D296" s="1063">
        <v>0.15</v>
      </c>
      <c r="E296" s="1063">
        <v>0.15</v>
      </c>
      <c r="F296" s="1064">
        <v>0.15</v>
      </c>
    </row>
    <row r="297" spans="1:6" ht="14.25" thickBot="1">
      <c r="A297" s="836" t="s">
        <v>534</v>
      </c>
      <c r="B297" s="830" t="s">
        <v>994</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995</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996</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997</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998</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999</v>
      </c>
      <c r="C310" s="1063">
        <v>0.15</v>
      </c>
      <c r="D310" s="1063">
        <v>0.15</v>
      </c>
      <c r="E310" s="1063">
        <v>0.15</v>
      </c>
      <c r="F310" s="1064">
        <v>0.13700000000000001</v>
      </c>
    </row>
    <row r="311" spans="1:6" ht="14.25" thickBot="1">
      <c r="A311" s="836" t="s">
        <v>534</v>
      </c>
      <c r="B311" s="830" t="s">
        <v>1000</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1001</v>
      </c>
      <c r="C313" s="1063">
        <v>0.15</v>
      </c>
      <c r="D313" s="1063">
        <v>0.15</v>
      </c>
      <c r="E313" s="1063">
        <v>0.15</v>
      </c>
      <c r="F313" s="1064">
        <v>0.15</v>
      </c>
    </row>
    <row r="314" spans="1:6" ht="24.75" thickBot="1">
      <c r="A314" s="836" t="s">
        <v>534</v>
      </c>
      <c r="B314" s="830" t="s">
        <v>1002</v>
      </c>
      <c r="C314" s="1076"/>
      <c r="D314" s="1076"/>
      <c r="E314" s="1076"/>
      <c r="F314" s="1064">
        <v>0.05</v>
      </c>
    </row>
    <row r="315" spans="1:6" ht="24.75" thickBot="1">
      <c r="A315" s="836" t="s">
        <v>534</v>
      </c>
      <c r="B315" s="830" t="s">
        <v>1003</v>
      </c>
      <c r="C315" s="1076"/>
      <c r="D315" s="1076"/>
      <c r="E315" s="1076"/>
      <c r="F315" s="1064">
        <v>0.05</v>
      </c>
    </row>
    <row r="316" spans="1:6" ht="24.75" thickBot="1">
      <c r="A316" s="846" t="s">
        <v>534</v>
      </c>
      <c r="B316" s="842" t="s">
        <v>1004</v>
      </c>
      <c r="C316" s="1073"/>
      <c r="D316" s="1073"/>
      <c r="E316" s="1073"/>
      <c r="F316" s="1066">
        <v>0.05</v>
      </c>
    </row>
    <row r="317" spans="1:6" ht="14.25" thickBot="1">
      <c r="A317" s="836" t="s">
        <v>1005</v>
      </c>
      <c r="B317" s="837" t="s">
        <v>1006</v>
      </c>
      <c r="C317" s="1061">
        <v>0.15</v>
      </c>
      <c r="D317" s="1061">
        <v>0.15</v>
      </c>
      <c r="E317" s="1061">
        <v>0.15</v>
      </c>
      <c r="F317" s="1062">
        <v>0.15</v>
      </c>
    </row>
    <row r="318" spans="1:6" ht="14.25" thickBot="1">
      <c r="A318" s="836" t="s">
        <v>1005</v>
      </c>
      <c r="B318" s="830" t="s">
        <v>1007</v>
      </c>
      <c r="C318" s="1063">
        <v>0.107</v>
      </c>
      <c r="D318" s="1063">
        <v>0.11</v>
      </c>
      <c r="E318" s="1063">
        <v>0.112</v>
      </c>
      <c r="F318" s="1075"/>
    </row>
    <row r="319" spans="1:6" ht="14.25" thickBot="1">
      <c r="A319" s="836" t="s">
        <v>1005</v>
      </c>
      <c r="B319" s="830" t="s">
        <v>1008</v>
      </c>
      <c r="C319" s="1063">
        <v>0.15</v>
      </c>
      <c r="D319" s="1063">
        <v>0.15</v>
      </c>
      <c r="E319" s="1063">
        <v>0.15</v>
      </c>
      <c r="F319" s="1064">
        <v>0.15</v>
      </c>
    </row>
    <row r="320" spans="1:6" ht="14.25" thickBot="1">
      <c r="A320" s="836" t="s">
        <v>1005</v>
      </c>
      <c r="B320" s="830" t="s">
        <v>223</v>
      </c>
      <c r="C320" s="1063">
        <v>0.15</v>
      </c>
      <c r="D320" s="1063">
        <v>0.15</v>
      </c>
      <c r="E320" s="1063">
        <v>0.15</v>
      </c>
      <c r="F320" s="1075"/>
    </row>
    <row r="321" spans="1:6" ht="14.25" thickBot="1">
      <c r="A321" s="836" t="s">
        <v>1005</v>
      </c>
      <c r="B321" s="830" t="s">
        <v>1009</v>
      </c>
      <c r="C321" s="1063">
        <v>0.15</v>
      </c>
      <c r="D321" s="1063">
        <v>0.15</v>
      </c>
      <c r="E321" s="1063">
        <v>0.15</v>
      </c>
      <c r="F321" s="1075"/>
    </row>
    <row r="322" spans="1:6" ht="14.25" thickBot="1">
      <c r="A322" s="836" t="s">
        <v>1005</v>
      </c>
      <c r="B322" s="830" t="s">
        <v>1010</v>
      </c>
      <c r="C322" s="1063">
        <v>0.15</v>
      </c>
      <c r="D322" s="1063">
        <v>0.15</v>
      </c>
      <c r="E322" s="1063">
        <v>0.15</v>
      </c>
      <c r="F322" s="1064">
        <v>0.15</v>
      </c>
    </row>
    <row r="323" spans="1:6" ht="14.25" thickBot="1">
      <c r="A323" s="836" t="s">
        <v>1005</v>
      </c>
      <c r="B323" s="830" t="s">
        <v>1011</v>
      </c>
      <c r="C323" s="1063">
        <v>0.15</v>
      </c>
      <c r="D323" s="1063">
        <v>0.15</v>
      </c>
      <c r="E323" s="1063">
        <v>0.15</v>
      </c>
      <c r="F323" s="1075"/>
    </row>
    <row r="324" spans="1:6" ht="14.25" thickBot="1">
      <c r="A324" s="836" t="s">
        <v>1005</v>
      </c>
      <c r="B324" s="830" t="s">
        <v>1012</v>
      </c>
      <c r="C324" s="1063">
        <v>0.15</v>
      </c>
      <c r="D324" s="1063">
        <v>0.15</v>
      </c>
      <c r="E324" s="1063">
        <v>0.15</v>
      </c>
      <c r="F324" s="1075"/>
    </row>
    <row r="325" spans="1:6" ht="14.25" thickBot="1">
      <c r="A325" s="836" t="s">
        <v>1005</v>
      </c>
      <c r="B325" s="830" t="s">
        <v>1013</v>
      </c>
      <c r="C325" s="1063">
        <v>0.15</v>
      </c>
      <c r="D325" s="1063">
        <v>0.15</v>
      </c>
      <c r="E325" s="1063">
        <v>0.15</v>
      </c>
      <c r="F325" s="1064">
        <v>0.14699999999999999</v>
      </c>
    </row>
    <row r="326" spans="1:6" ht="14.25" thickBot="1">
      <c r="A326" s="836" t="s">
        <v>1005</v>
      </c>
      <c r="B326" s="830" t="s">
        <v>290</v>
      </c>
      <c r="C326" s="1063">
        <v>0.15</v>
      </c>
      <c r="D326" s="1063">
        <v>0.15</v>
      </c>
      <c r="E326" s="1063">
        <v>0.15</v>
      </c>
      <c r="F326" s="1075"/>
    </row>
    <row r="327" spans="1:6" ht="14.25" thickBot="1">
      <c r="A327" s="836" t="s">
        <v>1005</v>
      </c>
      <c r="B327" s="830" t="s">
        <v>1014</v>
      </c>
      <c r="C327" s="1063">
        <v>0.15</v>
      </c>
      <c r="D327" s="1063">
        <v>0.15</v>
      </c>
      <c r="E327" s="1063">
        <v>0.15</v>
      </c>
      <c r="F327" s="1064">
        <v>0.15</v>
      </c>
    </row>
    <row r="328" spans="1:6" ht="14.25" thickBot="1">
      <c r="A328" s="836" t="s">
        <v>1005</v>
      </c>
      <c r="B328" s="830" t="s">
        <v>310</v>
      </c>
      <c r="C328" s="1063">
        <v>0.15</v>
      </c>
      <c r="D328" s="1063">
        <v>0.15</v>
      </c>
      <c r="E328" s="1063">
        <v>0.15</v>
      </c>
      <c r="F328" s="1064">
        <v>0.14099999999999999</v>
      </c>
    </row>
    <row r="329" spans="1:6" ht="14.25" thickBot="1">
      <c r="A329" s="836" t="s">
        <v>1005</v>
      </c>
      <c r="B329" s="830" t="s">
        <v>320</v>
      </c>
      <c r="C329" s="1063">
        <v>0.15</v>
      </c>
      <c r="D329" s="1063">
        <v>0.15</v>
      </c>
      <c r="E329" s="1063">
        <v>0.15</v>
      </c>
      <c r="F329" s="1064">
        <v>0.15</v>
      </c>
    </row>
    <row r="330" spans="1:6" ht="14.25" thickBot="1">
      <c r="A330" s="836" t="s">
        <v>1005</v>
      </c>
      <c r="B330" s="830" t="s">
        <v>331</v>
      </c>
      <c r="C330" s="1063">
        <v>0.15</v>
      </c>
      <c r="D330" s="1063">
        <v>0.15</v>
      </c>
      <c r="E330" s="1063">
        <v>0.15</v>
      </c>
      <c r="F330" s="1075"/>
    </row>
    <row r="331" spans="1:6" ht="14.25" thickBot="1">
      <c r="A331" s="836" t="s">
        <v>1005</v>
      </c>
      <c r="B331" s="830" t="s">
        <v>1015</v>
      </c>
      <c r="C331" s="1063">
        <v>0.15</v>
      </c>
      <c r="D331" s="1063">
        <v>0.15</v>
      </c>
      <c r="E331" s="1063">
        <v>0.15</v>
      </c>
      <c r="F331" s="1064">
        <v>0.15</v>
      </c>
    </row>
    <row r="332" spans="1:6" ht="14.25" thickBot="1">
      <c r="A332" s="836" t="s">
        <v>1005</v>
      </c>
      <c r="B332" s="830" t="s">
        <v>352</v>
      </c>
      <c r="C332" s="1063">
        <v>0.15</v>
      </c>
      <c r="D332" s="1063">
        <v>0.15</v>
      </c>
      <c r="E332" s="1063">
        <v>0.15</v>
      </c>
      <c r="F332" s="1064">
        <v>0.15</v>
      </c>
    </row>
    <row r="333" spans="1:6" ht="14.25" thickBot="1">
      <c r="A333" s="836" t="s">
        <v>1005</v>
      </c>
      <c r="B333" s="830" t="s">
        <v>1016</v>
      </c>
      <c r="C333" s="1063">
        <v>0.15</v>
      </c>
      <c r="D333" s="1063">
        <v>0.15</v>
      </c>
      <c r="E333" s="1063">
        <v>0.15</v>
      </c>
      <c r="F333" s="1064">
        <v>0.14099999999999999</v>
      </c>
    </row>
    <row r="334" spans="1:6" ht="14.25" thickBot="1">
      <c r="A334" s="836" t="s">
        <v>1005</v>
      </c>
      <c r="B334" s="830" t="s">
        <v>372</v>
      </c>
      <c r="C334" s="1063">
        <v>0.15</v>
      </c>
      <c r="D334" s="1063">
        <v>0.15</v>
      </c>
      <c r="E334" s="1063">
        <v>0.15</v>
      </c>
      <c r="F334" s="1064">
        <v>0.15</v>
      </c>
    </row>
    <row r="335" spans="1:6" ht="14.25" thickBot="1">
      <c r="A335" s="836" t="s">
        <v>1005</v>
      </c>
      <c r="B335" s="830" t="s">
        <v>382</v>
      </c>
      <c r="C335" s="1063">
        <v>0.15</v>
      </c>
      <c r="D335" s="1063">
        <v>0.15</v>
      </c>
      <c r="E335" s="1063">
        <v>0.15</v>
      </c>
      <c r="F335" s="1075"/>
    </row>
    <row r="336" spans="1:6" ht="14.25" thickBot="1">
      <c r="A336" s="836" t="s">
        <v>1005</v>
      </c>
      <c r="B336" s="830" t="s">
        <v>1017</v>
      </c>
      <c r="C336" s="1063">
        <v>0.15</v>
      </c>
      <c r="D336" s="1063">
        <v>0.15</v>
      </c>
      <c r="E336" s="1063">
        <v>0.15</v>
      </c>
      <c r="F336" s="1064">
        <v>0.11799999999999999</v>
      </c>
    </row>
    <row r="337" spans="1:6" ht="14.25" thickBot="1">
      <c r="A337" s="846" t="s">
        <v>1005</v>
      </c>
      <c r="B337" s="842" t="s">
        <v>400</v>
      </c>
      <c r="C337" s="1073"/>
      <c r="D337" s="1073"/>
      <c r="E337" s="1073"/>
      <c r="F337" s="1066">
        <v>0.14299999999999999</v>
      </c>
    </row>
    <row r="338" spans="1:6" ht="14.25" thickBot="1">
      <c r="A338" s="836" t="s">
        <v>1018</v>
      </c>
      <c r="B338" s="837" t="s">
        <v>1019</v>
      </c>
      <c r="C338" s="1061">
        <v>0.15</v>
      </c>
      <c r="D338" s="1061">
        <v>0.15</v>
      </c>
      <c r="E338" s="1061">
        <v>0.15</v>
      </c>
      <c r="F338" s="1078"/>
    </row>
    <row r="339" spans="1:6" ht="14.25" thickBot="1">
      <c r="A339" s="836" t="s">
        <v>1018</v>
      </c>
      <c r="B339" s="830" t="s">
        <v>1020</v>
      </c>
      <c r="C339" s="1063">
        <v>0.15</v>
      </c>
      <c r="D339" s="1063">
        <v>0.15</v>
      </c>
      <c r="E339" s="1063">
        <v>0.15</v>
      </c>
      <c r="F339" s="1075"/>
    </row>
    <row r="340" spans="1:6" ht="14.25" thickBot="1">
      <c r="A340" s="836" t="s">
        <v>1018</v>
      </c>
      <c r="B340" s="830" t="s">
        <v>1021</v>
      </c>
      <c r="C340" s="1063">
        <v>0.15</v>
      </c>
      <c r="D340" s="1063">
        <v>0.15</v>
      </c>
      <c r="E340" s="1063">
        <v>0.15</v>
      </c>
      <c r="F340" s="1075"/>
    </row>
    <row r="341" spans="1:6" ht="14.25" thickBot="1">
      <c r="A341" s="836" t="s">
        <v>1018</v>
      </c>
      <c r="B341" s="830" t="s">
        <v>1022</v>
      </c>
      <c r="C341" s="1063">
        <v>0.15</v>
      </c>
      <c r="D341" s="1063">
        <v>0.15</v>
      </c>
      <c r="E341" s="1063">
        <v>0.15</v>
      </c>
      <c r="F341" s="1064">
        <v>0.15</v>
      </c>
    </row>
    <row r="342" spans="1:6" ht="14.25" thickBot="1">
      <c r="A342" s="836" t="s">
        <v>1018</v>
      </c>
      <c r="B342" s="830" t="s">
        <v>1023</v>
      </c>
      <c r="C342" s="1063">
        <v>0.15</v>
      </c>
      <c r="D342" s="1063">
        <v>0.15</v>
      </c>
      <c r="E342" s="1063">
        <v>0.15</v>
      </c>
      <c r="F342" s="1064">
        <v>0.15</v>
      </c>
    </row>
    <row r="343" spans="1:6" ht="14.25" thickBot="1">
      <c r="A343" s="836" t="s">
        <v>1018</v>
      </c>
      <c r="B343" s="830" t="s">
        <v>1024</v>
      </c>
      <c r="C343" s="1063">
        <v>0.15</v>
      </c>
      <c r="D343" s="1063">
        <v>0.15</v>
      </c>
      <c r="E343" s="1063">
        <v>0.15</v>
      </c>
      <c r="F343" s="1064">
        <v>0.15</v>
      </c>
    </row>
    <row r="344" spans="1:6" ht="14.25" thickBot="1">
      <c r="A344" s="846" t="s">
        <v>1018</v>
      </c>
      <c r="B344" s="842"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43493</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1636</v>
      </c>
      <c r="B2" s="3017" t="s">
        <v>1637</v>
      </c>
      <c r="C2" s="3017" t="s">
        <v>1638</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8"/>
      <c r="B3" s="3018"/>
      <c r="C3" s="3018"/>
      <c r="D3" s="1043" t="s">
        <v>1633</v>
      </c>
      <c r="E3" s="1043" t="s">
        <v>1639</v>
      </c>
      <c r="F3" s="1043" t="s">
        <v>1633</v>
      </c>
      <c r="G3" s="1043" t="s">
        <v>1634</v>
      </c>
      <c r="H3" s="1043" t="s">
        <v>1633</v>
      </c>
      <c r="I3" s="1043" t="s">
        <v>1634</v>
      </c>
    </row>
    <row r="4" spans="1:9" ht="60">
      <c r="A4" s="1971" t="str">
        <f>项目基本情况!S2</f>
        <v>陕西省陕西省西安市泾阳县高庄镇费家崖村香榭庄园项目部分住宅用房出让国有建设用地使用权及在建建筑物房地产</v>
      </c>
      <c r="B4" s="1043">
        <f>项目基本情况!C17</f>
        <v>269955.14</v>
      </c>
      <c r="C4" s="1043">
        <f>项目基本情况!C18</f>
        <v>102537.74</v>
      </c>
      <c r="D4" s="1043">
        <f ca="1">结果表!D118</f>
        <v>75655</v>
      </c>
      <c r="E4" s="1043">
        <f ca="1">结果表!E118</f>
        <v>2802</v>
      </c>
      <c r="F4" s="1043">
        <f ca="1">结果表!F118</f>
        <v>2340</v>
      </c>
      <c r="G4" s="1043">
        <f ca="1">结果表!G118</f>
        <v>87</v>
      </c>
      <c r="H4" s="1043">
        <f ca="1">结果表!H118</f>
        <v>77995</v>
      </c>
      <c r="I4" s="1043">
        <f ca="1">结果表!I118</f>
        <v>2889</v>
      </c>
    </row>
    <row r="5" spans="1:9" ht="30" customHeight="1">
      <c r="A5" s="3018" t="s">
        <v>1635</v>
      </c>
      <c r="B5" s="3018"/>
      <c r="C5" s="3018"/>
      <c r="D5" s="3019" t="str">
        <f ca="1">结果表!D119</f>
        <v>柒亿伍仟陆佰伍拾伍万元整</v>
      </c>
      <c r="E5" s="3019"/>
      <c r="F5" s="3019" t="str">
        <f ca="1">结果表!F119</f>
        <v>贰仟叁佰肆拾万元整</v>
      </c>
      <c r="G5" s="3019"/>
      <c r="H5" s="3019" t="str">
        <f ca="1">结果表!H119</f>
        <v>柒亿柒仟玖佰玖拾伍万元整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1635</v>
      </c>
      <c r="B7" s="3018"/>
      <c r="C7" s="3018"/>
      <c r="D7" s="3021" t="str">
        <f>结果表!D121</f>
        <v>零元整</v>
      </c>
      <c r="E7" s="3022"/>
      <c r="F7" s="3022"/>
      <c r="G7" s="3022"/>
      <c r="H7" s="3022"/>
      <c r="I7" s="3023"/>
    </row>
    <row r="8" spans="1:9" ht="15.75">
      <c r="A8" s="3020" t="str">
        <f>结果表!A122</f>
        <v>房地产抵押价值</v>
      </c>
      <c r="B8" s="3020"/>
      <c r="C8" s="3020"/>
      <c r="D8" s="3020">
        <f ca="1">结果表!D122</f>
        <v>77995</v>
      </c>
      <c r="E8" s="3020"/>
      <c r="F8" s="3020"/>
      <c r="G8" s="3020"/>
      <c r="H8" s="3020"/>
      <c r="I8" s="3020"/>
    </row>
    <row r="9" spans="1:9" ht="15">
      <c r="A9" s="3018" t="s">
        <v>1635</v>
      </c>
      <c r="B9" s="3018"/>
      <c r="C9" s="3018"/>
      <c r="D9" s="3019" t="str">
        <f ca="1">结果表!D123</f>
        <v>柒亿柒仟玖佰玖拾伍万元整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1635</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1635</v>
      </c>
      <c r="B13" s="3024"/>
      <c r="C13" s="3024"/>
      <c r="D13" s="3025" t="e">
        <f>结果表!D127</f>
        <v>#VALUE!</v>
      </c>
      <c r="E13" s="3025"/>
      <c r="F13" s="3025"/>
      <c r="G13" s="3025"/>
      <c r="H13" s="3025"/>
      <c r="I13" s="3025"/>
    </row>
    <row r="14" spans="1:9" ht="15" thickTop="1">
      <c r="A14" s="3026" t="s">
        <v>1640</v>
      </c>
      <c r="B14" s="3026"/>
      <c r="C14" s="3026"/>
      <c r="D14" s="3026"/>
      <c r="E14" s="3026"/>
      <c r="F14" s="3026"/>
      <c r="G14" s="3026"/>
      <c r="H14" s="3026"/>
      <c r="I14" s="302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7" t="s">
        <v>1657</v>
      </c>
      <c r="B1" s="3027"/>
      <c r="C1" s="3027"/>
      <c r="D1" s="3027"/>
    </row>
    <row r="2" spans="1:4" ht="18">
      <c r="A2" s="3028" t="s">
        <v>1641</v>
      </c>
      <c r="B2" s="3028"/>
      <c r="C2" s="3028"/>
      <c r="D2" s="3028"/>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28" t="s">
        <v>1647</v>
      </c>
      <c r="B6" s="3028"/>
      <c r="C6" s="3028"/>
      <c r="D6" s="3028"/>
    </row>
    <row r="7" spans="1:4" ht="18.75">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8.75">
      <c r="A10" s="1982" t="s">
        <v>1649</v>
      </c>
      <c r="B10" s="726"/>
      <c r="C10" s="726"/>
      <c r="D10" s="726"/>
    </row>
    <row r="11" spans="1:4" ht="30" customHeight="1">
      <c r="A11" s="3029" t="s">
        <v>1650</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1651</v>
      </c>
      <c r="B16" s="3033"/>
      <c r="C16" s="3033"/>
      <c r="D16" s="3033"/>
    </row>
    <row r="17" spans="1:4" ht="144" customHeight="1">
      <c r="A17" s="3033" t="s">
        <v>1652</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1653</v>
      </c>
      <c r="B22" s="3035"/>
      <c r="C22" s="3035"/>
      <c r="D22" s="3035"/>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41" t="s">
        <v>1664</v>
      </c>
      <c r="B15" s="3036" t="s">
        <v>136</v>
      </c>
      <c r="C15" s="3037"/>
    </row>
    <row r="16" spans="1:7" ht="13.5">
      <c r="A16" s="3042"/>
      <c r="B16" s="3036" t="s">
        <v>69</v>
      </c>
      <c r="C16" s="3037"/>
    </row>
    <row r="17" spans="1:3" ht="13.5">
      <c r="A17" s="3042"/>
      <c r="B17" s="3039" t="s">
        <v>1665</v>
      </c>
      <c r="C17" s="1998" t="s">
        <v>1664</v>
      </c>
    </row>
    <row r="18" spans="1:3" ht="13.5">
      <c r="A18" s="3042"/>
      <c r="B18" s="3039"/>
      <c r="C18" s="1998" t="s">
        <v>1666</v>
      </c>
    </row>
    <row r="19" spans="1:3" ht="13.5">
      <c r="A19" s="3042"/>
      <c r="B19" s="3039"/>
      <c r="C19" s="1998" t="s">
        <v>1667</v>
      </c>
    </row>
    <row r="20" spans="1:3" ht="13.5">
      <c r="A20" s="3043"/>
      <c r="B20" s="3038" t="s">
        <v>1668</v>
      </c>
      <c r="C20" s="3037"/>
    </row>
    <row r="21" spans="1:3" ht="13.5">
      <c r="A21" s="1999" t="s">
        <v>1669</v>
      </c>
      <c r="B21" s="2000"/>
      <c r="C21" s="2001"/>
    </row>
    <row r="22" spans="1:3" ht="13.5">
      <c r="A22" s="3040" t="s">
        <v>1670</v>
      </c>
      <c r="B22" s="3038" t="s">
        <v>1671</v>
      </c>
      <c r="C22" s="3037"/>
    </row>
    <row r="23" spans="1:3" ht="13.5">
      <c r="A23" s="3040"/>
      <c r="B23" s="3038" t="s">
        <v>1672</v>
      </c>
      <c r="C23" s="3037"/>
    </row>
    <row r="24" spans="1:3" ht="13.5">
      <c r="A24" s="3040"/>
      <c r="B24" s="3038" t="s">
        <v>1673</v>
      </c>
      <c r="C24" s="3037"/>
    </row>
    <row r="25" spans="1:3" ht="13.5">
      <c r="A25" s="3040"/>
      <c r="B25" s="3039" t="s">
        <v>1674</v>
      </c>
      <c r="C25" s="1998" t="s">
        <v>1675</v>
      </c>
    </row>
    <row r="26" spans="1:3" ht="13.5">
      <c r="A26" s="3040"/>
      <c r="B26" s="3039"/>
      <c r="C26" s="1998" t="s">
        <v>1676</v>
      </c>
    </row>
    <row r="27" spans="1:3" ht="13.5">
      <c r="A27" s="3040"/>
      <c r="B27" s="3039"/>
      <c r="C27" s="1998" t="s">
        <v>1677</v>
      </c>
    </row>
    <row r="28" spans="1:3" ht="13.5">
      <c r="A28" s="3040"/>
      <c r="B28" s="3039"/>
      <c r="C28" s="1998" t="s">
        <v>1678</v>
      </c>
    </row>
    <row r="29" spans="1:3" ht="13.5">
      <c r="A29" s="3040"/>
      <c r="B29" s="3039"/>
      <c r="C29" s="1998" t="s">
        <v>1679</v>
      </c>
    </row>
    <row r="30" spans="1:3" ht="13.5">
      <c r="A30" s="3040"/>
      <c r="B30" s="3039"/>
      <c r="C30" s="1998" t="s">
        <v>1680</v>
      </c>
    </row>
    <row r="31" spans="1:3" ht="13.5">
      <c r="A31" s="3040"/>
      <c r="B31" s="3039"/>
      <c r="C31" s="1998" t="s">
        <v>1681</v>
      </c>
    </row>
    <row r="32" spans="1:3" ht="13.5">
      <c r="A32" s="3040"/>
      <c r="B32" s="3039"/>
      <c r="C32" s="1998" t="s">
        <v>1682</v>
      </c>
    </row>
    <row r="33" spans="1:3" ht="13.5">
      <c r="A33" s="3040"/>
      <c r="B33" s="3039"/>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43514</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t="str">
        <f ca="1">IF(C10&lt;B2,"已过期",1120060040)</f>
        <v>已过期</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c r="B12" s="1021"/>
      <c r="C12" s="2927"/>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3041</v>
      </c>
      <c r="B14" s="1021">
        <f ca="1">IF(C14&lt;B2,"已过期",1120040230)</f>
        <v>1120040230</v>
      </c>
      <c r="C14" s="2342">
        <v>43835</v>
      </c>
      <c r="D14" s="2345" t="s">
        <v>3041</v>
      </c>
      <c r="E14" s="1021">
        <f ca="1">IF(F14&lt;B2,"已过期",98030020)</f>
        <v>98030020</v>
      </c>
      <c r="F14" s="1029">
        <v>47118</v>
      </c>
    </row>
    <row r="15" spans="1:6" ht="24" customHeight="1">
      <c r="A15" s="1701" t="s">
        <v>3042</v>
      </c>
      <c r="B15" s="1021">
        <f ca="1">IF(C15&lt;B2,"已过期",1120070085)</f>
        <v>1120070085</v>
      </c>
      <c r="C15" s="2342">
        <v>43814</v>
      </c>
      <c r="D15" s="2346" t="s">
        <v>3042</v>
      </c>
      <c r="E15" s="1021">
        <f ca="1">IF(F15&lt;B2,"已过期",2004110128)</f>
        <v>2004110128</v>
      </c>
      <c r="F15" s="1022">
        <v>47118</v>
      </c>
    </row>
    <row r="16" spans="1:6" ht="24" customHeight="1">
      <c r="A16" s="1700" t="s">
        <v>3043</v>
      </c>
      <c r="B16" s="1021">
        <f ca="1">IF(C16&lt;B2,"已过期",1120140022)</f>
        <v>1120140022</v>
      </c>
      <c r="C16" s="2927">
        <v>44029</v>
      </c>
      <c r="D16" s="2345" t="s">
        <v>3043</v>
      </c>
      <c r="E16" s="1021">
        <f ca="1">IF(F16&lt;B2,"已过期",2008110059)</f>
        <v>2008110059</v>
      </c>
      <c r="F16" s="1029">
        <v>47177</v>
      </c>
    </row>
    <row r="17" spans="1:7" ht="24" customHeight="1">
      <c r="A17" s="1700"/>
      <c r="B17" s="1021"/>
      <c r="C17" s="2342"/>
      <c r="D17" s="2345" t="s">
        <v>3044</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7">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1328</v>
      </c>
      <c r="B24" s="1701" t="s">
        <v>1328</v>
      </c>
      <c r="C24" s="2343" t="s">
        <v>1328</v>
      </c>
      <c r="D24" s="2346" t="s">
        <v>1328</v>
      </c>
      <c r="E24" s="1701" t="s">
        <v>1328</v>
      </c>
      <c r="F24" s="1701" t="s">
        <v>1328</v>
      </c>
    </row>
    <row r="25" spans="1:7" ht="24" customHeight="1">
      <c r="A25" s="3044" t="s">
        <v>843</v>
      </c>
      <c r="B25" s="3044"/>
      <c r="C25" s="3044"/>
      <c r="D25" s="3044"/>
      <c r="E25" s="3044"/>
      <c r="F25" s="3044"/>
      <c r="G25" s="3044"/>
    </row>
    <row r="26" spans="1:7" s="1024" customFormat="1" ht="24" customHeight="1">
      <c r="A26" s="3045" t="s">
        <v>844</v>
      </c>
      <c r="B26" s="3045"/>
      <c r="C26" s="3046"/>
      <c r="D26" s="3047" t="s">
        <v>845</v>
      </c>
      <c r="E26" s="3045"/>
      <c r="F26" s="3045"/>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1379</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比较法-住宅</vt:lpstr>
      <vt:lpstr>比较法-低密度</vt:lpstr>
      <vt:lpstr>收益法</vt:lpstr>
      <vt:lpstr>收益法 (元)</vt:lpstr>
      <vt:lpstr>收益法（汇总）</vt:lpstr>
      <vt:lpstr>酒店收入计算</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'比较法-低密度'!住宅朝向</vt:lpstr>
      <vt:lpstr>住宅朝向</vt:lpstr>
      <vt:lpstr>'比较法-低密度'!住宅房型</vt:lpstr>
      <vt:lpstr>住宅房型</vt:lpstr>
      <vt:lpstr>'比较法-低密度'!住宅公共部分装修</vt:lpstr>
      <vt:lpstr>住宅公共部分装修</vt:lpstr>
      <vt:lpstr>'比较法-低密度'!住宅基础设施水平</vt:lpstr>
      <vt:lpstr>住宅基础设施水平</vt:lpstr>
      <vt:lpstr>'比较法-低密度'!住宅建筑结构</vt:lpstr>
      <vt:lpstr>住宅建筑结构</vt:lpstr>
      <vt:lpstr>'比较法-低密度'!住宅建筑类型</vt:lpstr>
      <vt:lpstr>住宅建筑类型</vt:lpstr>
      <vt:lpstr>'比较法-低密度'!住宅建筑品质</vt:lpstr>
      <vt:lpstr>住宅建筑品质</vt:lpstr>
      <vt:lpstr>'比较法-低密度'!住宅交易情况</vt:lpstr>
      <vt:lpstr>住宅交易情况</vt:lpstr>
      <vt:lpstr>'比较法-低密度'!住宅楼层</vt:lpstr>
      <vt:lpstr>住宅楼层</vt:lpstr>
      <vt:lpstr>'比较法-低密度'!住宅内部装修</vt:lpstr>
      <vt:lpstr>住宅内部装修</vt:lpstr>
      <vt:lpstr>'比较法-低密度'!住宅物业管理</vt:lpstr>
      <vt:lpstr>住宅物业管理</vt:lpstr>
      <vt:lpstr>'比较法-低密度'!住宅用途</vt:lpstr>
      <vt:lpstr>住宅用途</vt:lpstr>
      <vt:lpstr>'比较法-低密度'!住宅主力户型面积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2019-02-18T01:46:00Z</dcterms:modified>
</cp:coreProperties>
</file>