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defaultThemeVersion="124226"/>
  <mc:AlternateContent xmlns:mc="http://schemas.openxmlformats.org/markup-compatibility/2006">
    <mc:Choice Requires="x15">
      <x15ac:absPath xmlns:x15ac="http://schemas.microsoft.com/office/spreadsheetml/2010/11/ac" url="W:\随行箱\项目\03新发地\"/>
    </mc:Choice>
  </mc:AlternateContent>
  <xr:revisionPtr revIDLastSave="0" documentId="12_ncr:500000_{704039CB-1AB6-4CCD-96AF-5D26ED15F8BA}" xr6:coauthVersionLast="31" xr6:coauthVersionMax="31" xr10:uidLastSave="{00000000-0000-0000-0000-000000000000}"/>
  <bookViews>
    <workbookView xWindow="480" yWindow="210" windowWidth="12120" windowHeight="762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面积表" sheetId="77"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基准地价修正" sheetId="43" r:id="rId22"/>
    <sheet name="基准地价修正 (2)" sheetId="79"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1">基准地价修正!$A$1:$J$56</definedName>
    <definedName name="_xlnm.Print_Area" localSheetId="22">'基准地价修正 (2)'!$A$1:$J$80</definedName>
    <definedName name="_xlnm.Print_Area" localSheetId="23">假设开发法!$A$1:$K$32</definedName>
    <definedName name="_xlnm.Print_Area" localSheetId="18">结果表!$A$1:$I$141</definedName>
    <definedName name="_xlnm.Print_Area" localSheetId="24">收益法!$A$1:$F$43</definedName>
    <definedName name="_xlnm.Print_Area" localSheetId="25">'收益法 (元)'!$A$1:$AK$69</definedName>
    <definedName name="_xlnm.Print_Area" localSheetId="14">'数据-汇总表'!$A$1:$I$32</definedName>
    <definedName name="_xlnm.Print_Area" localSheetId="12">'数据-基础表'!$AV$1:$BD$202</definedName>
    <definedName name="_xlnm.Print_Area" localSheetId="15">'数据-取费表'!$A$1:$AM$59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0" i="9" l="1"/>
  <c r="B30" i="9" l="1"/>
  <c r="D14" i="9"/>
  <c r="F35" i="15"/>
  <c r="C14" i="15"/>
  <c r="F7" i="15"/>
  <c r="C21" i="1"/>
  <c r="G60" i="79"/>
  <c r="G61" i="79"/>
  <c r="G62" i="79"/>
  <c r="G63" i="79"/>
  <c r="M63" i="79" s="1"/>
  <c r="N63" i="79" s="1"/>
  <c r="G64" i="79"/>
  <c r="G65" i="79"/>
  <c r="G66" i="79"/>
  <c r="G67" i="79"/>
  <c r="M67" i="79" s="1"/>
  <c r="N67" i="79" s="1"/>
  <c r="G59" i="79"/>
  <c r="D29" i="79"/>
  <c r="D1" i="79" s="1"/>
  <c r="I20" i="79"/>
  <c r="F113" i="79"/>
  <c r="N99" i="79"/>
  <c r="N108" i="79" s="1"/>
  <c r="M99" i="79"/>
  <c r="M108" i="79" s="1"/>
  <c r="L99" i="79"/>
  <c r="L108" i="79" s="1"/>
  <c r="K99" i="79"/>
  <c r="J99" i="79"/>
  <c r="J108" i="79" s="1"/>
  <c r="I99" i="79"/>
  <c r="I108" i="79" s="1"/>
  <c r="H99" i="79"/>
  <c r="H108" i="79" s="1"/>
  <c r="G99" i="79"/>
  <c r="F99" i="79"/>
  <c r="F108" i="79" s="1"/>
  <c r="E99" i="79"/>
  <c r="E108" i="79" s="1"/>
  <c r="D99" i="79"/>
  <c r="D108" i="79" s="1"/>
  <c r="C99" i="79"/>
  <c r="C108" i="79" s="1"/>
  <c r="M88" i="79"/>
  <c r="N88" i="79" s="1"/>
  <c r="K88" i="79"/>
  <c r="J88" i="79"/>
  <c r="D88" i="79"/>
  <c r="B88" i="79"/>
  <c r="N87" i="79"/>
  <c r="M87" i="79"/>
  <c r="K87" i="79"/>
  <c r="J87" i="79"/>
  <c r="D87" i="79"/>
  <c r="M86" i="79"/>
  <c r="N86" i="79" s="1"/>
  <c r="K86" i="79"/>
  <c r="J86" i="79" s="1"/>
  <c r="D86" i="79"/>
  <c r="B86" i="79"/>
  <c r="M85" i="79"/>
  <c r="N85" i="79" s="1"/>
  <c r="K85" i="79"/>
  <c r="J85" i="79"/>
  <c r="D85" i="79"/>
  <c r="B85" i="79"/>
  <c r="N84" i="79"/>
  <c r="M84" i="79"/>
  <c r="K84" i="79"/>
  <c r="J84" i="79"/>
  <c r="D84" i="79"/>
  <c r="B84" i="79"/>
  <c r="M83" i="79"/>
  <c r="N83" i="79" s="1"/>
  <c r="K83" i="79"/>
  <c r="J83" i="79"/>
  <c r="D83" i="79"/>
  <c r="B83" i="79"/>
  <c r="M82" i="79"/>
  <c r="N82" i="79" s="1"/>
  <c r="K82" i="79"/>
  <c r="J82" i="79" s="1"/>
  <c r="D82" i="79"/>
  <c r="B82" i="79"/>
  <c r="M81" i="79"/>
  <c r="N81" i="79" s="1"/>
  <c r="K81" i="79"/>
  <c r="J81" i="79"/>
  <c r="F81" i="79"/>
  <c r="H88" i="79" s="1"/>
  <c r="D81" i="79"/>
  <c r="B81" i="79"/>
  <c r="N78" i="79"/>
  <c r="M78" i="79"/>
  <c r="K78" i="79"/>
  <c r="J78" i="79"/>
  <c r="D78" i="79"/>
  <c r="M77" i="79"/>
  <c r="N77" i="79" s="1"/>
  <c r="K77" i="79"/>
  <c r="J77" i="79" s="1"/>
  <c r="D77" i="79"/>
  <c r="B77" i="79"/>
  <c r="N76" i="79"/>
  <c r="M76" i="79"/>
  <c r="K76" i="79"/>
  <c r="J76" i="79"/>
  <c r="D76" i="79"/>
  <c r="M75" i="79"/>
  <c r="N75" i="79" s="1"/>
  <c r="K75" i="79"/>
  <c r="J75" i="79" s="1"/>
  <c r="D75" i="79"/>
  <c r="B75" i="79"/>
  <c r="M74" i="79"/>
  <c r="N74" i="79" s="1"/>
  <c r="K74" i="79"/>
  <c r="J74" i="79"/>
  <c r="D74" i="79"/>
  <c r="B74" i="79"/>
  <c r="N73" i="79"/>
  <c r="M73" i="79"/>
  <c r="K73" i="79"/>
  <c r="J73" i="79"/>
  <c r="D73" i="79"/>
  <c r="B73" i="79"/>
  <c r="N72" i="79"/>
  <c r="M72" i="79"/>
  <c r="K72" i="79"/>
  <c r="J72" i="79"/>
  <c r="D72" i="79"/>
  <c r="B72" i="79"/>
  <c r="M71" i="79"/>
  <c r="N71" i="79" s="1"/>
  <c r="K71" i="79"/>
  <c r="J71" i="79" s="1"/>
  <c r="D71" i="79"/>
  <c r="B71" i="79"/>
  <c r="M70" i="79"/>
  <c r="N70" i="79" s="1"/>
  <c r="K70" i="79"/>
  <c r="J70" i="79"/>
  <c r="F70" i="79"/>
  <c r="H77" i="79" s="1"/>
  <c r="D70" i="79"/>
  <c r="B70" i="79"/>
  <c r="K67" i="79"/>
  <c r="J67" i="79" s="1"/>
  <c r="D67" i="79"/>
  <c r="B67" i="79"/>
  <c r="M66" i="79"/>
  <c r="N66" i="79" s="1"/>
  <c r="K66" i="79"/>
  <c r="J66" i="79" s="1"/>
  <c r="D66" i="79"/>
  <c r="B66" i="79"/>
  <c r="M65" i="79"/>
  <c r="N65" i="79" s="1"/>
  <c r="K65" i="79"/>
  <c r="B65" i="79"/>
  <c r="M64" i="79"/>
  <c r="N64" i="79" s="1"/>
  <c r="K64" i="79"/>
  <c r="D64" i="79" s="1"/>
  <c r="J64" i="79"/>
  <c r="K63" i="79"/>
  <c r="J63" i="79" s="1"/>
  <c r="D63" i="79"/>
  <c r="B63" i="79"/>
  <c r="M62" i="79"/>
  <c r="N62" i="79" s="1"/>
  <c r="K62" i="79"/>
  <c r="D62" i="79" s="1"/>
  <c r="J62" i="79"/>
  <c r="M61" i="79"/>
  <c r="N61" i="79" s="1"/>
  <c r="K61" i="79"/>
  <c r="J61" i="79"/>
  <c r="D61" i="79"/>
  <c r="B61" i="79"/>
  <c r="M60" i="79"/>
  <c r="N60" i="79" s="1"/>
  <c r="K60" i="79"/>
  <c r="J60" i="79" s="1"/>
  <c r="D60" i="79"/>
  <c r="B60" i="79"/>
  <c r="M59" i="79"/>
  <c r="N59" i="79" s="1"/>
  <c r="K59" i="79"/>
  <c r="J59" i="79" s="1"/>
  <c r="D59" i="79"/>
  <c r="B59" i="79"/>
  <c r="D56" i="79"/>
  <c r="B56" i="79"/>
  <c r="D55" i="79"/>
  <c r="B55" i="79"/>
  <c r="B54" i="79"/>
  <c r="D52" i="79"/>
  <c r="B52" i="79"/>
  <c r="B50" i="79"/>
  <c r="B49" i="79"/>
  <c r="B48" i="79"/>
  <c r="H39" i="79"/>
  <c r="H38" i="79"/>
  <c r="H37" i="79"/>
  <c r="H36" i="79"/>
  <c r="H35" i="79"/>
  <c r="H34" i="79"/>
  <c r="H33" i="79"/>
  <c r="P23" i="79"/>
  <c r="P21" i="79"/>
  <c r="J20" i="79"/>
  <c r="O19" i="79"/>
  <c r="M19" i="79"/>
  <c r="I19" i="79"/>
  <c r="C19" i="79" s="1"/>
  <c r="G19" i="79"/>
  <c r="P25" i="79" s="1"/>
  <c r="C18" i="79"/>
  <c r="F15" i="79"/>
  <c r="E15" i="79"/>
  <c r="D15" i="79"/>
  <c r="C15" i="79"/>
  <c r="C12" i="79" s="1"/>
  <c r="AJ12" i="79"/>
  <c r="AG12" i="79"/>
  <c r="AF12" i="79"/>
  <c r="AC12" i="79"/>
  <c r="AB12" i="79"/>
  <c r="Y12" i="79"/>
  <c r="C11" i="79"/>
  <c r="E9" i="79" s="1"/>
  <c r="AJ10" i="79"/>
  <c r="AG10" i="79"/>
  <c r="AF10" i="79"/>
  <c r="AC10" i="79"/>
  <c r="AB10" i="79"/>
  <c r="Y10" i="79"/>
  <c r="E10" i="79"/>
  <c r="C10" i="79"/>
  <c r="AJ9" i="79"/>
  <c r="AI9" i="79"/>
  <c r="AI10" i="79" s="1"/>
  <c r="AH9" i="79"/>
  <c r="AG9" i="79"/>
  <c r="AF9" i="79"/>
  <c r="AE9" i="79"/>
  <c r="AE10" i="79" s="1"/>
  <c r="AD9" i="79"/>
  <c r="AC9" i="79"/>
  <c r="AB9" i="79"/>
  <c r="AA9" i="79"/>
  <c r="AA10" i="79" s="1"/>
  <c r="Z9" i="79"/>
  <c r="C9" i="79"/>
  <c r="E8" i="79"/>
  <c r="C7" i="79"/>
  <c r="A7" i="79"/>
  <c r="G3" i="79"/>
  <c r="I2" i="79"/>
  <c r="M11" i="79" s="1"/>
  <c r="G2" i="79"/>
  <c r="H17" i="79" s="1"/>
  <c r="D39" i="43"/>
  <c r="D29" i="43"/>
  <c r="G49" i="43"/>
  <c r="G50" i="43"/>
  <c r="G51" i="43"/>
  <c r="G52" i="43"/>
  <c r="G53" i="43"/>
  <c r="G54" i="43"/>
  <c r="G55" i="43"/>
  <c r="G56" i="43"/>
  <c r="G48" i="43"/>
  <c r="H73" i="79" l="1"/>
  <c r="H83" i="79"/>
  <c r="M12" i="79"/>
  <c r="H76" i="79"/>
  <c r="H87" i="79"/>
  <c r="N11" i="79"/>
  <c r="N6" i="79"/>
  <c r="F59" i="79" s="1"/>
  <c r="H84" i="79"/>
  <c r="M9" i="79"/>
  <c r="H72" i="79"/>
  <c r="H78" i="79"/>
  <c r="N101" i="79"/>
  <c r="J101" i="79"/>
  <c r="F101" i="79"/>
  <c r="M101" i="79"/>
  <c r="I101" i="79"/>
  <c r="E101" i="79"/>
  <c r="C23" i="79"/>
  <c r="L101" i="79"/>
  <c r="H101" i="79"/>
  <c r="D101" i="79"/>
  <c r="C101" i="79"/>
  <c r="F22" i="79"/>
  <c r="AG11" i="79"/>
  <c r="AC11" i="79"/>
  <c r="Y11" i="79"/>
  <c r="Y13" i="79" s="1"/>
  <c r="S5" i="79"/>
  <c r="S3" i="79"/>
  <c r="B113" i="79"/>
  <c r="J22" i="79"/>
  <c r="E22" i="79"/>
  <c r="AJ11" i="79"/>
  <c r="AJ13" i="79" s="1"/>
  <c r="AF11" i="79"/>
  <c r="AF13" i="79" s="1"/>
  <c r="AB11" i="79"/>
  <c r="AB13" i="79" s="1"/>
  <c r="AI11" i="79"/>
  <c r="AE11" i="79"/>
  <c r="AA11" i="79"/>
  <c r="S6" i="79"/>
  <c r="K101" i="79"/>
  <c r="H22" i="79"/>
  <c r="S7" i="79"/>
  <c r="Z11" i="79"/>
  <c r="AG13" i="79"/>
  <c r="C109" i="79"/>
  <c r="G108" i="79"/>
  <c r="G100" i="79"/>
  <c r="K108" i="79"/>
  <c r="K109" i="79" s="1"/>
  <c r="K100" i="79"/>
  <c r="C100" i="79"/>
  <c r="H113" i="79"/>
  <c r="F38" i="79"/>
  <c r="F36" i="79"/>
  <c r="F34" i="79"/>
  <c r="F37" i="79"/>
  <c r="F33" i="79"/>
  <c r="G17" i="79"/>
  <c r="X7" i="79"/>
  <c r="F39" i="79"/>
  <c r="J17" i="79"/>
  <c r="E17" i="79"/>
  <c r="I17" i="79"/>
  <c r="C17" i="79"/>
  <c r="F48" i="79"/>
  <c r="F35" i="79"/>
  <c r="Z7" i="79"/>
  <c r="AD11" i="79"/>
  <c r="E70" i="79"/>
  <c r="B68" i="79" s="1"/>
  <c r="G101" i="79"/>
  <c r="S4" i="79"/>
  <c r="Z10" i="79"/>
  <c r="Z12" i="79"/>
  <c r="AD10" i="79"/>
  <c r="AD12" i="79"/>
  <c r="AH10" i="79"/>
  <c r="AH12" i="79"/>
  <c r="AH11" i="79"/>
  <c r="AC13" i="79"/>
  <c r="E81" i="79"/>
  <c r="B79" i="79" s="1"/>
  <c r="S2" i="79"/>
  <c r="G22" i="79"/>
  <c r="D65" i="79"/>
  <c r="E59" i="79" s="1"/>
  <c r="B57" i="79" s="1"/>
  <c r="J65" i="79"/>
  <c r="D109" i="79"/>
  <c r="H109" i="79"/>
  <c r="L109" i="79"/>
  <c r="M5" i="79"/>
  <c r="N9" i="79"/>
  <c r="N1" i="79"/>
  <c r="M2" i="79"/>
  <c r="N3" i="79"/>
  <c r="M4" i="79"/>
  <c r="N5" i="79"/>
  <c r="M7" i="79"/>
  <c r="M8" i="79"/>
  <c r="N10" i="79"/>
  <c r="E11" i="79"/>
  <c r="AA12" i="79"/>
  <c r="AA13" i="79" s="1"/>
  <c r="AE12" i="79"/>
  <c r="AE13" i="79" s="1"/>
  <c r="AI12" i="79"/>
  <c r="AI13" i="79" s="1"/>
  <c r="M20" i="79"/>
  <c r="P24" i="79"/>
  <c r="E109" i="79"/>
  <c r="I109" i="79"/>
  <c r="M1" i="79"/>
  <c r="M3" i="79"/>
  <c r="M10" i="79"/>
  <c r="N12" i="79"/>
  <c r="N2" i="79"/>
  <c r="N4" i="79"/>
  <c r="M6" i="79"/>
  <c r="C6" i="79" s="1"/>
  <c r="N7" i="79"/>
  <c r="N8" i="79"/>
  <c r="P22" i="79"/>
  <c r="F109" i="79"/>
  <c r="J109" i="79"/>
  <c r="N109" i="79"/>
  <c r="D100" i="79"/>
  <c r="H100" i="79"/>
  <c r="L100" i="79"/>
  <c r="H71" i="79"/>
  <c r="H75" i="79"/>
  <c r="H82" i="79"/>
  <c r="H86" i="79"/>
  <c r="E100" i="79"/>
  <c r="I100" i="79"/>
  <c r="M100" i="79"/>
  <c r="H70" i="79"/>
  <c r="H74" i="79"/>
  <c r="H81" i="79"/>
  <c r="H85" i="79"/>
  <c r="F100" i="79"/>
  <c r="J100" i="79"/>
  <c r="N100" i="79"/>
  <c r="G20" i="6"/>
  <c r="F20" i="6"/>
  <c r="F19" i="6"/>
  <c r="AT13" i="3"/>
  <c r="M13" i="3"/>
  <c r="K13" i="3"/>
  <c r="I13" i="3"/>
  <c r="G50" i="77"/>
  <c r="C16" i="79" l="1"/>
  <c r="H65" i="79"/>
  <c r="H67" i="79"/>
  <c r="H64" i="79"/>
  <c r="H61" i="79"/>
  <c r="H63" i="79"/>
  <c r="H60" i="79"/>
  <c r="H66" i="79"/>
  <c r="H59" i="79"/>
  <c r="H62" i="79"/>
  <c r="G109" i="79"/>
  <c r="L107" i="79"/>
  <c r="L106" i="79"/>
  <c r="L105" i="79"/>
  <c r="L104" i="79"/>
  <c r="L103" i="79"/>
  <c r="L102" i="79"/>
  <c r="M107" i="79"/>
  <c r="M106" i="79"/>
  <c r="M105" i="79"/>
  <c r="M104" i="79"/>
  <c r="M103" i="79"/>
  <c r="M102" i="79"/>
  <c r="AH13" i="79"/>
  <c r="Z13" i="79"/>
  <c r="H52" i="79"/>
  <c r="G52" i="79" s="1"/>
  <c r="H51" i="79"/>
  <c r="G51" i="79" s="1"/>
  <c r="H55" i="79"/>
  <c r="G55" i="79" s="1"/>
  <c r="H53" i="79"/>
  <c r="G53" i="79" s="1"/>
  <c r="H50" i="79"/>
  <c r="G50" i="79" s="1"/>
  <c r="H48" i="79"/>
  <c r="G48" i="79" s="1"/>
  <c r="H56" i="79"/>
  <c r="G56" i="79" s="1"/>
  <c r="H54" i="79"/>
  <c r="G54" i="79" s="1"/>
  <c r="H49" i="79"/>
  <c r="G49" i="79" s="1"/>
  <c r="I118" i="79"/>
  <c r="J118" i="79" s="1"/>
  <c r="K118" i="79" s="1"/>
  <c r="L118" i="79" s="1"/>
  <c r="M118" i="79" s="1"/>
  <c r="I117" i="79"/>
  <c r="J117" i="79" s="1"/>
  <c r="K117" i="79" s="1"/>
  <c r="L117" i="79" s="1"/>
  <c r="M117" i="79" s="1"/>
  <c r="I116" i="79"/>
  <c r="J116" i="79" s="1"/>
  <c r="K116" i="79" s="1"/>
  <c r="L116" i="79" s="1"/>
  <c r="M116" i="79" s="1"/>
  <c r="I115" i="79"/>
  <c r="J115" i="79" s="1"/>
  <c r="K115" i="79" s="1"/>
  <c r="L115" i="79" s="1"/>
  <c r="M115" i="79" s="1"/>
  <c r="D118" i="79"/>
  <c r="E118" i="79" s="1"/>
  <c r="F118" i="79" s="1"/>
  <c r="D117" i="79"/>
  <c r="E117" i="79" s="1"/>
  <c r="F117" i="79" s="1"/>
  <c r="G117" i="79" s="1"/>
  <c r="H117" i="79" s="1"/>
  <c r="D116" i="79"/>
  <c r="E116" i="79" s="1"/>
  <c r="F116" i="79" s="1"/>
  <c r="G116" i="79" s="1"/>
  <c r="H116" i="79" s="1"/>
  <c r="D115" i="79"/>
  <c r="E115" i="79" s="1"/>
  <c r="F115" i="79" s="1"/>
  <c r="G115" i="79" s="1"/>
  <c r="H115" i="79" s="1"/>
  <c r="G118" i="79"/>
  <c r="H118" i="79" s="1"/>
  <c r="B116" i="79"/>
  <c r="C116" i="79" s="1"/>
  <c r="B115" i="79"/>
  <c r="C115" i="79" s="1"/>
  <c r="B117" i="79"/>
  <c r="C117" i="79" s="1"/>
  <c r="B118" i="79"/>
  <c r="C118" i="79" s="1"/>
  <c r="C105" i="79"/>
  <c r="C106" i="79"/>
  <c r="C102" i="79"/>
  <c r="C107" i="79"/>
  <c r="C103" i="79"/>
  <c r="C104" i="79"/>
  <c r="F107" i="79"/>
  <c r="F106" i="79"/>
  <c r="F105" i="79"/>
  <c r="F104" i="79"/>
  <c r="F103" i="79"/>
  <c r="F102" i="79"/>
  <c r="G106" i="79"/>
  <c r="G102" i="79"/>
  <c r="G107" i="79"/>
  <c r="G103" i="79"/>
  <c r="G104" i="79"/>
  <c r="G105" i="79"/>
  <c r="D107" i="79"/>
  <c r="D106" i="79"/>
  <c r="D105" i="79"/>
  <c r="D104" i="79"/>
  <c r="D103" i="79"/>
  <c r="D102" i="79"/>
  <c r="E107" i="79"/>
  <c r="E106" i="79"/>
  <c r="E105" i="79"/>
  <c r="E104" i="79"/>
  <c r="E103" i="79"/>
  <c r="E102" i="79"/>
  <c r="J107" i="79"/>
  <c r="J106" i="79"/>
  <c r="J105" i="79"/>
  <c r="J104" i="79"/>
  <c r="J103" i="79"/>
  <c r="J102" i="79"/>
  <c r="C5" i="79"/>
  <c r="D5" i="79"/>
  <c r="M109" i="79"/>
  <c r="AD13" i="79"/>
  <c r="D113" i="79"/>
  <c r="K107" i="79"/>
  <c r="K103" i="79"/>
  <c r="K104" i="79"/>
  <c r="K105" i="79"/>
  <c r="K102" i="79"/>
  <c r="K106" i="79"/>
  <c r="D22" i="79"/>
  <c r="C21" i="79" s="1"/>
  <c r="H107" i="79"/>
  <c r="H106" i="79"/>
  <c r="H105" i="79"/>
  <c r="H104" i="79"/>
  <c r="H103" i="79"/>
  <c r="H102" i="79"/>
  <c r="I107" i="79"/>
  <c r="I106" i="79"/>
  <c r="I105" i="79"/>
  <c r="I104" i="79"/>
  <c r="I103" i="79"/>
  <c r="I102" i="79"/>
  <c r="N107" i="79"/>
  <c r="N106" i="79"/>
  <c r="N105" i="79"/>
  <c r="N104" i="79"/>
  <c r="N103" i="79"/>
  <c r="N102" i="79"/>
  <c r="L3" i="71"/>
  <c r="K3" i="71"/>
  <c r="I3" i="71"/>
  <c r="M49" i="79" l="1"/>
  <c r="N49" i="79" s="1"/>
  <c r="K49" i="79"/>
  <c r="M50" i="79"/>
  <c r="N50" i="79" s="1"/>
  <c r="K50" i="79"/>
  <c r="K52" i="79"/>
  <c r="J52" i="79" s="1"/>
  <c r="M52" i="79"/>
  <c r="N52" i="79" s="1"/>
  <c r="K54" i="79"/>
  <c r="M54" i="79"/>
  <c r="N54" i="79" s="1"/>
  <c r="M53" i="79"/>
  <c r="N53" i="79" s="1"/>
  <c r="K53" i="79"/>
  <c r="K56" i="79"/>
  <c r="J56" i="79" s="1"/>
  <c r="M56" i="79"/>
  <c r="N56" i="79" s="1"/>
  <c r="K55" i="79"/>
  <c r="J55" i="79" s="1"/>
  <c r="M55" i="79"/>
  <c r="N55" i="79" s="1"/>
  <c r="M48" i="79"/>
  <c r="N48" i="79" s="1"/>
  <c r="K48" i="79"/>
  <c r="M51" i="79"/>
  <c r="N51" i="79" s="1"/>
  <c r="K51" i="79"/>
  <c r="J3" i="71"/>
  <c r="J53" i="79" l="1"/>
  <c r="D53" i="79"/>
  <c r="D49" i="79"/>
  <c r="J49" i="79"/>
  <c r="D51" i="79"/>
  <c r="J51" i="79"/>
  <c r="J50" i="79"/>
  <c r="D50" i="79"/>
  <c r="J48" i="79"/>
  <c r="D48" i="79"/>
  <c r="D54" i="79"/>
  <c r="J54" i="79"/>
  <c r="AD5" i="71"/>
  <c r="AG5" i="71"/>
  <c r="AH5" i="71"/>
  <c r="AE5" i="71"/>
  <c r="AF5" i="71" s="1"/>
  <c r="N5" i="71"/>
  <c r="Q5" i="71"/>
  <c r="P5" i="71"/>
  <c r="O5" i="71"/>
  <c r="E48" i="79" l="1"/>
  <c r="B46" i="79" s="1"/>
  <c r="C24" i="79" s="1"/>
  <c r="Q6" i="71"/>
  <c r="P6" i="71"/>
  <c r="O6" i="71"/>
  <c r="N6" i="71"/>
  <c r="A2" i="53" l="1"/>
  <c r="K59" i="67" l="1"/>
  <c r="P61" i="67" s="1"/>
  <c r="K59" i="15"/>
  <c r="P61" i="15" s="1"/>
  <c r="P74"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1" i="76"/>
  <c r="B7" i="76"/>
  <c r="E12" i="76"/>
  <c r="E11" i="76"/>
  <c r="E7" i="76"/>
  <c r="B12" i="76"/>
  <c r="B13" i="76"/>
  <c r="E10" i="76"/>
  <c r="B10" i="76"/>
  <c r="B9" i="76"/>
  <c r="E9" i="76"/>
  <c r="E13" i="76"/>
  <c r="B8"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5" i="73"/>
  <c r="F4" i="73"/>
  <c r="F3" i="73"/>
  <c r="D3" i="73"/>
  <c r="D5" i="73"/>
  <c r="F6" i="73"/>
  <c r="I1" i="73" l="1"/>
  <c r="B39" i="1" s="1"/>
  <c r="D4" i="73"/>
  <c r="D7" i="73"/>
  <c r="E20" i="79" l="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M17" i="79" l="1"/>
  <c r="P17" i="79"/>
  <c r="O17" i="79"/>
  <c r="N17" i="79"/>
  <c r="AA10" i="43"/>
  <c r="AC10" i="43"/>
  <c r="AE10" i="43"/>
  <c r="AG10" i="43"/>
  <c r="AI10" i="43"/>
  <c r="Z10" i="43"/>
  <c r="AB10" i="43"/>
  <c r="AD10" i="43"/>
  <c r="AF10" i="43"/>
  <c r="AH10" i="43"/>
  <c r="AJ10" i="43"/>
  <c r="G20" i="79" l="1"/>
  <c r="C20" i="79" s="1"/>
  <c r="C35" i="79" s="1"/>
  <c r="K49" i="9"/>
  <c r="E107" i="9"/>
  <c r="A122" i="9" s="1"/>
  <c r="A8" i="52" s="1"/>
  <c r="E111" i="9"/>
  <c r="A126" i="9" s="1"/>
  <c r="E109" i="9"/>
  <c r="A124" i="9" s="1"/>
  <c r="T11" i="79" l="1"/>
  <c r="V11" i="79" s="1"/>
  <c r="C37" i="79"/>
  <c r="E37" i="79" s="1"/>
  <c r="C36" i="79"/>
  <c r="E36" i="79" s="1"/>
  <c r="C29" i="79"/>
  <c r="C30" i="79" s="1"/>
  <c r="E30" i="79" s="1"/>
  <c r="T10" i="79"/>
  <c r="V10" i="79" s="1"/>
  <c r="T7" i="79"/>
  <c r="V7" i="79" s="1"/>
  <c r="T5" i="79"/>
  <c r="V5" i="79" s="1"/>
  <c r="C38" i="79"/>
  <c r="G38" i="79" s="1"/>
  <c r="I38" i="79" s="1"/>
  <c r="T6" i="79"/>
  <c r="V6" i="79" s="1"/>
  <c r="T13" i="79"/>
  <c r="V13" i="79" s="1"/>
  <c r="C39" i="79"/>
  <c r="G39" i="79" s="1"/>
  <c r="I39" i="79" s="1"/>
  <c r="T16" i="79"/>
  <c r="V16" i="79" s="1"/>
  <c r="T3" i="79"/>
  <c r="V3" i="79" s="1"/>
  <c r="T9" i="79"/>
  <c r="V9" i="79" s="1"/>
  <c r="T15" i="79"/>
  <c r="V15" i="79" s="1"/>
  <c r="T14" i="79"/>
  <c r="V14" i="79" s="1"/>
  <c r="C33" i="79"/>
  <c r="E33" i="79" s="1"/>
  <c r="T12" i="79"/>
  <c r="V12" i="79" s="1"/>
  <c r="T8" i="79"/>
  <c r="V8" i="79" s="1"/>
  <c r="C34" i="79"/>
  <c r="G34" i="79" s="1"/>
  <c r="I34" i="79" s="1"/>
  <c r="T4" i="79"/>
  <c r="V4" i="79" s="1"/>
  <c r="T2" i="79"/>
  <c r="V2" i="79" s="1"/>
  <c r="G36" i="79"/>
  <c r="I36" i="79" s="1"/>
  <c r="E29" i="79"/>
  <c r="G35" i="79"/>
  <c r="I35" i="79" s="1"/>
  <c r="E35" i="79"/>
  <c r="B44" i="72"/>
  <c r="B42" i="72"/>
  <c r="B69" i="72"/>
  <c r="B68" i="72"/>
  <c r="B63" i="72"/>
  <c r="B62" i="72"/>
  <c r="B16" i="72"/>
  <c r="G37" i="79" l="1"/>
  <c r="I37" i="79" s="1"/>
  <c r="E38" i="79"/>
  <c r="E34" i="79"/>
  <c r="E39" i="79"/>
  <c r="G33" i="79"/>
  <c r="I33" i="79" s="1"/>
  <c r="C27" i="79" s="1"/>
  <c r="B65" i="72"/>
  <c r="B60" i="72"/>
  <c r="B59" i="72"/>
  <c r="B58" i="72"/>
  <c r="B67" i="72"/>
  <c r="B66" i="72"/>
  <c r="C26" i="79" l="1"/>
  <c r="B2" i="79" s="1"/>
  <c r="B3" i="79" s="1"/>
  <c r="B12" i="72"/>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B64" i="71" s="1"/>
  <c r="B63" i="71" s="1"/>
  <c r="F64" i="71"/>
  <c r="F63" i="71" s="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B28" i="71" s="1"/>
  <c r="B29" i="71" s="1"/>
  <c r="S29" i="71" s="1"/>
  <c r="D26" i="71"/>
  <c r="Q25" i="71"/>
  <c r="P25" i="71"/>
  <c r="O25" i="71"/>
  <c r="N25" i="71"/>
  <c r="Q24" i="71"/>
  <c r="P24" i="71"/>
  <c r="O24" i="71"/>
  <c r="N24" i="71"/>
  <c r="Q23" i="71"/>
  <c r="P23" i="71"/>
  <c r="O23" i="71"/>
  <c r="N23" i="71"/>
  <c r="Q22" i="71"/>
  <c r="F23" i="71" s="1"/>
  <c r="F24" i="71" s="1"/>
  <c r="F25" i="71" s="1"/>
  <c r="V25" i="71" s="1"/>
  <c r="P22" i="71"/>
  <c r="E23" i="71" s="1"/>
  <c r="E24" i="71" s="1"/>
  <c r="E25" i="71" s="1"/>
  <c r="U25"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P17" i="71"/>
  <c r="O17" i="71"/>
  <c r="Y17" i="71" s="1"/>
  <c r="Z17" i="71" s="1"/>
  <c r="N17" i="71"/>
  <c r="Q16" i="71"/>
  <c r="P16" i="71"/>
  <c r="O16" i="71"/>
  <c r="Y16" i="71" s="1"/>
  <c r="Z16" i="71" s="1"/>
  <c r="N16" i="71"/>
  <c r="Q15" i="71"/>
  <c r="P15" i="71"/>
  <c r="O15" i="71"/>
  <c r="Y15" i="71" s="1"/>
  <c r="Z15" i="71" s="1"/>
  <c r="N15" i="71"/>
  <c r="Q14" i="71"/>
  <c r="F15" i="71" s="1"/>
  <c r="F16" i="71" s="1"/>
  <c r="F17" i="71" s="1"/>
  <c r="V17" i="71" s="1"/>
  <c r="P14" i="71"/>
  <c r="O14" i="71"/>
  <c r="N14" i="71"/>
  <c r="D14" i="71"/>
  <c r="Q13" i="71"/>
  <c r="AB13" i="71" s="1"/>
  <c r="P13" i="71"/>
  <c r="O13" i="71"/>
  <c r="N13" i="71"/>
  <c r="Q12" i="71"/>
  <c r="AB12" i="71" s="1"/>
  <c r="P12" i="71"/>
  <c r="O12" i="71"/>
  <c r="N12" i="71"/>
  <c r="Q11" i="71"/>
  <c r="AB11" i="71" s="1"/>
  <c r="P11" i="71"/>
  <c r="O11" i="71"/>
  <c r="N11" i="71"/>
  <c r="F11" i="71"/>
  <c r="F12" i="71" s="1"/>
  <c r="F13" i="71" s="1"/>
  <c r="V13" i="71" s="1"/>
  <c r="Q10" i="71"/>
  <c r="P10" i="71"/>
  <c r="O10" i="71"/>
  <c r="N10" i="71"/>
  <c r="D10" i="71"/>
  <c r="O9" i="71"/>
  <c r="N9" i="71"/>
  <c r="X5" i="71" l="1"/>
  <c r="Y5" i="71"/>
  <c r="Z5" i="71" s="1"/>
  <c r="Y11" i="71"/>
  <c r="Z11" i="71" s="1"/>
  <c r="Y12" i="71"/>
  <c r="Z12" i="71" s="1"/>
  <c r="Y13" i="71"/>
  <c r="Z13" i="71" s="1"/>
  <c r="AB15" i="71"/>
  <c r="AB16" i="71"/>
  <c r="AB17" i="71"/>
  <c r="B48" i="71"/>
  <c r="B24" i="71"/>
  <c r="B25" i="71" s="1"/>
  <c r="S25" i="71" s="1"/>
  <c r="E28" i="71"/>
  <c r="E29" i="71" s="1"/>
  <c r="U29" i="71" s="1"/>
  <c r="B60" i="71"/>
  <c r="B59"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9"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1" i="1"/>
  <c r="AO12" i="1"/>
  <c r="AO13" i="1"/>
  <c r="AO9" i="1"/>
  <c r="B11" i="70" l="1"/>
  <c r="B13" i="70"/>
  <c r="B12" i="70"/>
  <c r="B10" i="70"/>
  <c r="B9" i="70"/>
  <c r="B75" i="43"/>
  <c r="B55" i="43"/>
  <c r="B66" i="43"/>
  <c r="C25" i="40"/>
  <c r="C29" i="39"/>
  <c r="S25" i="40"/>
  <c r="S29" i="39"/>
  <c r="S18" i="36"/>
  <c r="U18" i="36"/>
  <c r="S21" i="34"/>
  <c r="F94" i="40"/>
  <c r="G94" i="40" s="1"/>
  <c r="H25" i="40"/>
  <c r="J25" i="40"/>
  <c r="F103" i="39"/>
  <c r="G103" i="39" s="1"/>
  <c r="H29"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5" i="66" s="1"/>
  <c r="I13" i="66"/>
  <c r="I12" i="66"/>
  <c r="I9" i="66"/>
  <c r="I8" i="66"/>
  <c r="I7" i="66"/>
  <c r="I6" i="66"/>
  <c r="I5" i="66"/>
  <c r="I10" i="66" s="1"/>
  <c r="I21" i="66" s="1"/>
  <c r="I4" i="66"/>
  <c r="I3" i="66"/>
  <c r="M11" i="15"/>
  <c r="D1" i="43"/>
  <c r="F113" i="43"/>
  <c r="N99" i="43"/>
  <c r="N108" i="43" s="1"/>
  <c r="D99" i="43"/>
  <c r="D108" i="43" s="1"/>
  <c r="E99" i="43"/>
  <c r="E108" i="43" s="1"/>
  <c r="F99" i="43"/>
  <c r="F108" i="43" s="1"/>
  <c r="G99" i="43"/>
  <c r="H99" i="43"/>
  <c r="H108" i="43" s="1"/>
  <c r="I99" i="43"/>
  <c r="I108" i="43" s="1"/>
  <c r="J99" i="43"/>
  <c r="J108" i="43" s="1"/>
  <c r="K99" i="43"/>
  <c r="L99" i="43"/>
  <c r="M99" i="43"/>
  <c r="M108" i="43" s="1"/>
  <c r="C99" i="43"/>
  <c r="C108" i="43" s="1"/>
  <c r="N100" i="43"/>
  <c r="D100" i="43"/>
  <c r="E100" i="43"/>
  <c r="I100" i="43"/>
  <c r="M100" i="43"/>
  <c r="B48" i="43"/>
  <c r="B84" i="43"/>
  <c r="B83" i="43"/>
  <c r="B72" i="43"/>
  <c r="B61" i="43"/>
  <c r="B50" i="43"/>
  <c r="D82" i="43"/>
  <c r="D83" i="43"/>
  <c r="D84" i="43"/>
  <c r="D85" i="43"/>
  <c r="D86" i="43"/>
  <c r="D87" i="43"/>
  <c r="D88" i="43"/>
  <c r="D81" i="43"/>
  <c r="D67" i="43"/>
  <c r="D61" i="43"/>
  <c r="D63" i="43"/>
  <c r="D66" i="43"/>
  <c r="D59" i="43"/>
  <c r="M88" i="43"/>
  <c r="N88" i="43" s="1"/>
  <c r="K88" i="43"/>
  <c r="J88" i="43" s="1"/>
  <c r="M87" i="43"/>
  <c r="N87" i="43" s="1"/>
  <c r="K87" i="43"/>
  <c r="J87" i="43" s="1"/>
  <c r="M86" i="43"/>
  <c r="N86" i="43"/>
  <c r="K86" i="43"/>
  <c r="J86" i="43" s="1"/>
  <c r="M85" i="43"/>
  <c r="N85" i="43"/>
  <c r="K85" i="43"/>
  <c r="J85" i="43" s="1"/>
  <c r="M84" i="43"/>
  <c r="N84" i="43" s="1"/>
  <c r="K84" i="43"/>
  <c r="J84" i="43" s="1"/>
  <c r="M83" i="43"/>
  <c r="N83" i="43" s="1"/>
  <c r="K83" i="43"/>
  <c r="J83" i="43" s="1"/>
  <c r="M82" i="43"/>
  <c r="N82" i="43"/>
  <c r="K82" i="43"/>
  <c r="J82" i="43" s="1"/>
  <c r="M81" i="43"/>
  <c r="N81" i="43"/>
  <c r="K81" i="43"/>
  <c r="J81" i="43" s="1"/>
  <c r="M78" i="43"/>
  <c r="N78" i="43" s="1"/>
  <c r="K78" i="43"/>
  <c r="J78" i="43" s="1"/>
  <c r="D78" i="43" s="1"/>
  <c r="M77" i="43"/>
  <c r="N77" i="43" s="1"/>
  <c r="K77" i="43"/>
  <c r="J77" i="43" s="1"/>
  <c r="D77" i="43" s="1"/>
  <c r="M76" i="43"/>
  <c r="N76" i="43" s="1"/>
  <c r="K76" i="43"/>
  <c r="J76" i="43"/>
  <c r="D76" i="43" s="1"/>
  <c r="M75" i="43"/>
  <c r="N75" i="43" s="1"/>
  <c r="K75" i="43"/>
  <c r="J75" i="43" s="1"/>
  <c r="D75" i="43" s="1"/>
  <c r="M74" i="43"/>
  <c r="N74" i="43"/>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c r="K64" i="43"/>
  <c r="J64" i="43" s="1"/>
  <c r="M63" i="43"/>
  <c r="N63" i="43" s="1"/>
  <c r="K63" i="43"/>
  <c r="J63" i="43" s="1"/>
  <c r="M62" i="43"/>
  <c r="N62" i="43" s="1"/>
  <c r="K62" i="43"/>
  <c r="J62" i="43" s="1"/>
  <c r="M61" i="43"/>
  <c r="N61" i="43" s="1"/>
  <c r="K61" i="43"/>
  <c r="J61" i="43" s="1"/>
  <c r="M60" i="43"/>
  <c r="N60" i="43"/>
  <c r="K60" i="43"/>
  <c r="J60" i="43" s="1"/>
  <c r="M59" i="43"/>
  <c r="N59" i="43" s="1"/>
  <c r="K59" i="43"/>
  <c r="J59" i="43" s="1"/>
  <c r="M56" i="43"/>
  <c r="N56" i="43" s="1"/>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G12" i="1" s="1"/>
  <c r="F13" i="1"/>
  <c r="D6" i="1"/>
  <c r="D9" i="1"/>
  <c r="D10" i="1"/>
  <c r="G10" i="1" s="1"/>
  <c r="D11" i="1"/>
  <c r="D12" i="1"/>
  <c r="D13" i="1"/>
  <c r="D7" i="1"/>
  <c r="D8" i="1"/>
  <c r="G8" i="1" s="1"/>
  <c r="A7" i="1"/>
  <c r="B7" i="1" s="1"/>
  <c r="E7" i="1" s="1"/>
  <c r="A8" i="1"/>
  <c r="B8" i="1" s="1"/>
  <c r="E8" i="1" s="1"/>
  <c r="A9" i="1"/>
  <c r="K9" i="1" s="1"/>
  <c r="M9" i="1" s="1"/>
  <c r="O9" i="1" s="1"/>
  <c r="P9" i="1" s="1"/>
  <c r="A10" i="1"/>
  <c r="K10" i="1" s="1"/>
  <c r="M10" i="1" s="1"/>
  <c r="O10" i="1" s="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AZ71" i="3" s="1"/>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A57" i="3" s="1"/>
  <c r="AZ57" i="3" s="1"/>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AZ50" i="3" s="1"/>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N5" i="3" s="1"/>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A182" i="3" s="1"/>
  <c r="AZ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L176" i="3" s="1"/>
  <c r="BN176" i="3"/>
  <c r="BM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A171" i="3" s="1"/>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L164" i="3" s="1"/>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AZ133" i="3" s="1"/>
  <c r="BC133" i="3"/>
  <c r="BB133" i="3"/>
  <c r="AX133" i="3"/>
  <c r="AW133" i="3"/>
  <c r="AV133" i="3"/>
  <c r="AC133" i="3"/>
  <c r="H133" i="3"/>
  <c r="BT132" i="3"/>
  <c r="BS132" i="3"/>
  <c r="BR132" i="3"/>
  <c r="BQ132" i="3"/>
  <c r="BP132" i="3"/>
  <c r="BL132" i="3" s="1"/>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L124" i="3" s="1"/>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AZ288" i="3" s="1"/>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A251" i="3" s="1"/>
  <c r="AZ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A242" i="3" s="1"/>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A238" i="3" s="1"/>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AZ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L310" i="3" s="1"/>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L309" i="3" s="1"/>
  <c r="BN309" i="3"/>
  <c r="BM309" i="3"/>
  <c r="BK309" i="3"/>
  <c r="BJ309" i="3"/>
  <c r="BI309" i="3"/>
  <c r="BH309" i="3"/>
  <c r="BG309" i="3"/>
  <c r="BF309" i="3"/>
  <c r="BE309" i="3"/>
  <c r="BD309" i="3"/>
  <c r="BC309" i="3"/>
  <c r="BB309" i="3"/>
  <c r="BA309" i="3" s="1"/>
  <c r="AZ309" i="3" s="1"/>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A306" i="3" s="1"/>
  <c r="AZ306" i="3" s="1"/>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L304" i="3" s="1"/>
  <c r="BN304" i="3"/>
  <c r="BM304" i="3"/>
  <c r="BK304" i="3"/>
  <c r="BJ304" i="3"/>
  <c r="BI304" i="3"/>
  <c r="BH304" i="3"/>
  <c r="BG304" i="3"/>
  <c r="BF304" i="3"/>
  <c r="BE304" i="3"/>
  <c r="BD304" i="3"/>
  <c r="BC304" i="3"/>
  <c r="BB304" i="3"/>
  <c r="BA304" i="3" s="1"/>
  <c r="AX304" i="3"/>
  <c r="AW304" i="3"/>
  <c r="AV304" i="3"/>
  <c r="AC304" i="3"/>
  <c r="G304" i="3" s="1"/>
  <c r="H304" i="3"/>
  <c r="BT303" i="3"/>
  <c r="BS303" i="3"/>
  <c r="BR303" i="3"/>
  <c r="BQ303" i="3"/>
  <c r="BP303" i="3"/>
  <c r="BO303" i="3"/>
  <c r="BN303" i="3"/>
  <c r="BL303" i="3" s="1"/>
  <c r="BM303" i="3"/>
  <c r="BK303" i="3"/>
  <c r="BJ303" i="3"/>
  <c r="BI303" i="3"/>
  <c r="BH303" i="3"/>
  <c r="BG303" i="3"/>
  <c r="BF303" i="3"/>
  <c r="BE303" i="3"/>
  <c r="BD303" i="3"/>
  <c r="BC303" i="3"/>
  <c r="BB303" i="3"/>
  <c r="AX303" i="3"/>
  <c r="AW303" i="3"/>
  <c r="AV303" i="3"/>
  <c r="AC303" i="3"/>
  <c r="H303" i="3"/>
  <c r="G303" i="3" s="1"/>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13" i="53"/>
  <c r="B29" i="72" s="1"/>
  <c r="R35" i="4"/>
  <c r="Q35" i="4"/>
  <c r="P35" i="4"/>
  <c r="O35" i="4"/>
  <c r="N35" i="4"/>
  <c r="M35" i="4"/>
  <c r="L35" i="4"/>
  <c r="K34" i="4"/>
  <c r="T34" i="4" s="1"/>
  <c r="G13"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J5" i="3" s="1"/>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L511" i="3" s="1"/>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AZ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L571" i="3" s="1"/>
  <c r="AZ571" i="3" s="1"/>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A580" i="3" s="1"/>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F14" i="40" s="1"/>
  <c r="AA14" i="40" s="1"/>
  <c r="B79" i="40"/>
  <c r="F13" i="40" s="1"/>
  <c r="AA13" i="40" s="1"/>
  <c r="B77" i="40"/>
  <c r="J12" i="40"/>
  <c r="M74" i="40"/>
  <c r="L74" i="40"/>
  <c r="K74" i="40"/>
  <c r="J74" i="40"/>
  <c r="I74" i="40"/>
  <c r="H74" i="40"/>
  <c r="G74" i="40"/>
  <c r="F74" i="40"/>
  <c r="E74" i="40"/>
  <c r="D74" i="40"/>
  <c r="C74" i="40"/>
  <c r="P43" i="40"/>
  <c r="P42" i="40"/>
  <c r="V41" i="40"/>
  <c r="T41" i="40"/>
  <c r="R41" i="40"/>
  <c r="P41" i="40"/>
  <c r="Q40" i="40"/>
  <c r="Z40" i="40" s="1"/>
  <c r="H40" i="40"/>
  <c r="F40" i="40"/>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F28" i="37" s="1"/>
  <c r="AA28" i="37" s="1"/>
  <c r="B84" i="37"/>
  <c r="H27" i="37" s="1"/>
  <c r="U27" i="37" s="1"/>
  <c r="B82" i="37"/>
  <c r="J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F26" i="37"/>
  <c r="AA26" i="37" s="1"/>
  <c r="Q25" i="37"/>
  <c r="Z25" i="37"/>
  <c r="J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11" i="36" s="1"/>
  <c r="AA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F34" i="35" s="1"/>
  <c r="AA34" i="35" s="1"/>
  <c r="B77" i="35"/>
  <c r="J25" i="35" s="1"/>
  <c r="W25" i="35" s="1"/>
  <c r="B75" i="35"/>
  <c r="J24" i="35"/>
  <c r="AC24" i="35" s="1"/>
  <c r="B73" i="35"/>
  <c r="F23" i="35" s="1"/>
  <c r="AA23" i="35" s="1"/>
  <c r="H23" i="35"/>
  <c r="U23" i="35" s="1"/>
  <c r="B57" i="35"/>
  <c r="B61" i="35"/>
  <c r="B59" i="35"/>
  <c r="J12" i="35" s="1"/>
  <c r="W12" i="35" s="1"/>
  <c r="B131" i="34"/>
  <c r="J47" i="34" s="1"/>
  <c r="AC47" i="34" s="1"/>
  <c r="B129" i="34"/>
  <c r="B127" i="34"/>
  <c r="J45" i="34" s="1"/>
  <c r="W45" i="34" s="1"/>
  <c r="B99" i="34"/>
  <c r="H32" i="34" s="1"/>
  <c r="B97" i="34"/>
  <c r="J31" i="34" s="1"/>
  <c r="B95" i="34"/>
  <c r="B93" i="34"/>
  <c r="J29" i="34" s="1"/>
  <c r="B75" i="34"/>
  <c r="H14" i="34" s="1"/>
  <c r="B73" i="34"/>
  <c r="F13" i="34" s="1"/>
  <c r="AA13" i="34" s="1"/>
  <c r="B71" i="34"/>
  <c r="B130" i="33"/>
  <c r="F46" i="33" s="1"/>
  <c r="AA46" i="33" s="1"/>
  <c r="B128" i="33"/>
  <c r="J45" i="33" s="1"/>
  <c r="W45" i="33" s="1"/>
  <c r="B126" i="33"/>
  <c r="H44" i="33" s="1"/>
  <c r="B98" i="33"/>
  <c r="B96" i="33"/>
  <c r="F30" i="33" s="1"/>
  <c r="B94" i="33"/>
  <c r="B74" i="33"/>
  <c r="J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J28" i="33" s="1"/>
  <c r="W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Q38" i="33"/>
  <c r="Z38" i="33" s="1"/>
  <c r="J38" i="33"/>
  <c r="AC38" i="33" s="1"/>
  <c r="H38" i="33"/>
  <c r="AB38" i="33" s="1"/>
  <c r="F38" i="33"/>
  <c r="Q37" i="33"/>
  <c r="Z37" i="33" s="1"/>
  <c r="Q36" i="33"/>
  <c r="Z36" i="33"/>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J31" i="21" s="1"/>
  <c r="AC31" i="21" s="1"/>
  <c r="B96" i="21"/>
  <c r="B94" i="21"/>
  <c r="J29" i="21" s="1"/>
  <c r="AC29" i="21" s="1"/>
  <c r="B92" i="21"/>
  <c r="H28" i="21" s="1"/>
  <c r="AB28" i="21" s="1"/>
  <c r="B90" i="21"/>
  <c r="B74" i="21"/>
  <c r="B72" i="21"/>
  <c r="H13" i="21" s="1"/>
  <c r="B70" i="21"/>
  <c r="H12" i="21" s="1"/>
  <c r="AB12" i="21" s="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F45" i="39"/>
  <c r="S45" i="39" s="1"/>
  <c r="J45" i="39"/>
  <c r="H36" i="39"/>
  <c r="J35" i="39"/>
  <c r="AC35" i="39" s="1"/>
  <c r="U9" i="39"/>
  <c r="W40" i="39"/>
  <c r="U30" i="37"/>
  <c r="E103" i="37"/>
  <c r="F103" i="37" s="1"/>
  <c r="G103" i="37" s="1"/>
  <c r="H103" i="37" s="1"/>
  <c r="I103" i="37" s="1"/>
  <c r="J103" i="37" s="1"/>
  <c r="K103" i="37" s="1"/>
  <c r="L103" i="37" s="1"/>
  <c r="M103" i="37" s="1"/>
  <c r="U14" i="37"/>
  <c r="F29" i="36"/>
  <c r="AA29" i="36" s="1"/>
  <c r="F16" i="36"/>
  <c r="AA16" i="36" s="1"/>
  <c r="U9" i="36"/>
  <c r="U31" i="36"/>
  <c r="J33" i="36"/>
  <c r="W33" i="36" s="1"/>
  <c r="H22" i="35"/>
  <c r="AB22" i="35" s="1"/>
  <c r="AC27" i="35"/>
  <c r="W28" i="35"/>
  <c r="S34" i="35"/>
  <c r="W34" i="35"/>
  <c r="W36" i="35"/>
  <c r="S31" i="35"/>
  <c r="F36" i="34"/>
  <c r="J35" i="34"/>
  <c r="W9" i="34"/>
  <c r="H39" i="33"/>
  <c r="AB39" i="33" s="1"/>
  <c r="U33" i="33"/>
  <c r="S40" i="33"/>
  <c r="W33" i="33"/>
  <c r="S27" i="35"/>
  <c r="F11" i="40"/>
  <c r="AA11" i="40" s="1"/>
  <c r="H11" i="40"/>
  <c r="AB11" i="40" s="1"/>
  <c r="AB39" i="40"/>
  <c r="AC40" i="40"/>
  <c r="AA9" i="40"/>
  <c r="U9" i="40"/>
  <c r="S34" i="40"/>
  <c r="U38" i="40"/>
  <c r="U34" i="40"/>
  <c r="F42" i="39"/>
  <c r="AA42" i="39" s="1"/>
  <c r="F41" i="39"/>
  <c r="H40" i="39"/>
  <c r="AB40" i="39" s="1"/>
  <c r="H39" i="39"/>
  <c r="U39" i="39" s="1"/>
  <c r="S38" i="39"/>
  <c r="S34" i="39"/>
  <c r="H34" i="39"/>
  <c r="U34" i="39" s="1"/>
  <c r="E109" i="39"/>
  <c r="F31" i="39"/>
  <c r="AA31" i="39" s="1"/>
  <c r="E101" i="39"/>
  <c r="F101" i="39" s="1"/>
  <c r="G101" i="39" s="1"/>
  <c r="H19" i="39"/>
  <c r="AB19" i="39" s="1"/>
  <c r="F19" i="39"/>
  <c r="AA19" i="39" s="1"/>
  <c r="H17" i="39"/>
  <c r="F17" i="39"/>
  <c r="AA17" i="39" s="1"/>
  <c r="J23" i="40"/>
  <c r="AC23" i="40" s="1"/>
  <c r="F21" i="40"/>
  <c r="AA21" i="40" s="1"/>
  <c r="J21" i="40"/>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S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W32" i="40"/>
  <c r="F37" i="39"/>
  <c r="AA37" i="39"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34" i="36"/>
  <c r="S34" i="36" s="1"/>
  <c r="S10" i="36"/>
  <c r="S8" i="36"/>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S15" i="34" s="1"/>
  <c r="J15" i="34"/>
  <c r="W15" i="34" s="1"/>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S12" i="36"/>
  <c r="AA12" i="36"/>
  <c r="AB30" i="36"/>
  <c r="U33" i="35"/>
  <c r="F29" i="35"/>
  <c r="S29" i="35" s="1"/>
  <c r="H29" i="35"/>
  <c r="AB29" i="35" s="1"/>
  <c r="H33" i="37"/>
  <c r="AB33" i="37" s="1"/>
  <c r="F33" i="37"/>
  <c r="AA33" i="37" s="1"/>
  <c r="U34" i="37"/>
  <c r="W33" i="37"/>
  <c r="S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AC38" i="34"/>
  <c r="AA38" i="34"/>
  <c r="J37" i="34"/>
  <c r="J11" i="33"/>
  <c r="W11" i="33" s="1"/>
  <c r="U23" i="40"/>
  <c r="G123" i="21"/>
  <c r="H123" i="21" s="1"/>
  <c r="I123" i="21" s="1"/>
  <c r="J123" i="21" s="1"/>
  <c r="K123" i="21" s="1"/>
  <c r="L123" i="21" s="1"/>
  <c r="M123" i="21" s="1"/>
  <c r="J42" i="21"/>
  <c r="AC42" i="21" s="1"/>
  <c r="H42" i="21"/>
  <c r="U42" i="21" s="1"/>
  <c r="J44" i="34"/>
  <c r="F44" i="34"/>
  <c r="J10" i="35"/>
  <c r="W10" i="35" s="1"/>
  <c r="J14" i="21"/>
  <c r="W14" i="21" s="1"/>
  <c r="F14" i="21"/>
  <c r="S14" i="21" s="1"/>
  <c r="H14" i="21"/>
  <c r="U14" i="21" s="1"/>
  <c r="F28" i="21"/>
  <c r="AA28" i="21" s="1"/>
  <c r="J28" i="21"/>
  <c r="W28" i="21" s="1"/>
  <c r="H30" i="21"/>
  <c r="U30" i="21" s="1"/>
  <c r="F30" i="21"/>
  <c r="S30" i="21" s="1"/>
  <c r="J30" i="21"/>
  <c r="AC30" i="21" s="1"/>
  <c r="J44" i="21"/>
  <c r="AC44" i="21" s="1"/>
  <c r="F44" i="21"/>
  <c r="AA44" i="21" s="1"/>
  <c r="H46" i="21"/>
  <c r="U46" i="21" s="1"/>
  <c r="J46" i="21"/>
  <c r="W46" i="21" s="1"/>
  <c r="F46" i="21"/>
  <c r="AA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13" i="33"/>
  <c r="H13" i="33"/>
  <c r="F13" i="33"/>
  <c r="S13" i="33" s="1"/>
  <c r="J29" i="33"/>
  <c r="AC29" i="33" s="1"/>
  <c r="H29" i="33"/>
  <c r="U29" i="33" s="1"/>
  <c r="F29" i="33"/>
  <c r="S29" i="33" s="1"/>
  <c r="J31" i="33"/>
  <c r="W31" i="33" s="1"/>
  <c r="H31" i="33"/>
  <c r="U31" i="33" s="1"/>
  <c r="F31" i="33"/>
  <c r="H45" i="33"/>
  <c r="U45" i="33" s="1"/>
  <c r="F45" i="33"/>
  <c r="AA45" i="33" s="1"/>
  <c r="J14" i="34"/>
  <c r="W14" i="34" s="1"/>
  <c r="F14" i="34"/>
  <c r="H30" i="34"/>
  <c r="F30" i="34"/>
  <c r="S30" i="34" s="1"/>
  <c r="J30" i="34"/>
  <c r="W30" i="34" s="1"/>
  <c r="F32" i="34"/>
  <c r="J32" i="34"/>
  <c r="W32" i="34" s="1"/>
  <c r="H46" i="34"/>
  <c r="U46" i="34" s="1"/>
  <c r="F46" i="34"/>
  <c r="J46" i="34"/>
  <c r="H11" i="35"/>
  <c r="U11" i="35" s="1"/>
  <c r="J11" i="35"/>
  <c r="AC11" i="35" s="1"/>
  <c r="F11" i="35"/>
  <c r="S11" i="35" s="1"/>
  <c r="J26" i="36"/>
  <c r="W26" i="36" s="1"/>
  <c r="H28" i="36"/>
  <c r="U28" i="36" s="1"/>
  <c r="H32" i="36"/>
  <c r="AB32" i="36" s="1"/>
  <c r="J11" i="36"/>
  <c r="H11" i="36"/>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F40" i="37"/>
  <c r="AA40" i="37" s="1"/>
  <c r="H14" i="33"/>
  <c r="U14" i="33" s="1"/>
  <c r="F14" i="33"/>
  <c r="S14" i="33" s="1"/>
  <c r="H30" i="33"/>
  <c r="AB30" i="33" s="1"/>
  <c r="J30" i="33"/>
  <c r="J44" i="33"/>
  <c r="F44" i="33"/>
  <c r="S44" i="33" s="1"/>
  <c r="H46" i="33"/>
  <c r="AB46" i="33" s="1"/>
  <c r="H13" i="34"/>
  <c r="J13" i="34"/>
  <c r="W13" i="34" s="1"/>
  <c r="F29" i="34"/>
  <c r="S29" i="34" s="1"/>
  <c r="H29" i="34"/>
  <c r="AB29" i="34" s="1"/>
  <c r="H31" i="34"/>
  <c r="AB31" i="34" s="1"/>
  <c r="H45" i="34"/>
  <c r="U45" i="34" s="1"/>
  <c r="F45" i="34"/>
  <c r="S45" i="34" s="1"/>
  <c r="H47" i="34"/>
  <c r="U47" i="34" s="1"/>
  <c r="F13" i="35"/>
  <c r="J13" i="35"/>
  <c r="AC13" i="35" s="1"/>
  <c r="H13" i="35"/>
  <c r="U13" i="35" s="1"/>
  <c r="H25" i="35"/>
  <c r="AB25" i="35" s="1"/>
  <c r="J35" i="35"/>
  <c r="AC35" i="35" s="1"/>
  <c r="H35" i="35"/>
  <c r="AB35" i="35" s="1"/>
  <c r="J25" i="36"/>
  <c r="W25" i="36" s="1"/>
  <c r="F25" i="36"/>
  <c r="S25" i="36" s="1"/>
  <c r="H13" i="37"/>
  <c r="AB13" i="37" s="1"/>
  <c r="F13" i="37"/>
  <c r="S13" i="37" s="1"/>
  <c r="J13" i="37"/>
  <c r="W13" i="37" s="1"/>
  <c r="J28" i="37"/>
  <c r="AC28" i="37" s="1"/>
  <c r="H28" i="37"/>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F14" i="37"/>
  <c r="S14" i="37" s="1"/>
  <c r="F27" i="37"/>
  <c r="AA27" i="37" s="1"/>
  <c r="H13" i="39"/>
  <c r="H14" i="40"/>
  <c r="AB14" i="40" s="1"/>
  <c r="J14" i="40"/>
  <c r="W14" i="40" s="1"/>
  <c r="J14" i="37"/>
  <c r="AC14" i="37" s="1"/>
  <c r="J27" i="37"/>
  <c r="AC27" i="37" s="1"/>
  <c r="AA44" i="33"/>
  <c r="U46" i="33"/>
  <c r="J36" i="37"/>
  <c r="AC36" i="37" s="1"/>
  <c r="J10" i="36"/>
  <c r="AC10" i="36" s="1"/>
  <c r="AB30" i="21"/>
  <c r="AA14" i="37"/>
  <c r="S11" i="36"/>
  <c r="W11" i="35"/>
  <c r="AB46" i="34"/>
  <c r="AC30" i="34"/>
  <c r="S45" i="33"/>
  <c r="AB45" i="33"/>
  <c r="AB31" i="33"/>
  <c r="W29" i="33"/>
  <c r="AC28" i="21"/>
  <c r="F17" i="21"/>
  <c r="AA17" i="21" s="1"/>
  <c r="H17" i="21"/>
  <c r="AB17" i="21" s="1"/>
  <c r="F15" i="21"/>
  <c r="S15" i="21" s="1"/>
  <c r="AB11" i="21"/>
  <c r="J41" i="39"/>
  <c r="W41" i="39" s="1"/>
  <c r="G540" i="3"/>
  <c r="G535" i="3"/>
  <c r="G532" i="3"/>
  <c r="G527" i="3"/>
  <c r="G518" i="3"/>
  <c r="G510" i="3"/>
  <c r="G504" i="3"/>
  <c r="G496" i="3"/>
  <c r="G584" i="3"/>
  <c r="G568" i="3"/>
  <c r="G550" i="3"/>
  <c r="BL576" i="3"/>
  <c r="BL574" i="3"/>
  <c r="G533" i="3"/>
  <c r="G525" i="3"/>
  <c r="BA572" i="3"/>
  <c r="BA540" i="3"/>
  <c r="BA504" i="3"/>
  <c r="BA583" i="3"/>
  <c r="BA571" i="3"/>
  <c r="BA561" i="3"/>
  <c r="BA513" i="3"/>
  <c r="G583" i="3"/>
  <c r="G577" i="3"/>
  <c r="G575" i="3"/>
  <c r="G573" i="3"/>
  <c r="G569" i="3"/>
  <c r="AC557" i="3"/>
  <c r="G557" i="3"/>
  <c r="BQ557" i="3"/>
  <c r="BQ583" i="3"/>
  <c r="BQ581" i="3"/>
  <c r="BQ579" i="3"/>
  <c r="BQ577" i="3"/>
  <c r="BQ575" i="3"/>
  <c r="BQ573" i="3"/>
  <c r="BQ571" i="3"/>
  <c r="BQ569" i="3"/>
  <c r="BQ567" i="3"/>
  <c r="BQ565" i="3"/>
  <c r="BL565" i="3" s="1"/>
  <c r="BQ563" i="3"/>
  <c r="BQ561" i="3"/>
  <c r="BQ559" i="3"/>
  <c r="BL559" i="3" s="1"/>
  <c r="G549" i="3"/>
  <c r="G543" i="3"/>
  <c r="G541" i="3"/>
  <c r="BQ555" i="3"/>
  <c r="BQ553" i="3"/>
  <c r="BQ551" i="3"/>
  <c r="BQ549" i="3"/>
  <c r="BQ547" i="3"/>
  <c r="BQ545" i="3"/>
  <c r="BQ543" i="3"/>
  <c r="BQ541" i="3"/>
  <c r="BL541" i="3" s="1"/>
  <c r="BQ539" i="3"/>
  <c r="BQ537" i="3"/>
  <c r="BQ535" i="3"/>
  <c r="BQ533" i="3"/>
  <c r="BL533" i="3" s="1"/>
  <c r="BQ531" i="3"/>
  <c r="BQ529" i="3"/>
  <c r="BQ527" i="3"/>
  <c r="BQ525" i="3"/>
  <c r="BL525" i="3" s="1"/>
  <c r="BQ523" i="3"/>
  <c r="AC521" i="3"/>
  <c r="G521" i="3"/>
  <c r="BQ521" i="3"/>
  <c r="G519" i="3"/>
  <c r="G513" i="3"/>
  <c r="G511" i="3"/>
  <c r="BQ519" i="3"/>
  <c r="BQ517" i="3"/>
  <c r="BQ515" i="3"/>
  <c r="BQ513" i="3"/>
  <c r="BQ511" i="3"/>
  <c r="AC509" i="3"/>
  <c r="BQ509" i="3"/>
  <c r="BL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3" i="36"/>
  <c r="U35" i="35"/>
  <c r="AA12" i="35"/>
  <c r="W23" i="35"/>
  <c r="U33" i="37"/>
  <c r="AC8" i="37"/>
  <c r="U26" i="37"/>
  <c r="W47" i="34"/>
  <c r="AB37" i="34"/>
  <c r="AC36" i="34"/>
  <c r="AA13" i="33"/>
  <c r="AC31" i="33"/>
  <c r="AC45" i="33"/>
  <c r="U11" i="33"/>
  <c r="U19" i="21"/>
  <c r="W44" i="21"/>
  <c r="U26" i="21"/>
  <c r="U12" i="21"/>
  <c r="AB38" i="21"/>
  <c r="F43" i="33"/>
  <c r="AA43" i="33" s="1"/>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AA25" i="21"/>
  <c r="C12" i="43"/>
  <c r="H19" i="40"/>
  <c r="U19" i="40" s="1"/>
  <c r="F19" i="40"/>
  <c r="S19" i="40" s="1"/>
  <c r="S14"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W9"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G524" i="3"/>
  <c r="G305"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s="1"/>
  <c r="BL378" i="3"/>
  <c r="G379" i="3"/>
  <c r="BA380" i="3"/>
  <c r="G388" i="3"/>
  <c r="BL389" i="3"/>
  <c r="G390" i="3"/>
  <c r="BL391" i="3"/>
  <c r="BA393" i="3"/>
  <c r="BA394" i="3"/>
  <c r="BL394" i="3"/>
  <c r="BA115" i="3"/>
  <c r="BL116" i="3"/>
  <c r="BL120" i="3"/>
  <c r="G121" i="3"/>
  <c r="G125" i="3"/>
  <c r="BA127" i="3"/>
  <c r="G129" i="3"/>
  <c r="G133" i="3"/>
  <c r="BA135" i="3"/>
  <c r="AZ135" i="3" s="1"/>
  <c r="BL140" i="3"/>
  <c r="G141" i="3"/>
  <c r="BL144" i="3"/>
  <c r="G145" i="3"/>
  <c r="BA147" i="3"/>
  <c r="G149" i="3"/>
  <c r="BA151" i="3"/>
  <c r="AZ151" i="3" s="1"/>
  <c r="BL152" i="3"/>
  <c r="BA155" i="3"/>
  <c r="BL156" i="3"/>
  <c r="G157" i="3"/>
  <c r="BL160" i="3"/>
  <c r="G161" i="3"/>
  <c r="G165" i="3"/>
  <c r="BA167" i="3"/>
  <c r="G169" i="3"/>
  <c r="G173" i="3"/>
  <c r="BA175" i="3"/>
  <c r="AZ175" i="3" s="1"/>
  <c r="G177" i="3"/>
  <c r="G181" i="3"/>
  <c r="BL188" i="3"/>
  <c r="BA191" i="3"/>
  <c r="BL192" i="3"/>
  <c r="G193" i="3"/>
  <c r="BL196" i="3"/>
  <c r="G197" i="3"/>
  <c r="BA199" i="3"/>
  <c r="AZ199" i="3" s="1"/>
  <c r="G201" i="3"/>
  <c r="BA203" i="3"/>
  <c r="BL204" i="3"/>
  <c r="G534" i="3"/>
  <c r="G512" i="3"/>
  <c r="G506" i="3"/>
  <c r="G498" i="3"/>
  <c r="G16" i="3"/>
  <c r="G15" i="3"/>
  <c r="BA305" i="3"/>
  <c r="BA312" i="3"/>
  <c r="AZ312" i="3" s="1"/>
  <c r="G314" i="3"/>
  <c r="BL318" i="3"/>
  <c r="BA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BL344" i="3"/>
  <c r="BA346" i="3"/>
  <c r="BA347" i="3"/>
  <c r="BL347" i="3"/>
  <c r="G350" i="3"/>
  <c r="BA351" i="3"/>
  <c r="BL351" i="3"/>
  <c r="AZ351" i="3" s="1"/>
  <c r="G352" i="3"/>
  <c r="G354" i="3"/>
  <c r="BA355" i="3"/>
  <c r="AZ355" i="3" s="1"/>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BA16" i="3"/>
  <c r="AZ16" i="3" s="1"/>
  <c r="G308" i="3"/>
  <c r="BL315" i="3"/>
  <c r="BA318" i="3"/>
  <c r="BL319" i="3"/>
  <c r="G320" i="3"/>
  <c r="BA322" i="3"/>
  <c r="BL323" i="3"/>
  <c r="G324" i="3"/>
  <c r="BA326" i="3"/>
  <c r="BL327" i="3"/>
  <c r="G328" i="3"/>
  <c r="BA330" i="3"/>
  <c r="AZ330" i="3" s="1"/>
  <c r="BL331" i="3"/>
  <c r="G332" i="3"/>
  <c r="BA334" i="3"/>
  <c r="AZ334" i="3"/>
  <c r="BL335" i="3"/>
  <c r="AZ335" i="3" s="1"/>
  <c r="G336" i="3"/>
  <c r="BA338" i="3"/>
  <c r="AZ338" i="3"/>
  <c r="BL339" i="3"/>
  <c r="AZ339" i="3" s="1"/>
  <c r="G340" i="3"/>
  <c r="BL343" i="3"/>
  <c r="G344" i="3"/>
  <c r="G348" i="3"/>
  <c r="G355" i="3"/>
  <c r="G342" i="3"/>
  <c r="BL345" i="3"/>
  <c r="AZ345" i="3" s="1"/>
  <c r="G346" i="3"/>
  <c r="BL349" i="3"/>
  <c r="BL352" i="3"/>
  <c r="AZ352" i="3" s="1"/>
  <c r="G353" i="3"/>
  <c r="BA357" i="3"/>
  <c r="AZ357" i="3" s="1"/>
  <c r="BL358" i="3"/>
  <c r="G359" i="3"/>
  <c r="BA361" i="3"/>
  <c r="BL362" i="3"/>
  <c r="G363" i="3"/>
  <c r="BA365" i="3"/>
  <c r="AZ365" i="3" s="1"/>
  <c r="BL366" i="3"/>
  <c r="G367" i="3"/>
  <c r="BA369" i="3"/>
  <c r="AZ369" i="3"/>
  <c r="BL370" i="3"/>
  <c r="G371" i="3"/>
  <c r="BA373" i="3"/>
  <c r="AZ373" i="3"/>
  <c r="BL374" i="3"/>
  <c r="AZ374" i="3" s="1"/>
  <c r="G375" i="3"/>
  <c r="BA377" i="3"/>
  <c r="AZ377" i="3" s="1"/>
  <c r="AZ370" i="3"/>
  <c r="BA379" i="3"/>
  <c r="AZ379" i="3" s="1"/>
  <c r="BL380" i="3"/>
  <c r="G381" i="3"/>
  <c r="BA383" i="3"/>
  <c r="BL384" i="3"/>
  <c r="G385" i="3"/>
  <c r="BA387" i="3"/>
  <c r="AZ387" i="3" s="1"/>
  <c r="BL388" i="3"/>
  <c r="G389" i="3"/>
  <c r="BA391" i="3"/>
  <c r="AZ391" i="3" s="1"/>
  <c r="BL392" i="3"/>
  <c r="G393" i="3"/>
  <c r="G548" i="3"/>
  <c r="G520" i="3"/>
  <c r="AZ343" i="3"/>
  <c r="G17" i="3"/>
  <c r="BA17" i="3"/>
  <c r="AZ356" i="3"/>
  <c r="AZ360" i="3"/>
  <c r="BA15" i="3"/>
  <c r="AZ384" i="3"/>
  <c r="AZ394" i="3"/>
  <c r="BL493" i="3"/>
  <c r="AZ390" i="3"/>
  <c r="AZ382" i="3"/>
  <c r="U36" i="40"/>
  <c r="N4" i="43"/>
  <c r="F81" i="43"/>
  <c r="H83" i="43" s="1"/>
  <c r="H113" i="43"/>
  <c r="N7" i="43"/>
  <c r="F70" i="43"/>
  <c r="H73" i="43" s="1"/>
  <c r="M6" i="43"/>
  <c r="M11" i="43"/>
  <c r="I17" i="43"/>
  <c r="F35" i="43"/>
  <c r="F6" i="1"/>
  <c r="S14" i="35"/>
  <c r="U43" i="21"/>
  <c r="U10" i="2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H75" i="43"/>
  <c r="H74"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AE9" i="1"/>
  <c r="D62" i="43" l="1"/>
  <c r="D65" i="43"/>
  <c r="D64" i="43"/>
  <c r="D60" i="43"/>
  <c r="E59" i="43" s="1"/>
  <c r="B57" i="43" s="1"/>
  <c r="G20" i="43"/>
  <c r="C20" i="43" s="1"/>
  <c r="C21" i="39"/>
  <c r="AZ94" i="3"/>
  <c r="AZ242" i="3"/>
  <c r="BL308" i="3"/>
  <c r="AZ308" i="3" s="1"/>
  <c r="BA209" i="3"/>
  <c r="BL212" i="3"/>
  <c r="BA224" i="3"/>
  <c r="BA234" i="3"/>
  <c r="BL237" i="3"/>
  <c r="BL241" i="3"/>
  <c r="G247" i="3"/>
  <c r="BL256" i="3"/>
  <c r="BL268" i="3"/>
  <c r="BA26" i="3"/>
  <c r="BA32" i="3"/>
  <c r="BA33" i="3"/>
  <c r="AZ33" i="3" s="1"/>
  <c r="BL33" i="3"/>
  <c r="BA106" i="3"/>
  <c r="AZ321" i="3"/>
  <c r="BL313" i="3"/>
  <c r="AZ313" i="3" s="1"/>
  <c r="BA316" i="3"/>
  <c r="BA208" i="3"/>
  <c r="BA212" i="3"/>
  <c r="BA217" i="3"/>
  <c r="G227" i="3"/>
  <c r="BA228" i="3"/>
  <c r="AZ228" i="3" s="1"/>
  <c r="BA230" i="3"/>
  <c r="BL230" i="3"/>
  <c r="BL236" i="3"/>
  <c r="BA237" i="3"/>
  <c r="AZ237" i="3" s="1"/>
  <c r="BL240" i="3"/>
  <c r="BA246" i="3"/>
  <c r="BL249" i="3"/>
  <c r="BL255" i="3"/>
  <c r="G259" i="3"/>
  <c r="BA259" i="3"/>
  <c r="BA277" i="3"/>
  <c r="BL279" i="3"/>
  <c r="BA116" i="3"/>
  <c r="AZ116" i="3" s="1"/>
  <c r="G120" i="3"/>
  <c r="BA128" i="3"/>
  <c r="AZ128" i="3" s="1"/>
  <c r="BL128" i="3"/>
  <c r="BA130" i="3"/>
  <c r="BA132" i="3"/>
  <c r="AZ132" i="3" s="1"/>
  <c r="AZ148" i="3"/>
  <c r="BL168" i="3"/>
  <c r="BL205" i="3"/>
  <c r="AZ120" i="3"/>
  <c r="BQ5" i="3"/>
  <c r="BL221" i="3"/>
  <c r="BA239" i="3"/>
  <c r="BA247" i="3"/>
  <c r="BL265" i="3"/>
  <c r="BA269" i="3"/>
  <c r="AZ269" i="3" s="1"/>
  <c r="G36" i="3"/>
  <c r="BA307" i="3"/>
  <c r="AZ307" i="3" s="1"/>
  <c r="BL208" i="3"/>
  <c r="G212" i="3"/>
  <c r="AZ322" i="3"/>
  <c r="AZ191" i="3"/>
  <c r="G215" i="3"/>
  <c r="BA262" i="3"/>
  <c r="G266" i="3"/>
  <c r="BA267" i="3"/>
  <c r="G271" i="3"/>
  <c r="G275" i="3"/>
  <c r="BA276" i="3"/>
  <c r="BL278" i="3"/>
  <c r="G279" i="3"/>
  <c r="G292" i="3"/>
  <c r="BA292" i="3"/>
  <c r="BL295" i="3"/>
  <c r="BL299" i="3"/>
  <c r="BL113" i="3"/>
  <c r="BA125" i="3"/>
  <c r="BL138" i="3"/>
  <c r="BL142" i="3"/>
  <c r="BL146" i="3"/>
  <c r="BA173" i="3"/>
  <c r="BA179" i="3"/>
  <c r="G180" i="3"/>
  <c r="BA185" i="3"/>
  <c r="AZ185" i="3" s="1"/>
  <c r="BL185" i="3"/>
  <c r="G188" i="3"/>
  <c r="BL200" i="3"/>
  <c r="BL108" i="3"/>
  <c r="BA148" i="3"/>
  <c r="BA161" i="3"/>
  <c r="BA166" i="3"/>
  <c r="G170" i="3"/>
  <c r="G175" i="3"/>
  <c r="BA198" i="3"/>
  <c r="AZ198" i="3" s="1"/>
  <c r="BL198" i="3"/>
  <c r="BL22" i="3"/>
  <c r="G24" i="3"/>
  <c r="BA25" i="3"/>
  <c r="BL27" i="3"/>
  <c r="BA29" i="3"/>
  <c r="BA39" i="3"/>
  <c r="BA44" i="3"/>
  <c r="AZ44" i="3" s="1"/>
  <c r="BL48" i="3"/>
  <c r="BL52" i="3"/>
  <c r="BL60" i="3"/>
  <c r="BA67" i="3"/>
  <c r="BL68" i="3"/>
  <c r="BL82" i="3"/>
  <c r="BA86" i="3"/>
  <c r="BA88" i="3"/>
  <c r="BL88" i="3"/>
  <c r="BA100" i="3"/>
  <c r="BL103" i="3"/>
  <c r="BL111" i="3"/>
  <c r="AZ318" i="3"/>
  <c r="AZ329" i="3"/>
  <c r="AZ320" i="3"/>
  <c r="AZ325" i="3"/>
  <c r="BA303" i="3"/>
  <c r="AZ303" i="3" s="1"/>
  <c r="BL314" i="3"/>
  <c r="AZ314" i="3" s="1"/>
  <c r="G208" i="3"/>
  <c r="BA214" i="3"/>
  <c r="AZ214" i="3" s="1"/>
  <c r="BL214" i="3"/>
  <c r="BL215" i="3"/>
  <c r="G219" i="3"/>
  <c r="BL223" i="3"/>
  <c r="G224" i="3"/>
  <c r="BA226" i="3"/>
  <c r="BL229" i="3"/>
  <c r="G230" i="3"/>
  <c r="G232" i="3"/>
  <c r="G233" i="3"/>
  <c r="G234" i="3"/>
  <c r="G236" i="3"/>
  <c r="BA236" i="3"/>
  <c r="BL239" i="3"/>
  <c r="G240" i="3"/>
  <c r="BA254" i="3"/>
  <c r="G257" i="3"/>
  <c r="BL260" i="3"/>
  <c r="G261" i="3"/>
  <c r="BL264" i="3"/>
  <c r="BA271" i="3"/>
  <c r="AZ271" i="3" s="1"/>
  <c r="BL271" i="3"/>
  <c r="BL274" i="3"/>
  <c r="BL276" i="3"/>
  <c r="BA278" i="3"/>
  <c r="BL280" i="3"/>
  <c r="G287" i="3"/>
  <c r="BL294" i="3"/>
  <c r="AZ294" i="3" s="1"/>
  <c r="BL298" i="3"/>
  <c r="G299" i="3"/>
  <c r="BL302" i="3"/>
  <c r="BL137" i="3"/>
  <c r="G138" i="3"/>
  <c r="BL141" i="3"/>
  <c r="BL145" i="3"/>
  <c r="BL155" i="3"/>
  <c r="AZ155" i="3" s="1"/>
  <c r="BA165" i="3"/>
  <c r="BA169" i="3"/>
  <c r="BA178" i="3"/>
  <c r="BA186" i="3"/>
  <c r="BA190" i="3"/>
  <c r="BL203" i="3"/>
  <c r="AZ203" i="3" s="1"/>
  <c r="G32" i="3"/>
  <c r="BL34" i="3"/>
  <c r="BA38" i="3"/>
  <c r="BL40" i="3"/>
  <c r="G41" i="3"/>
  <c r="BA43" i="3"/>
  <c r="G47" i="3"/>
  <c r="G48" i="3"/>
  <c r="BA51" i="3"/>
  <c r="G54" i="3"/>
  <c r="BA58" i="3"/>
  <c r="BA63" i="3"/>
  <c r="BA65" i="3"/>
  <c r="BL65" i="3"/>
  <c r="BL66" i="3"/>
  <c r="G68" i="3"/>
  <c r="BA76" i="3"/>
  <c r="BA77" i="3"/>
  <c r="AZ77" i="3" s="1"/>
  <c r="BL77" i="3"/>
  <c r="BL80" i="3"/>
  <c r="BL87" i="3"/>
  <c r="G88" i="3"/>
  <c r="BA91" i="3"/>
  <c r="BL94" i="3"/>
  <c r="BA96" i="3"/>
  <c r="BA98" i="3"/>
  <c r="AZ98" i="3" s="1"/>
  <c r="BL98" i="3"/>
  <c r="G103" i="3"/>
  <c r="G280" i="3"/>
  <c r="BA286" i="3"/>
  <c r="BA297" i="3"/>
  <c r="BL297" i="3"/>
  <c r="BL300" i="3"/>
  <c r="BL115" i="3"/>
  <c r="AZ115" i="3" s="1"/>
  <c r="G118" i="3"/>
  <c r="BA118" i="3"/>
  <c r="G123" i="3"/>
  <c r="BA124" i="3"/>
  <c r="AZ124" i="3" s="1"/>
  <c r="BL126" i="3"/>
  <c r="G127" i="3"/>
  <c r="BA136" i="3"/>
  <c r="AZ136" i="3" s="1"/>
  <c r="BL139" i="3"/>
  <c r="AZ139" i="3" s="1"/>
  <c r="BA150" i="3"/>
  <c r="G155" i="3"/>
  <c r="G163" i="3"/>
  <c r="BA164" i="3"/>
  <c r="AZ164" i="3" s="1"/>
  <c r="BL167" i="3"/>
  <c r="AZ167" i="3" s="1"/>
  <c r="BA168" i="3"/>
  <c r="BL171" i="3"/>
  <c r="AZ171" i="3" s="1"/>
  <c r="G172" i="3"/>
  <c r="BA174" i="3"/>
  <c r="G178" i="3"/>
  <c r="G182" i="3"/>
  <c r="G184" i="3"/>
  <c r="BL187" i="3"/>
  <c r="AZ187" i="3" s="1"/>
  <c r="BL191" i="3"/>
  <c r="BA192" i="3"/>
  <c r="AZ192" i="3" s="1"/>
  <c r="BL195" i="3"/>
  <c r="AZ195" i="3" s="1"/>
  <c r="G196" i="3"/>
  <c r="BA202" i="3"/>
  <c r="G206" i="3"/>
  <c r="G22" i="3"/>
  <c r="BA23" i="3"/>
  <c r="G27" i="3"/>
  <c r="BL31" i="3"/>
  <c r="G33" i="3"/>
  <c r="G38" i="3"/>
  <c r="G39" i="3"/>
  <c r="BL44" i="3"/>
  <c r="BA45" i="3"/>
  <c r="AZ45" i="3" s="1"/>
  <c r="G50" i="3"/>
  <c r="BL53" i="3"/>
  <c r="BL56" i="3"/>
  <c r="G57" i="3"/>
  <c r="BL61" i="3"/>
  <c r="G64" i="3"/>
  <c r="G71" i="3"/>
  <c r="G87" i="3"/>
  <c r="BA87" i="3"/>
  <c r="AZ87" i="3" s="1"/>
  <c r="BA89" i="3"/>
  <c r="BL92" i="3"/>
  <c r="BA93" i="3"/>
  <c r="AZ93" i="3" s="1"/>
  <c r="BL96" i="3"/>
  <c r="G97" i="3"/>
  <c r="BA104" i="3"/>
  <c r="BL104" i="3"/>
  <c r="BL105" i="3"/>
  <c r="G108" i="3"/>
  <c r="G109" i="3"/>
  <c r="G110" i="3"/>
  <c r="G111" i="3"/>
  <c r="BL112" i="3"/>
  <c r="BG5" i="3"/>
  <c r="BH5" i="3"/>
  <c r="H87" i="43"/>
  <c r="F39" i="43"/>
  <c r="J17" i="43"/>
  <c r="E17" i="43"/>
  <c r="F36" i="43"/>
  <c r="B61" i="72"/>
  <c r="G11" i="1"/>
  <c r="G7" i="1"/>
  <c r="AZ511" i="3"/>
  <c r="AZ533" i="3"/>
  <c r="AC40" i="37"/>
  <c r="W40" i="37"/>
  <c r="AB13" i="33"/>
  <c r="U13" i="33"/>
  <c r="U23" i="34"/>
  <c r="AB23" i="34"/>
  <c r="AB34" i="21"/>
  <c r="U34" i="21"/>
  <c r="J27" i="21"/>
  <c r="W27" i="21" s="1"/>
  <c r="F27" i="21"/>
  <c r="AA27" i="21" s="1"/>
  <c r="H27" i="21"/>
  <c r="AB27" i="21" s="1"/>
  <c r="B74" i="43"/>
  <c r="C27" i="39"/>
  <c r="AA38" i="33"/>
  <c r="S38" i="33"/>
  <c r="AB34" i="34"/>
  <c r="U34" i="34"/>
  <c r="BA553" i="3"/>
  <c r="BL546" i="3"/>
  <c r="BA543" i="3"/>
  <c r="BL500" i="3"/>
  <c r="BF5" i="3"/>
  <c r="BA496" i="3"/>
  <c r="H5" i="3"/>
  <c r="AB11" i="35"/>
  <c r="W13" i="40"/>
  <c r="AC13" i="40"/>
  <c r="U33" i="40"/>
  <c r="AB33" i="40"/>
  <c r="U11" i="36"/>
  <c r="AB11" i="36"/>
  <c r="AA15" i="34"/>
  <c r="AB36" i="39"/>
  <c r="U36" i="39"/>
  <c r="BL587" i="3"/>
  <c r="BA587" i="3"/>
  <c r="AZ587" i="3" s="1"/>
  <c r="BA585" i="3"/>
  <c r="S12" i="34"/>
  <c r="AA12" i="34"/>
  <c r="J38" i="37"/>
  <c r="AC38" i="37" s="1"/>
  <c r="H38" i="37"/>
  <c r="AB38" i="37" s="1"/>
  <c r="F38" i="37"/>
  <c r="S38" i="37" s="1"/>
  <c r="AC8" i="39"/>
  <c r="W8" i="39"/>
  <c r="J31" i="40"/>
  <c r="F31" i="40"/>
  <c r="AA31" i="40" s="1"/>
  <c r="H31" i="40"/>
  <c r="U31" i="40" s="1"/>
  <c r="BA576" i="3"/>
  <c r="AZ576" i="3" s="1"/>
  <c r="BL575" i="3"/>
  <c r="BA575" i="3"/>
  <c r="BA574" i="3"/>
  <c r="AZ574" i="3" s="1"/>
  <c r="BL572" i="3"/>
  <c r="BL570" i="3"/>
  <c r="BA569" i="3"/>
  <c r="BA568" i="3"/>
  <c r="BL567" i="3"/>
  <c r="BA567" i="3"/>
  <c r="BA566" i="3"/>
  <c r="AZ566" i="3" s="1"/>
  <c r="BA564" i="3"/>
  <c r="BL563" i="3"/>
  <c r="BA563" i="3"/>
  <c r="AZ563" i="3" s="1"/>
  <c r="BL562" i="3"/>
  <c r="G562" i="3"/>
  <c r="AZ525" i="3"/>
  <c r="AZ572" i="3"/>
  <c r="AC39" i="33"/>
  <c r="W39" i="33"/>
  <c r="J9" i="33"/>
  <c r="AC9" i="33" s="1"/>
  <c r="H9" i="33"/>
  <c r="AB9" i="33" s="1"/>
  <c r="F9" i="33"/>
  <c r="F28" i="33"/>
  <c r="AA28" i="33" s="1"/>
  <c r="H28" i="33"/>
  <c r="U28" i="33" s="1"/>
  <c r="AC28" i="36"/>
  <c r="W28" i="36"/>
  <c r="H13" i="36"/>
  <c r="AB13" i="36" s="1"/>
  <c r="J13" i="36"/>
  <c r="F13" i="36"/>
  <c r="S13" i="36" s="1"/>
  <c r="BL560" i="3"/>
  <c r="BA560" i="3"/>
  <c r="BA559" i="3"/>
  <c r="AZ559" i="3" s="1"/>
  <c r="BA558" i="3"/>
  <c r="AZ558" i="3" s="1"/>
  <c r="BL557" i="3"/>
  <c r="BA557" i="3"/>
  <c r="BL556" i="3"/>
  <c r="BL555" i="3"/>
  <c r="AZ555" i="3" s="1"/>
  <c r="BA554" i="3"/>
  <c r="AZ554" i="3" s="1"/>
  <c r="BL549" i="3"/>
  <c r="BA549" i="3"/>
  <c r="AZ549" i="3" s="1"/>
  <c r="BA548" i="3"/>
  <c r="BL544" i="3"/>
  <c r="BA544" i="3"/>
  <c r="BA542" i="3"/>
  <c r="BA541" i="3"/>
  <c r="AZ541" i="3" s="1"/>
  <c r="BL540" i="3"/>
  <c r="AZ540" i="3" s="1"/>
  <c r="BA539" i="3"/>
  <c r="BL534" i="3"/>
  <c r="BA534" i="3"/>
  <c r="AZ534" i="3" s="1"/>
  <c r="BL528" i="3"/>
  <c r="AZ528" i="3" s="1"/>
  <c r="BA526" i="3"/>
  <c r="BA524" i="3"/>
  <c r="AZ524" i="3" s="1"/>
  <c r="BA523" i="3"/>
  <c r="BL521" i="3"/>
  <c r="BL520" i="3"/>
  <c r="BL516" i="3"/>
  <c r="BA516" i="3"/>
  <c r="BA514" i="3"/>
  <c r="AZ514" i="3" s="1"/>
  <c r="BA511" i="3"/>
  <c r="BA510" i="3"/>
  <c r="AZ510" i="3" s="1"/>
  <c r="BL508" i="3"/>
  <c r="BA508" i="3"/>
  <c r="AZ508" i="3" s="1"/>
  <c r="BA507" i="3"/>
  <c r="BA506" i="3"/>
  <c r="AZ506" i="3" s="1"/>
  <c r="BA505" i="3"/>
  <c r="AZ505" i="3" s="1"/>
  <c r="BA503" i="3"/>
  <c r="BL501" i="3"/>
  <c r="BA501" i="3"/>
  <c r="AZ501" i="3" s="1"/>
  <c r="BK5" i="3"/>
  <c r="BC5" i="3"/>
  <c r="BA498" i="3"/>
  <c r="BO5" i="3"/>
  <c r="BL496" i="3"/>
  <c r="BL494" i="3"/>
  <c r="AC5" i="3"/>
  <c r="G494" i="3"/>
  <c r="BR5" i="3"/>
  <c r="G28" i="6" s="1"/>
  <c r="BA493" i="3"/>
  <c r="AZ493" i="3" s="1"/>
  <c r="BD5" i="3"/>
  <c r="BB5" i="3"/>
  <c r="AZ380" i="3"/>
  <c r="G493" i="3"/>
  <c r="AC44" i="33"/>
  <c r="W44" i="33"/>
  <c r="AB30" i="35"/>
  <c r="U30" i="35"/>
  <c r="S41" i="39"/>
  <c r="AA41" i="39"/>
  <c r="J26" i="33"/>
  <c r="F26" i="33"/>
  <c r="H26" i="33"/>
  <c r="AC26" i="37"/>
  <c r="W26" i="37"/>
  <c r="J36" i="39"/>
  <c r="F36" i="39"/>
  <c r="BL584" i="3"/>
  <c r="BA584" i="3"/>
  <c r="AZ584" i="3" s="1"/>
  <c r="BA582" i="3"/>
  <c r="BL581" i="3"/>
  <c r="BL580" i="3"/>
  <c r="BA579" i="3"/>
  <c r="BL578" i="3"/>
  <c r="BA577" i="3"/>
  <c r="G572" i="3"/>
  <c r="BL568" i="3"/>
  <c r="AZ383" i="3"/>
  <c r="AA44" i="34"/>
  <c r="S44" i="34"/>
  <c r="BA586" i="3"/>
  <c r="W35" i="21"/>
  <c r="AC35" i="21"/>
  <c r="S12" i="21"/>
  <c r="AA12" i="21"/>
  <c r="H31" i="21"/>
  <c r="F31" i="21"/>
  <c r="S31" i="21" s="1"/>
  <c r="AC40" i="33"/>
  <c r="W40" i="33"/>
  <c r="BL561" i="3"/>
  <c r="AZ561" i="3" s="1"/>
  <c r="BL536" i="3"/>
  <c r="AZ536" i="3" s="1"/>
  <c r="BA533" i="3"/>
  <c r="BA532" i="3"/>
  <c r="BA527" i="3"/>
  <c r="BL522" i="3"/>
  <c r="AZ522" i="3" s="1"/>
  <c r="AZ521" i="3"/>
  <c r="BA520" i="3"/>
  <c r="BA519" i="3"/>
  <c r="AZ519" i="3" s="1"/>
  <c r="BA518" i="3"/>
  <c r="AZ518" i="3" s="1"/>
  <c r="BA517" i="3"/>
  <c r="BL515" i="3"/>
  <c r="BA515" i="3"/>
  <c r="BL512" i="3"/>
  <c r="AZ512" i="3" s="1"/>
  <c r="BL510" i="3"/>
  <c r="AZ509" i="3"/>
  <c r="BA502" i="3"/>
  <c r="AZ502" i="3" s="1"/>
  <c r="BL498" i="3"/>
  <c r="BP5" i="3"/>
  <c r="G29" i="6" s="1"/>
  <c r="BA497" i="3"/>
  <c r="AZ497" i="3" s="1"/>
  <c r="BS5" i="3"/>
  <c r="BL495" i="3"/>
  <c r="AZ495" i="3" s="1"/>
  <c r="BA495" i="3"/>
  <c r="BI5" i="3"/>
  <c r="BM5" i="3"/>
  <c r="W24" i="36"/>
  <c r="U35" i="21"/>
  <c r="AZ366" i="3"/>
  <c r="AZ361" i="3"/>
  <c r="AA14" i="33"/>
  <c r="U28" i="37"/>
  <c r="AB28" i="37"/>
  <c r="U13" i="34"/>
  <c r="AB13" i="34"/>
  <c r="AC37" i="34"/>
  <c r="W37" i="34"/>
  <c r="W21" i="40"/>
  <c r="AC21" i="40"/>
  <c r="AB17" i="39"/>
  <c r="U17" i="39"/>
  <c r="W31" i="36"/>
  <c r="AC31" i="37"/>
  <c r="W31" i="37"/>
  <c r="AA40" i="39"/>
  <c r="S40" i="39"/>
  <c r="J13" i="39"/>
  <c r="W13" i="39" s="1"/>
  <c r="F13" i="39"/>
  <c r="J31" i="39"/>
  <c r="H31" i="39"/>
  <c r="AB31" i="39" s="1"/>
  <c r="AA40" i="40"/>
  <c r="S40" i="40"/>
  <c r="AC12" i="40"/>
  <c r="W12" i="40"/>
  <c r="W33" i="40"/>
  <c r="AC33" i="40"/>
  <c r="AZ580" i="3"/>
  <c r="AZ347" i="3"/>
  <c r="BL517" i="3"/>
  <c r="AZ517" i="3" s="1"/>
  <c r="BL527" i="3"/>
  <c r="BL535" i="3"/>
  <c r="AZ535" i="3" s="1"/>
  <c r="BL543" i="3"/>
  <c r="AZ543" i="3" s="1"/>
  <c r="BL551" i="3"/>
  <c r="BL577" i="3"/>
  <c r="S13" i="35"/>
  <c r="AA13" i="35"/>
  <c r="S14" i="34"/>
  <c r="AA14" i="34"/>
  <c r="BL586" i="3"/>
  <c r="BL585" i="3"/>
  <c r="AZ585" i="3" s="1"/>
  <c r="AC31" i="34"/>
  <c r="W31" i="34"/>
  <c r="AC22" i="35"/>
  <c r="W22" i="35"/>
  <c r="H34" i="36"/>
  <c r="J34" i="36"/>
  <c r="AC25" i="37"/>
  <c r="W25" i="37"/>
  <c r="W9" i="40"/>
  <c r="AC9" i="40"/>
  <c r="AB40" i="40"/>
  <c r="U40" i="40"/>
  <c r="H35" i="39"/>
  <c r="AB35" i="39" s="1"/>
  <c r="F35" i="39"/>
  <c r="BL582" i="3"/>
  <c r="BA578" i="3"/>
  <c r="AZ578" i="3" s="1"/>
  <c r="BL566" i="3"/>
  <c r="BL564" i="3"/>
  <c r="BA562" i="3"/>
  <c r="BL550" i="3"/>
  <c r="BA550" i="3"/>
  <c r="G547" i="3"/>
  <c r="BA545" i="3"/>
  <c r="AZ311" i="3"/>
  <c r="AZ305" i="3"/>
  <c r="AC11" i="36"/>
  <c r="W11" i="36"/>
  <c r="H82" i="43"/>
  <c r="AZ327" i="3"/>
  <c r="AZ310" i="3"/>
  <c r="AZ346" i="3"/>
  <c r="AZ304" i="3"/>
  <c r="AC46" i="21"/>
  <c r="W14" i="37"/>
  <c r="AA41" i="34"/>
  <c r="S21" i="40"/>
  <c r="BL507" i="3"/>
  <c r="AZ507" i="3" s="1"/>
  <c r="BL513" i="3"/>
  <c r="AZ513" i="3" s="1"/>
  <c r="W35" i="39"/>
  <c r="U31" i="34"/>
  <c r="F25" i="35"/>
  <c r="S25" i="35" s="1"/>
  <c r="F47" i="34"/>
  <c r="S47" i="34" s="1"/>
  <c r="F31" i="34"/>
  <c r="S31" i="34" s="1"/>
  <c r="J46" i="33"/>
  <c r="AC46" i="33" s="1"/>
  <c r="S28" i="34"/>
  <c r="U8" i="35"/>
  <c r="AB12" i="35"/>
  <c r="W11" i="40"/>
  <c r="AC11" i="40"/>
  <c r="S34" i="34"/>
  <c r="U34" i="35"/>
  <c r="S30" i="36"/>
  <c r="W8" i="36"/>
  <c r="W45" i="39"/>
  <c r="AC45" i="39"/>
  <c r="J45" i="21"/>
  <c r="W45" i="21" s="1"/>
  <c r="F45" i="21"/>
  <c r="AA45" i="21" s="1"/>
  <c r="H9" i="34"/>
  <c r="W8" i="35"/>
  <c r="AC8" i="35"/>
  <c r="U8" i="36"/>
  <c r="AB8" i="36"/>
  <c r="F32" i="36"/>
  <c r="AA32" i="36" s="1"/>
  <c r="J32" i="36"/>
  <c r="S31" i="36"/>
  <c r="AA31" i="36"/>
  <c r="F39" i="37"/>
  <c r="H39" i="37"/>
  <c r="F44" i="39"/>
  <c r="J44" i="39"/>
  <c r="AC8" i="40"/>
  <c r="W8" i="40"/>
  <c r="F38" i="40"/>
  <c r="BA581" i="3"/>
  <c r="BL579" i="3"/>
  <c r="AZ579" i="3" s="1"/>
  <c r="BA573" i="3"/>
  <c r="BA570" i="3"/>
  <c r="AZ570" i="3" s="1"/>
  <c r="BA537" i="3"/>
  <c r="BL532" i="3"/>
  <c r="BA529" i="3"/>
  <c r="G526" i="3"/>
  <c r="BL524" i="3"/>
  <c r="BL504" i="3"/>
  <c r="AZ504" i="3" s="1"/>
  <c r="BA500" i="3"/>
  <c r="AZ500" i="3" s="1"/>
  <c r="AZ326" i="3"/>
  <c r="AZ344" i="3"/>
  <c r="U12" i="37"/>
  <c r="BL503" i="3"/>
  <c r="AZ503" i="3" s="1"/>
  <c r="BL523" i="3"/>
  <c r="BL531" i="3"/>
  <c r="AZ531" i="3" s="1"/>
  <c r="BL539" i="3"/>
  <c r="AZ539" i="3" s="1"/>
  <c r="BL547" i="3"/>
  <c r="AZ547" i="3" s="1"/>
  <c r="BL569" i="3"/>
  <c r="AB35" i="33"/>
  <c r="U35" i="33"/>
  <c r="J12" i="33"/>
  <c r="W12" i="33" s="1"/>
  <c r="H12" i="33"/>
  <c r="U12" i="36"/>
  <c r="AB12" i="36"/>
  <c r="BA565" i="3"/>
  <c r="AZ565" i="3" s="1"/>
  <c r="BA556" i="3"/>
  <c r="AZ556" i="3" s="1"/>
  <c r="BA555" i="3"/>
  <c r="G552" i="3"/>
  <c r="BA551" i="3"/>
  <c r="AZ551" i="3" s="1"/>
  <c r="BL548" i="3"/>
  <c r="BA546" i="3"/>
  <c r="AZ546" i="3" s="1"/>
  <c r="BL542" i="3"/>
  <c r="BA538" i="3"/>
  <c r="AZ538" i="3" s="1"/>
  <c r="BA530" i="3"/>
  <c r="AZ530" i="3" s="1"/>
  <c r="BL526" i="3"/>
  <c r="BL506" i="3"/>
  <c r="BA494" i="3"/>
  <c r="AZ494" i="3" s="1"/>
  <c r="AZ418" i="3"/>
  <c r="BL529" i="3"/>
  <c r="BL537" i="3"/>
  <c r="AZ537" i="3" s="1"/>
  <c r="BL545" i="3"/>
  <c r="AZ545" i="3" s="1"/>
  <c r="BL553" i="3"/>
  <c r="AZ553" i="3" s="1"/>
  <c r="BL573" i="3"/>
  <c r="BL583" i="3"/>
  <c r="AZ583" i="3" s="1"/>
  <c r="G558" i="3"/>
  <c r="AZ399" i="3"/>
  <c r="BL412" i="3"/>
  <c r="BA423" i="3"/>
  <c r="AZ423" i="3" s="1"/>
  <c r="AZ434" i="3"/>
  <c r="AZ402" i="3"/>
  <c r="BL403" i="3"/>
  <c r="AZ403" i="3" s="1"/>
  <c r="AZ416" i="3"/>
  <c r="AZ444" i="3"/>
  <c r="AZ459" i="3"/>
  <c r="AZ464" i="3"/>
  <c r="AZ475" i="3"/>
  <c r="AZ480" i="3"/>
  <c r="L108" i="43"/>
  <c r="L100" i="43"/>
  <c r="BL400" i="3"/>
  <c r="AZ400" i="3" s="1"/>
  <c r="BA407" i="3"/>
  <c r="AZ407" i="3" s="1"/>
  <c r="BA415" i="3"/>
  <c r="BA419" i="3"/>
  <c r="AZ419" i="3" s="1"/>
  <c r="BL423" i="3"/>
  <c r="G424" i="3"/>
  <c r="AZ446" i="3"/>
  <c r="AZ463" i="3"/>
  <c r="AZ474" i="3"/>
  <c r="AZ477" i="3"/>
  <c r="AZ483" i="3"/>
  <c r="BL428" i="3"/>
  <c r="AZ428" i="3" s="1"/>
  <c r="BL435" i="3"/>
  <c r="AZ435" i="3" s="1"/>
  <c r="BA439" i="3"/>
  <c r="AZ439" i="3" s="1"/>
  <c r="BA440" i="3"/>
  <c r="AZ440" i="3" s="1"/>
  <c r="BL442" i="3"/>
  <c r="AZ442" i="3" s="1"/>
  <c r="BL449" i="3"/>
  <c r="AZ449" i="3" s="1"/>
  <c r="BA452" i="3"/>
  <c r="AZ452" i="3" s="1"/>
  <c r="BL454" i="3"/>
  <c r="AZ454" i="3" s="1"/>
  <c r="BL461" i="3"/>
  <c r="AZ461" i="3" s="1"/>
  <c r="BA466" i="3"/>
  <c r="AZ466" i="3" s="1"/>
  <c r="BA467" i="3"/>
  <c r="AZ467" i="3" s="1"/>
  <c r="BL469" i="3"/>
  <c r="AZ469" i="3" s="1"/>
  <c r="BL480" i="3"/>
  <c r="BA484" i="3"/>
  <c r="AZ484" i="3" s="1"/>
  <c r="BA485" i="3"/>
  <c r="AZ485" i="3" s="1"/>
  <c r="BL487" i="3"/>
  <c r="AZ487" i="3" s="1"/>
  <c r="BA492" i="3"/>
  <c r="AZ492" i="3" s="1"/>
  <c r="BL316" i="3"/>
  <c r="AZ316" i="3" s="1"/>
  <c r="BL209" i="3"/>
  <c r="AZ209" i="3" s="1"/>
  <c r="BA219" i="3"/>
  <c r="BL234" i="3"/>
  <c r="AZ234" i="3" s="1"/>
  <c r="AZ247" i="3"/>
  <c r="BL254" i="3"/>
  <c r="BA261" i="3"/>
  <c r="AZ276" i="3"/>
  <c r="AZ292" i="3"/>
  <c r="BA129" i="3"/>
  <c r="BA152" i="3"/>
  <c r="AZ152" i="3" s="1"/>
  <c r="BL202" i="3"/>
  <c r="AZ202" i="3" s="1"/>
  <c r="BL207" i="3"/>
  <c r="BA28" i="3"/>
  <c r="BL100" i="3"/>
  <c r="AZ100" i="3" s="1"/>
  <c r="K108" i="43"/>
  <c r="K100" i="43"/>
  <c r="G108" i="43"/>
  <c r="G100" i="43"/>
  <c r="C5" i="11"/>
  <c r="BL399" i="3"/>
  <c r="BL405" i="3"/>
  <c r="AZ405" i="3" s="1"/>
  <c r="BA409" i="3"/>
  <c r="AZ409" i="3" s="1"/>
  <c r="BA410" i="3"/>
  <c r="AZ410" i="3" s="1"/>
  <c r="BA411" i="3"/>
  <c r="AZ411" i="3" s="1"/>
  <c r="BL415" i="3"/>
  <c r="BL421" i="3"/>
  <c r="AZ421" i="3" s="1"/>
  <c r="BA426" i="3"/>
  <c r="AZ426" i="3" s="1"/>
  <c r="BA427" i="3"/>
  <c r="AZ427" i="3" s="1"/>
  <c r="BL431" i="3"/>
  <c r="AZ431" i="3" s="1"/>
  <c r="BL437" i="3"/>
  <c r="AZ437" i="3" s="1"/>
  <c r="BL443" i="3"/>
  <c r="AZ443" i="3" s="1"/>
  <c r="BA447" i="3"/>
  <c r="AZ447" i="3" s="1"/>
  <c r="BA448" i="3"/>
  <c r="AZ448" i="3" s="1"/>
  <c r="BL450" i="3"/>
  <c r="AZ450" i="3" s="1"/>
  <c r="BL457" i="3"/>
  <c r="BA460" i="3"/>
  <c r="AZ460" i="3" s="1"/>
  <c r="BL462" i="3"/>
  <c r="AZ462" i="3" s="1"/>
  <c r="BL473" i="3"/>
  <c r="AZ473" i="3" s="1"/>
  <c r="BA478" i="3"/>
  <c r="AZ478" i="3" s="1"/>
  <c r="BA479" i="3"/>
  <c r="AZ479" i="3" s="1"/>
  <c r="BL481" i="3"/>
  <c r="AZ481" i="3" s="1"/>
  <c r="BL490" i="3"/>
  <c r="AZ490" i="3" s="1"/>
  <c r="BA317" i="3"/>
  <c r="AZ317" i="3" s="1"/>
  <c r="BA332" i="3"/>
  <c r="AZ332" i="3" s="1"/>
  <c r="BA354" i="3"/>
  <c r="AZ354" i="3" s="1"/>
  <c r="BL367" i="3"/>
  <c r="BL386" i="3"/>
  <c r="AZ386" i="3" s="1"/>
  <c r="AZ212" i="3"/>
  <c r="AZ236" i="3"/>
  <c r="BA241" i="3"/>
  <c r="AZ241" i="3" s="1"/>
  <c r="BA260" i="3"/>
  <c r="AZ260" i="3" s="1"/>
  <c r="BA263" i="3"/>
  <c r="AZ263" i="3" s="1"/>
  <c r="BA280" i="3"/>
  <c r="AZ280" i="3" s="1"/>
  <c r="BA291" i="3"/>
  <c r="BA296" i="3"/>
  <c r="AZ296" i="3" s="1"/>
  <c r="BA121" i="3"/>
  <c r="AZ121" i="3" s="1"/>
  <c r="BL130" i="3"/>
  <c r="AZ130" i="3" s="1"/>
  <c r="G131" i="3"/>
  <c r="BA144" i="3"/>
  <c r="AZ144" i="3" s="1"/>
  <c r="BL147" i="3"/>
  <c r="AZ147" i="3" s="1"/>
  <c r="G148" i="3"/>
  <c r="G25" i="3"/>
  <c r="BA27" i="3"/>
  <c r="AZ27" i="3" s="1"/>
  <c r="BL29" i="3"/>
  <c r="AZ29" i="3" s="1"/>
  <c r="G30" i="3"/>
  <c r="BL30" i="3"/>
  <c r="AZ30" i="3" s="1"/>
  <c r="BA35" i="3"/>
  <c r="BA36" i="3"/>
  <c r="BA47" i="3"/>
  <c r="BA55" i="3"/>
  <c r="BL58" i="3"/>
  <c r="AZ58" i="3" s="1"/>
  <c r="BL59" i="3"/>
  <c r="BA81" i="3"/>
  <c r="BL83" i="3"/>
  <c r="G84" i="3"/>
  <c r="K8" i="1"/>
  <c r="M8" i="1" s="1"/>
  <c r="O8" i="1" s="1"/>
  <c r="P8" i="1" s="1"/>
  <c r="BL15" i="3"/>
  <c r="AZ15" i="3" s="1"/>
  <c r="BA398" i="3"/>
  <c r="AZ398" i="3" s="1"/>
  <c r="G401" i="3"/>
  <c r="BL401" i="3"/>
  <c r="BA404" i="3"/>
  <c r="AZ404" i="3" s="1"/>
  <c r="BL406" i="3"/>
  <c r="AZ406" i="3" s="1"/>
  <c r="BA413" i="3"/>
  <c r="AZ413" i="3" s="1"/>
  <c r="BA414" i="3"/>
  <c r="AZ414" i="3" s="1"/>
  <c r="G417" i="3"/>
  <c r="BL417" i="3"/>
  <c r="BA420" i="3"/>
  <c r="AZ420" i="3" s="1"/>
  <c r="BL422" i="3"/>
  <c r="AZ422" i="3" s="1"/>
  <c r="BA429" i="3"/>
  <c r="AZ429" i="3" s="1"/>
  <c r="BA430" i="3"/>
  <c r="AZ430" i="3" s="1"/>
  <c r="G433" i="3"/>
  <c r="BL433" i="3"/>
  <c r="BA436" i="3"/>
  <c r="AZ436" i="3" s="1"/>
  <c r="BL438" i="3"/>
  <c r="AZ438" i="3" s="1"/>
  <c r="G445" i="3"/>
  <c r="BL445" i="3"/>
  <c r="AZ445" i="3" s="1"/>
  <c r="BL451" i="3"/>
  <c r="AZ451" i="3" s="1"/>
  <c r="BA455" i="3"/>
  <c r="AZ455" i="3" s="1"/>
  <c r="BA456" i="3"/>
  <c r="AZ456" i="3" s="1"/>
  <c r="BL458" i="3"/>
  <c r="AZ458" i="3" s="1"/>
  <c r="G464" i="3"/>
  <c r="G465" i="3"/>
  <c r="BL465" i="3"/>
  <c r="BA470" i="3"/>
  <c r="AZ470" i="3" s="1"/>
  <c r="BA471" i="3"/>
  <c r="AZ471" i="3" s="1"/>
  <c r="BA472" i="3"/>
  <c r="AZ472" i="3" s="1"/>
  <c r="G475" i="3"/>
  <c r="G476" i="3"/>
  <c r="BL476" i="3"/>
  <c r="AZ476" i="3" s="1"/>
  <c r="G483" i="3"/>
  <c r="BA488" i="3"/>
  <c r="AZ488" i="3" s="1"/>
  <c r="BA489" i="3"/>
  <c r="AZ489" i="3" s="1"/>
  <c r="BL491" i="3"/>
  <c r="AZ491" i="3" s="1"/>
  <c r="G313" i="3"/>
  <c r="BA315" i="3"/>
  <c r="AZ315" i="3" s="1"/>
  <c r="G329" i="3"/>
  <c r="BA331" i="3"/>
  <c r="AZ331" i="3" s="1"/>
  <c r="G343" i="3"/>
  <c r="BL346" i="3"/>
  <c r="BA350" i="3"/>
  <c r="AZ350" i="3" s="1"/>
  <c r="BA358" i="3"/>
  <c r="AZ358" i="3" s="1"/>
  <c r="G362" i="3"/>
  <c r="BL383" i="3"/>
  <c r="BA397" i="3"/>
  <c r="AZ397" i="3" s="1"/>
  <c r="BA211" i="3"/>
  <c r="AZ211" i="3" s="1"/>
  <c r="BA215" i="3"/>
  <c r="AZ215" i="3" s="1"/>
  <c r="BL219" i="3"/>
  <c r="G220" i="3"/>
  <c r="BL220" i="3"/>
  <c r="AZ220" i="3" s="1"/>
  <c r="BL224" i="3"/>
  <c r="AZ224" i="3" s="1"/>
  <c r="G228" i="3"/>
  <c r="BA229" i="3"/>
  <c r="AZ229" i="3" s="1"/>
  <c r="BA235" i="3"/>
  <c r="G239" i="3"/>
  <c r="BA240" i="3"/>
  <c r="AZ240" i="3" s="1"/>
  <c r="BA243" i="3"/>
  <c r="AZ243" i="3" s="1"/>
  <c r="BL248" i="3"/>
  <c r="AZ248" i="3" s="1"/>
  <c r="BA249" i="3"/>
  <c r="AZ249" i="3" s="1"/>
  <c r="BA258" i="3"/>
  <c r="BL261" i="3"/>
  <c r="G262" i="3"/>
  <c r="BL262" i="3"/>
  <c r="AZ262" i="3" s="1"/>
  <c r="BL267" i="3"/>
  <c r="AZ267" i="3" s="1"/>
  <c r="BA268" i="3"/>
  <c r="AZ268" i="3" s="1"/>
  <c r="BA274" i="3"/>
  <c r="AZ274" i="3" s="1"/>
  <c r="G278" i="3"/>
  <c r="BA279" i="3"/>
  <c r="AZ279" i="3" s="1"/>
  <c r="BA284" i="3"/>
  <c r="AZ284" i="3" s="1"/>
  <c r="BA290" i="3"/>
  <c r="AZ290" i="3" s="1"/>
  <c r="G294" i="3"/>
  <c r="BA295" i="3"/>
  <c r="AZ295" i="3" s="1"/>
  <c r="BA300" i="3"/>
  <c r="AZ300" i="3" s="1"/>
  <c r="BL118" i="3"/>
  <c r="AZ118" i="3" s="1"/>
  <c r="BL123" i="3"/>
  <c r="AZ123" i="3" s="1"/>
  <c r="G124" i="3"/>
  <c r="BA126" i="3"/>
  <c r="AZ126" i="3" s="1"/>
  <c r="BL129" i="3"/>
  <c r="G130" i="3"/>
  <c r="BA140" i="3"/>
  <c r="AZ140" i="3" s="1"/>
  <c r="BL143" i="3"/>
  <c r="AZ143" i="3" s="1"/>
  <c r="G154" i="3"/>
  <c r="BL154" i="3"/>
  <c r="AZ154" i="3" s="1"/>
  <c r="BL157" i="3"/>
  <c r="BA177" i="3"/>
  <c r="BL193" i="3"/>
  <c r="BA19" i="3"/>
  <c r="AZ19" i="3" s="1"/>
  <c r="BL28" i="3"/>
  <c r="G29" i="3"/>
  <c r="BA368" i="3"/>
  <c r="AZ368" i="3" s="1"/>
  <c r="BA385" i="3"/>
  <c r="AZ385" i="3" s="1"/>
  <c r="BA388" i="3"/>
  <c r="AZ388" i="3" s="1"/>
  <c r="BA392" i="3"/>
  <c r="AZ392" i="3" s="1"/>
  <c r="BL395" i="3"/>
  <c r="AZ395" i="3" s="1"/>
  <c r="BL211" i="3"/>
  <c r="BL217" i="3"/>
  <c r="AZ217" i="3" s="1"/>
  <c r="BA221" i="3"/>
  <c r="AZ221" i="3" s="1"/>
  <c r="BA222" i="3"/>
  <c r="AZ222" i="3" s="1"/>
  <c r="BA223" i="3"/>
  <c r="AZ223" i="3" s="1"/>
  <c r="BL226" i="3"/>
  <c r="AZ226" i="3" s="1"/>
  <c r="BA231" i="3"/>
  <c r="AZ231" i="3" s="1"/>
  <c r="BA232" i="3"/>
  <c r="AZ232" i="3" s="1"/>
  <c r="BA233" i="3"/>
  <c r="AZ233" i="3" s="1"/>
  <c r="BL235" i="3"/>
  <c r="BL246" i="3"/>
  <c r="AZ246" i="3" s="1"/>
  <c r="BA252" i="3"/>
  <c r="AZ252" i="3" s="1"/>
  <c r="BA253" i="3"/>
  <c r="AZ253" i="3" s="1"/>
  <c r="BL258" i="3"/>
  <c r="BL266" i="3"/>
  <c r="AZ266" i="3" s="1"/>
  <c r="BA272" i="3"/>
  <c r="AZ272" i="3" s="1"/>
  <c r="BA273" i="3"/>
  <c r="AZ273" i="3" s="1"/>
  <c r="BL275" i="3"/>
  <c r="AZ275" i="3" s="1"/>
  <c r="BA282" i="3"/>
  <c r="AZ282" i="3" s="1"/>
  <c r="BA283" i="3"/>
  <c r="AZ283" i="3" s="1"/>
  <c r="BL286" i="3"/>
  <c r="BA289" i="3"/>
  <c r="AZ289" i="3" s="1"/>
  <c r="BL291" i="3"/>
  <c r="BA298" i="3"/>
  <c r="AZ298" i="3" s="1"/>
  <c r="BA299" i="3"/>
  <c r="AZ299" i="3" s="1"/>
  <c r="BL117" i="3"/>
  <c r="AZ117" i="3" s="1"/>
  <c r="BL119" i="3"/>
  <c r="AZ119" i="3" s="1"/>
  <c r="BA134" i="3"/>
  <c r="AZ134" i="3" s="1"/>
  <c r="BA137" i="3"/>
  <c r="AZ137" i="3" s="1"/>
  <c r="BA138" i="3"/>
  <c r="AZ138" i="3" s="1"/>
  <c r="BA141" i="3"/>
  <c r="AZ141" i="3" s="1"/>
  <c r="BA142" i="3"/>
  <c r="AZ142" i="3" s="1"/>
  <c r="BA145" i="3"/>
  <c r="AZ145" i="3" s="1"/>
  <c r="BA146" i="3"/>
  <c r="AZ146" i="3" s="1"/>
  <c r="BA158" i="3"/>
  <c r="AZ158" i="3" s="1"/>
  <c r="BA160" i="3"/>
  <c r="AZ160" i="3" s="1"/>
  <c r="BL166" i="3"/>
  <c r="AZ166" i="3" s="1"/>
  <c r="BL169" i="3"/>
  <c r="AZ169" i="3" s="1"/>
  <c r="BL177" i="3"/>
  <c r="BL179" i="3"/>
  <c r="AZ179" i="3" s="1"/>
  <c r="BL186" i="3"/>
  <c r="AZ186" i="3" s="1"/>
  <c r="BL189" i="3"/>
  <c r="AZ189" i="3" s="1"/>
  <c r="BL190" i="3"/>
  <c r="AZ190" i="3" s="1"/>
  <c r="BA196" i="3"/>
  <c r="AZ196" i="3" s="1"/>
  <c r="BA200" i="3"/>
  <c r="AZ200" i="3" s="1"/>
  <c r="BL20" i="3"/>
  <c r="AZ20" i="3" s="1"/>
  <c r="BA31" i="3"/>
  <c r="AZ31" i="3" s="1"/>
  <c r="BL35" i="3"/>
  <c r="BL37" i="3"/>
  <c r="AZ37" i="3" s="1"/>
  <c r="BL38" i="3"/>
  <c r="AZ38" i="3" s="1"/>
  <c r="BL43" i="3"/>
  <c r="AZ43" i="3" s="1"/>
  <c r="BL51" i="3"/>
  <c r="AZ51" i="3" s="1"/>
  <c r="BL54" i="3"/>
  <c r="BA69" i="3"/>
  <c r="AZ69" i="3" s="1"/>
  <c r="BA72" i="3"/>
  <c r="AZ72" i="3" s="1"/>
  <c r="BA73" i="3"/>
  <c r="AZ73" i="3" s="1"/>
  <c r="BA74" i="3"/>
  <c r="AZ74" i="3" s="1"/>
  <c r="BA75" i="3"/>
  <c r="AZ75" i="3" s="1"/>
  <c r="BL89" i="3"/>
  <c r="AZ89" i="3" s="1"/>
  <c r="BA103" i="3"/>
  <c r="AZ103" i="3" s="1"/>
  <c r="AZ106" i="3"/>
  <c r="AZ112" i="3"/>
  <c r="G331" i="3"/>
  <c r="BA333" i="3"/>
  <c r="AZ333" i="3" s="1"/>
  <c r="BA348" i="3"/>
  <c r="AZ348" i="3" s="1"/>
  <c r="BA349" i="3"/>
  <c r="AZ349" i="3" s="1"/>
  <c r="G364" i="3"/>
  <c r="BA366" i="3"/>
  <c r="BL393" i="3"/>
  <c r="AZ393" i="3" s="1"/>
  <c r="BL396" i="3"/>
  <c r="AZ396" i="3" s="1"/>
  <c r="BA210" i="3"/>
  <c r="AZ210" i="3" s="1"/>
  <c r="G213" i="3"/>
  <c r="BL213" i="3"/>
  <c r="AZ213" i="3" s="1"/>
  <c r="BA216" i="3"/>
  <c r="AZ216" i="3" s="1"/>
  <c r="BL218" i="3"/>
  <c r="AZ218" i="3" s="1"/>
  <c r="BA225" i="3"/>
  <c r="AZ225" i="3" s="1"/>
  <c r="BL227" i="3"/>
  <c r="AZ227" i="3" s="1"/>
  <c r="G237" i="3"/>
  <c r="G238" i="3"/>
  <c r="BL238" i="3"/>
  <c r="BA244" i="3"/>
  <c r="AZ244" i="3" s="1"/>
  <c r="BA245" i="3"/>
  <c r="AZ245" i="3" s="1"/>
  <c r="G248" i="3"/>
  <c r="G249" i="3"/>
  <c r="G250" i="3"/>
  <c r="BL250" i="3"/>
  <c r="AZ250" i="3" s="1"/>
  <c r="BA255" i="3"/>
  <c r="AZ255" i="3" s="1"/>
  <c r="BA256" i="3"/>
  <c r="AZ256" i="3" s="1"/>
  <c r="BA257" i="3"/>
  <c r="AZ257" i="3" s="1"/>
  <c r="BL259" i="3"/>
  <c r="AZ259" i="3" s="1"/>
  <c r="BA264" i="3"/>
  <c r="AZ264" i="3" s="1"/>
  <c r="BA265" i="3"/>
  <c r="AZ265" i="3" s="1"/>
  <c r="G268" i="3"/>
  <c r="G269" i="3"/>
  <c r="G270" i="3"/>
  <c r="BL270" i="3"/>
  <c r="AZ270" i="3" s="1"/>
  <c r="G277" i="3"/>
  <c r="BL277" i="3"/>
  <c r="AZ277" i="3" s="1"/>
  <c r="BA285" i="3"/>
  <c r="AZ285" i="3" s="1"/>
  <c r="BL287" i="3"/>
  <c r="AZ287" i="3" s="1"/>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G150" i="3"/>
  <c r="BL150" i="3"/>
  <c r="AZ150" i="3" s="1"/>
  <c r="BL153" i="3"/>
  <c r="AZ153" i="3" s="1"/>
  <c r="BL161" i="3"/>
  <c r="AZ161" i="3" s="1"/>
  <c r="BL163" i="3"/>
  <c r="AZ163" i="3" s="1"/>
  <c r="G164" i="3"/>
  <c r="G168" i="3"/>
  <c r="BL170" i="3"/>
  <c r="AZ170" i="3" s="1"/>
  <c r="BL173" i="3"/>
  <c r="AZ173" i="3" s="1"/>
  <c r="BL174" i="3"/>
  <c r="AZ174" i="3" s="1"/>
  <c r="G179" i="3"/>
  <c r="BA180" i="3"/>
  <c r="AZ180" i="3" s="1"/>
  <c r="BA184" i="3"/>
  <c r="AZ184" i="3" s="1"/>
  <c r="BA193" i="3"/>
  <c r="AZ193" i="3" s="1"/>
  <c r="BA207" i="3"/>
  <c r="BA18" i="3"/>
  <c r="AZ18" i="3" s="1"/>
  <c r="BL21" i="3"/>
  <c r="AZ21" i="3" s="1"/>
  <c r="BL23" i="3"/>
  <c r="AZ23" i="3" s="1"/>
  <c r="BL25" i="3"/>
  <c r="AZ25" i="3" s="1"/>
  <c r="G26" i="3"/>
  <c r="BL26" i="3"/>
  <c r="AZ26" i="3" s="1"/>
  <c r="BL36" i="3"/>
  <c r="G37" i="3"/>
  <c r="BL39" i="3"/>
  <c r="AZ39" i="3" s="1"/>
  <c r="BL41" i="3"/>
  <c r="BA48" i="3"/>
  <c r="AZ48" i="3" s="1"/>
  <c r="BA59" i="3"/>
  <c r="AZ59" i="3" s="1"/>
  <c r="BA60" i="3"/>
  <c r="AZ60" i="3" s="1"/>
  <c r="BA61" i="3"/>
  <c r="AZ61" i="3" s="1"/>
  <c r="BA64" i="3"/>
  <c r="AZ64" i="3" s="1"/>
  <c r="BA66" i="3"/>
  <c r="AZ66" i="3" s="1"/>
  <c r="BA68" i="3"/>
  <c r="AZ68" i="3" s="1"/>
  <c r="BA80" i="3"/>
  <c r="BA82" i="3"/>
  <c r="AZ82" i="3" s="1"/>
  <c r="BA85" i="3"/>
  <c r="AZ85" i="3" s="1"/>
  <c r="BL149" i="3"/>
  <c r="BA156" i="3"/>
  <c r="AZ156" i="3" s="1"/>
  <c r="G160" i="3"/>
  <c r="BL162" i="3"/>
  <c r="AZ162" i="3" s="1"/>
  <c r="BL165" i="3"/>
  <c r="BA172" i="3"/>
  <c r="AZ172" i="3" s="1"/>
  <c r="G176" i="3"/>
  <c r="BL178" i="3"/>
  <c r="AZ178" i="3" s="1"/>
  <c r="BL181" i="3"/>
  <c r="BA188" i="3"/>
  <c r="AZ188" i="3" s="1"/>
  <c r="G192" i="3"/>
  <c r="BL194" i="3"/>
  <c r="AZ194" i="3" s="1"/>
  <c r="BL197" i="3"/>
  <c r="AZ197" i="3" s="1"/>
  <c r="BA204" i="3"/>
  <c r="AZ204" i="3" s="1"/>
  <c r="BA205" i="3"/>
  <c r="AZ205" i="3" s="1"/>
  <c r="BA206" i="3"/>
  <c r="AZ206" i="3" s="1"/>
  <c r="G19" i="3"/>
  <c r="BL19" i="3"/>
  <c r="BA22" i="3"/>
  <c r="AZ22" i="3" s="1"/>
  <c r="BL24" i="3"/>
  <c r="AZ24" i="3" s="1"/>
  <c r="BL32" i="3"/>
  <c r="AZ32" i="3" s="1"/>
  <c r="BA34" i="3"/>
  <c r="AZ34" i="3" s="1"/>
  <c r="BA41" i="3"/>
  <c r="G45" i="3"/>
  <c r="G46" i="3"/>
  <c r="BL46" i="3"/>
  <c r="AZ46" i="3" s="1"/>
  <c r="BL47" i="3"/>
  <c r="BA54" i="3"/>
  <c r="BA56" i="3"/>
  <c r="AZ56" i="3" s="1"/>
  <c r="G63" i="3"/>
  <c r="BL63" i="3"/>
  <c r="AZ63" i="3" s="1"/>
  <c r="BL69" i="3"/>
  <c r="G70" i="3"/>
  <c r="BL70" i="3"/>
  <c r="AZ70" i="3" s="1"/>
  <c r="BL81" i="3"/>
  <c r="G82" i="3"/>
  <c r="BA83" i="3"/>
  <c r="BA92" i="3"/>
  <c r="AZ92" i="3" s="1"/>
  <c r="G96" i="3"/>
  <c r="BA97" i="3"/>
  <c r="AZ97" i="3" s="1"/>
  <c r="BA101" i="3"/>
  <c r="BA105" i="3"/>
  <c r="AZ105" i="3" s="1"/>
  <c r="BA111" i="3"/>
  <c r="BL86" i="3"/>
  <c r="AZ86" i="3" s="1"/>
  <c r="BL91" i="3"/>
  <c r="AZ91" i="3" s="1"/>
  <c r="BA99" i="3"/>
  <c r="AZ99" i="3" s="1"/>
  <c r="BL101" i="3"/>
  <c r="BA108" i="3"/>
  <c r="AZ108" i="3" s="1"/>
  <c r="BA109" i="3"/>
  <c r="AZ109" i="3" s="1"/>
  <c r="BA110" i="3"/>
  <c r="AZ110" i="3" s="1"/>
  <c r="F3" i="35"/>
  <c r="I20" i="66"/>
  <c r="BA40" i="3"/>
  <c r="AZ40" i="3" s="1"/>
  <c r="BL42" i="3"/>
  <c r="AZ42" i="3" s="1"/>
  <c r="G49" i="3"/>
  <c r="BL49" i="3"/>
  <c r="AZ49" i="3" s="1"/>
  <c r="BA52" i="3"/>
  <c r="AZ52" i="3" s="1"/>
  <c r="BA53" i="3"/>
  <c r="AZ53" i="3" s="1"/>
  <c r="BL55" i="3"/>
  <c r="G61" i="3"/>
  <c r="G62" i="3"/>
  <c r="BL62" i="3"/>
  <c r="AZ62" i="3" s="1"/>
  <c r="BL67" i="3"/>
  <c r="AZ67" i="3" s="1"/>
  <c r="G74" i="3"/>
  <c r="G75" i="3"/>
  <c r="G76" i="3"/>
  <c r="BL76" i="3"/>
  <c r="AZ76" i="3" s="1"/>
  <c r="BA78" i="3"/>
  <c r="AZ78" i="3" s="1"/>
  <c r="BA79" i="3"/>
  <c r="AZ79" i="3" s="1"/>
  <c r="BA90" i="3"/>
  <c r="AZ90" i="3" s="1"/>
  <c r="G93" i="3"/>
  <c r="G94" i="3"/>
  <c r="G95" i="3"/>
  <c r="BL95" i="3"/>
  <c r="AZ95" i="3" s="1"/>
  <c r="BL102" i="3"/>
  <c r="AZ102" i="3" s="1"/>
  <c r="G107" i="3"/>
  <c r="BL107" i="3"/>
  <c r="D93" i="9"/>
  <c r="K6" i="1"/>
  <c r="AC26" i="33"/>
  <c r="W26" i="33"/>
  <c r="W27" i="34"/>
  <c r="AC27" i="34"/>
  <c r="AB34" i="36"/>
  <c r="U34" i="36"/>
  <c r="AB33" i="36"/>
  <c r="U33" i="36"/>
  <c r="AC12" i="39"/>
  <c r="W12" i="39"/>
  <c r="AC39" i="40"/>
  <c r="W39" i="40"/>
  <c r="AZ401" i="3"/>
  <c r="AZ412" i="3"/>
  <c r="AZ417"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AC12" i="33"/>
  <c r="S32" i="36"/>
  <c r="AZ550" i="3"/>
  <c r="AZ408" i="3"/>
  <c r="AZ441" i="3"/>
  <c r="AZ457" i="3"/>
  <c r="AA39" i="34"/>
  <c r="F28" i="6"/>
  <c r="BL14" i="3"/>
  <c r="U30" i="33"/>
  <c r="AC13" i="34"/>
  <c r="AA47" i="34"/>
  <c r="W28" i="37"/>
  <c r="S19" i="39"/>
  <c r="F12" i="33"/>
  <c r="H12" i="39"/>
  <c r="AB12" i="39" s="1"/>
  <c r="F39" i="40"/>
  <c r="BA14" i="3"/>
  <c r="AZ14" i="3" s="1"/>
  <c r="AZ367" i="3"/>
  <c r="AZ238" i="3"/>
  <c r="AZ254" i="3"/>
  <c r="AZ281" i="3"/>
  <c r="AZ286" i="3"/>
  <c r="AZ297" i="3"/>
  <c r="AZ149" i="3"/>
  <c r="AZ157" i="3"/>
  <c r="AZ165" i="3"/>
  <c r="AZ181"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BL17" i="3"/>
  <c r="AZ17" i="3" s="1"/>
  <c r="BL13" i="3"/>
  <c r="J56" i="9"/>
  <c r="J57" i="9" s="1"/>
  <c r="A24" i="51"/>
  <c r="B18" i="72" s="1"/>
  <c r="U29" i="34"/>
  <c r="E5" i="6"/>
  <c r="D9" i="11" s="1"/>
  <c r="C9" i="11" s="1"/>
  <c r="P10" i="1"/>
  <c r="H22" i="43"/>
  <c r="L101" i="43"/>
  <c r="L109" i="43" s="1"/>
  <c r="H101" i="43"/>
  <c r="D101" i="43"/>
  <c r="D109" i="43" s="1"/>
  <c r="M101" i="43"/>
  <c r="M109" i="43" s="1"/>
  <c r="I101" i="43"/>
  <c r="I109" i="43" s="1"/>
  <c r="E101" i="43"/>
  <c r="G22" i="43"/>
  <c r="E32" i="6"/>
  <c r="L19" i="6" s="1"/>
  <c r="G1" i="68"/>
  <c r="K1" i="12"/>
  <c r="B118" i="43"/>
  <c r="C118" i="43" s="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D9" i="53"/>
  <c r="B25" i="72" s="1"/>
  <c r="B24" i="72"/>
  <c r="G6" i="1"/>
  <c r="H85" i="43"/>
  <c r="H81" i="43"/>
  <c r="H84" i="43"/>
  <c r="H88" i="43"/>
  <c r="H78" i="43"/>
  <c r="H70" i="43"/>
  <c r="H71" i="43"/>
  <c r="C17" i="43"/>
  <c r="F33" i="43"/>
  <c r="G17" i="43"/>
  <c r="F34" i="43"/>
  <c r="M7" i="43"/>
  <c r="N6" i="43"/>
  <c r="F48" i="43" s="1"/>
  <c r="H49"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17" i="21"/>
  <c r="AA15"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J15" i="15"/>
  <c r="F36" i="15"/>
  <c r="M29" i="15"/>
  <c r="F16" i="15"/>
  <c r="F8" i="67"/>
  <c r="M24" i="15"/>
  <c r="F8" i="15"/>
  <c r="F37" i="67"/>
  <c r="C76" i="15"/>
  <c r="M26" i="15"/>
  <c r="M24" i="67"/>
  <c r="M22" i="15"/>
  <c r="M29" i="67"/>
  <c r="F37" i="15"/>
  <c r="M8" i="67"/>
  <c r="F26" i="15"/>
  <c r="M23" i="15"/>
  <c r="F13" i="15"/>
  <c r="M28" i="67"/>
  <c r="F42" i="15"/>
  <c r="L48" i="15"/>
  <c r="C76" i="67"/>
  <c r="M28" i="15"/>
  <c r="F16" i="67"/>
  <c r="M8" i="15"/>
  <c r="M9" i="15"/>
  <c r="M6" i="15"/>
  <c r="F36" i="67"/>
  <c r="M9" i="67"/>
  <c r="F9" i="15"/>
  <c r="J15" i="67"/>
  <c r="L48" i="67"/>
  <c r="F6" i="15"/>
  <c r="F40" i="67"/>
  <c r="L47" i="15"/>
  <c r="F43" i="15"/>
  <c r="F13" i="67"/>
  <c r="F38" i="15"/>
  <c r="F40" i="15"/>
  <c r="G1" i="73"/>
  <c r="C24" i="43" l="1"/>
  <c r="H56" i="43"/>
  <c r="H51" i="43"/>
  <c r="H55" i="43"/>
  <c r="H54" i="43"/>
  <c r="H53" i="43"/>
  <c r="H48" i="43"/>
  <c r="H50" i="43"/>
  <c r="H52" i="43"/>
  <c r="AZ129" i="3"/>
  <c r="AZ261" i="3"/>
  <c r="AZ219" i="3"/>
  <c r="AZ104" i="3"/>
  <c r="AZ96" i="3"/>
  <c r="AZ65" i="3"/>
  <c r="AZ239" i="3"/>
  <c r="AZ168" i="3"/>
  <c r="AZ230" i="3"/>
  <c r="G30" i="6"/>
  <c r="G31" i="6" s="1"/>
  <c r="AZ208" i="3"/>
  <c r="AZ278" i="3"/>
  <c r="E28" i="6"/>
  <c r="E11" i="6"/>
  <c r="E61" i="39" s="1"/>
  <c r="D115" i="43"/>
  <c r="E115" i="43" s="1"/>
  <c r="F115" i="43" s="1"/>
  <c r="G115" i="43" s="1"/>
  <c r="H115" i="43" s="1"/>
  <c r="B116" i="43"/>
  <c r="C116" i="43" s="1"/>
  <c r="I116" i="43"/>
  <c r="J116" i="43" s="1"/>
  <c r="K116" i="43" s="1"/>
  <c r="L116" i="43" s="1"/>
  <c r="M116" i="43" s="1"/>
  <c r="D118" i="43"/>
  <c r="E118" i="43" s="1"/>
  <c r="F118" i="43" s="1"/>
  <c r="D117" i="43"/>
  <c r="E117" i="43" s="1"/>
  <c r="F117" i="43" s="1"/>
  <c r="G117" i="43" s="1"/>
  <c r="H117" i="43" s="1"/>
  <c r="B117" i="43"/>
  <c r="C117" i="43" s="1"/>
  <c r="I118" i="43"/>
  <c r="J118" i="43" s="1"/>
  <c r="K118" i="43" s="1"/>
  <c r="L118" i="43" s="1"/>
  <c r="M118" i="43" s="1"/>
  <c r="E13" i="6"/>
  <c r="E58" i="40" s="1"/>
  <c r="N104" i="43"/>
  <c r="N106" i="43"/>
  <c r="E12" i="6"/>
  <c r="E62" i="39" s="1"/>
  <c r="J105" i="43"/>
  <c r="E8" i="6"/>
  <c r="G107" i="43"/>
  <c r="I117" i="43"/>
  <c r="J117" i="43" s="1"/>
  <c r="K117" i="43" s="1"/>
  <c r="L117" i="43" s="1"/>
  <c r="M117" i="43" s="1"/>
  <c r="D116" i="43"/>
  <c r="E116" i="43" s="1"/>
  <c r="F116" i="43" s="1"/>
  <c r="G116" i="43" s="1"/>
  <c r="H116" i="43" s="1"/>
  <c r="I115" i="43"/>
  <c r="J115" i="43" s="1"/>
  <c r="K115" i="43" s="1"/>
  <c r="L115" i="43" s="1"/>
  <c r="M115" i="43" s="1"/>
  <c r="AR12" i="1"/>
  <c r="C4" i="4"/>
  <c r="K4" i="4" s="1"/>
  <c r="B46" i="48" s="1"/>
  <c r="B4" i="72" s="1"/>
  <c r="F106" i="43"/>
  <c r="G109" i="43"/>
  <c r="T12" i="1"/>
  <c r="K109" i="43"/>
  <c r="G103" i="43"/>
  <c r="N109" i="43"/>
  <c r="J106" i="43"/>
  <c r="J102" i="43"/>
  <c r="N105" i="43"/>
  <c r="J109" i="43"/>
  <c r="C102" i="43"/>
  <c r="J103" i="43"/>
  <c r="N103" i="43"/>
  <c r="D22" i="43"/>
  <c r="C106" i="43"/>
  <c r="N107" i="43"/>
  <c r="K105" i="43"/>
  <c r="K107" i="43"/>
  <c r="J107" i="43"/>
  <c r="E57" i="40"/>
  <c r="S36" i="39"/>
  <c r="AA36" i="39"/>
  <c r="AA9" i="33"/>
  <c r="S9" i="33"/>
  <c r="AA38" i="40"/>
  <c r="S38" i="40"/>
  <c r="T10" i="1"/>
  <c r="C103" i="43"/>
  <c r="F102" i="43"/>
  <c r="AZ235" i="3"/>
  <c r="AZ81" i="3"/>
  <c r="AZ55" i="3"/>
  <c r="AZ415" i="3"/>
  <c r="AB39" i="37"/>
  <c r="U39" i="37"/>
  <c r="AC32" i="36"/>
  <c r="W32" i="36"/>
  <c r="AZ562" i="3"/>
  <c r="AZ498" i="3"/>
  <c r="AZ575" i="3"/>
  <c r="AR10" i="1"/>
  <c r="F105" i="43"/>
  <c r="K106" i="43"/>
  <c r="K104" i="43"/>
  <c r="C105" i="43"/>
  <c r="F107" i="43"/>
  <c r="U9" i="33"/>
  <c r="E15" i="6"/>
  <c r="AZ101" i="3"/>
  <c r="AZ83" i="3"/>
  <c r="AZ177" i="3"/>
  <c r="AZ47" i="3"/>
  <c r="AZ291" i="3"/>
  <c r="S39" i="37"/>
  <c r="AA39" i="37"/>
  <c r="AA35" i="39"/>
  <c r="S35" i="39"/>
  <c r="W34" i="36"/>
  <c r="AC34" i="36"/>
  <c r="AZ577" i="3"/>
  <c r="AZ527" i="3"/>
  <c r="AZ515" i="3"/>
  <c r="AZ532" i="3"/>
  <c r="AZ520" i="3"/>
  <c r="AZ526" i="3"/>
  <c r="AZ542" i="3"/>
  <c r="AC13" i="36"/>
  <c r="W13" i="36"/>
  <c r="AZ567" i="3"/>
  <c r="AZ36" i="3"/>
  <c r="AA44" i="39"/>
  <c r="S44" i="39"/>
  <c r="U26" i="33"/>
  <c r="AB26" i="33"/>
  <c r="BA5" i="3"/>
  <c r="AA25" i="35"/>
  <c r="F29" i="6"/>
  <c r="F30" i="6" s="1"/>
  <c r="AZ582" i="3"/>
  <c r="AC36" i="39"/>
  <c r="W36" i="39"/>
  <c r="AA26" i="33"/>
  <c r="S26" i="33"/>
  <c r="AC31" i="40"/>
  <c r="W31" i="40"/>
  <c r="S27" i="21"/>
  <c r="U38" i="37"/>
  <c r="F109" i="43"/>
  <c r="E56" i="40"/>
  <c r="E10" i="6"/>
  <c r="AC27" i="21"/>
  <c r="S45" i="21"/>
  <c r="W46" i="33"/>
  <c r="C109" i="43"/>
  <c r="F103" i="43"/>
  <c r="G106" i="43"/>
  <c r="G118" i="43"/>
  <c r="H118" i="43" s="1"/>
  <c r="G104" i="43"/>
  <c r="K102" i="43"/>
  <c r="C107" i="43"/>
  <c r="G102" i="43"/>
  <c r="E14" i="6"/>
  <c r="E64" i="39" s="1"/>
  <c r="AA38" i="37"/>
  <c r="U31" i="39"/>
  <c r="AZ54" i="3"/>
  <c r="AZ207" i="3"/>
  <c r="AZ258" i="3"/>
  <c r="AZ28" i="3"/>
  <c r="AZ573" i="3"/>
  <c r="AZ529" i="3"/>
  <c r="AZ548" i="3"/>
  <c r="U12" i="33"/>
  <c r="AB12" i="33"/>
  <c r="AZ569" i="3"/>
  <c r="AZ523" i="3"/>
  <c r="AZ581" i="3"/>
  <c r="AC44" i="39"/>
  <c r="W44" i="39"/>
  <c r="AZ516" i="3"/>
  <c r="AZ544" i="3"/>
  <c r="AZ557" i="3"/>
  <c r="AZ560" i="3"/>
  <c r="AZ564" i="3"/>
  <c r="AZ568" i="3"/>
  <c r="AZ496" i="3"/>
  <c r="C10" i="67"/>
  <c r="C53" i="67"/>
  <c r="C10" i="15"/>
  <c r="C53" i="15"/>
  <c r="L58" i="15"/>
  <c r="Q73" i="15" s="1"/>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T11" i="1"/>
  <c r="D9" i="69"/>
  <c r="C9" i="69" s="1"/>
  <c r="D19" i="12"/>
  <c r="C19" i="12" s="1"/>
  <c r="AQ9" i="1"/>
  <c r="AR11" i="1"/>
  <c r="E59" i="40"/>
  <c r="D68" i="39"/>
  <c r="D70" i="39" s="1"/>
  <c r="C28" i="15"/>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L27" i="6"/>
  <c r="G16" i="1"/>
  <c r="H10" i="40" s="1"/>
  <c r="U10" i="40" s="1"/>
  <c r="L56" i="67"/>
  <c r="J57" i="67"/>
  <c r="J55" i="67" s="1"/>
  <c r="J58" i="67" s="1"/>
  <c r="Q50" i="67" s="1"/>
  <c r="F51" i="67"/>
  <c r="F68" i="67"/>
  <c r="Q71" i="67"/>
  <c r="F64" i="67"/>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M17" i="15"/>
  <c r="F31" i="15"/>
  <c r="F31" i="67"/>
  <c r="C17" i="15"/>
  <c r="M22" i="67"/>
  <c r="F38" i="67"/>
  <c r="F6" i="67"/>
  <c r="F7" i="67"/>
  <c r="F9" i="67"/>
  <c r="C16" i="15"/>
  <c r="M26" i="67"/>
  <c r="L47" i="67"/>
  <c r="M6" i="67"/>
  <c r="F42" i="67"/>
  <c r="M23" i="67"/>
  <c r="F26" i="67"/>
  <c r="F43" i="67"/>
  <c r="D5" i="43" l="1"/>
  <c r="C34" i="43" s="1"/>
  <c r="C30" i="69"/>
  <c r="C48" i="68"/>
  <c r="AZ5" i="3"/>
  <c r="E3" i="6" s="1"/>
  <c r="E63" i="39"/>
  <c r="B4" i="62"/>
  <c r="B71" i="72" s="1"/>
  <c r="S3" i="43"/>
  <c r="T3" i="43" s="1"/>
  <c r="V3" i="43" s="1"/>
  <c r="F27" i="6"/>
  <c r="F31" i="6" s="1"/>
  <c r="E56" i="39"/>
  <c r="E51" i="40"/>
  <c r="S4" i="43"/>
  <c r="T4" i="43" s="1"/>
  <c r="V4" i="43" s="1"/>
  <c r="C23" i="43"/>
  <c r="C21" i="43" s="1"/>
  <c r="C29" i="43" s="1"/>
  <c r="S7" i="43"/>
  <c r="T7" i="43" s="1"/>
  <c r="V7" i="43" s="1"/>
  <c r="S6" i="43"/>
  <c r="T6" i="43" s="1"/>
  <c r="V6" i="43" s="1"/>
  <c r="S2" i="43"/>
  <c r="T2" i="43" s="1"/>
  <c r="V2" i="43" s="1"/>
  <c r="S5" i="43"/>
  <c r="T5" i="43" s="1"/>
  <c r="V5" i="43" s="1"/>
  <c r="D113" i="43"/>
  <c r="J22" i="43" s="1"/>
  <c r="C6" i="67"/>
  <c r="C5" i="67" s="1"/>
  <c r="C32" i="67" s="1"/>
  <c r="C27" i="67"/>
  <c r="F71" i="67"/>
  <c r="L58" i="67"/>
  <c r="Q73" i="67" s="1"/>
  <c r="N59" i="67"/>
  <c r="L59" i="67" s="1"/>
  <c r="Q61" i="67" s="1"/>
  <c r="M59" i="67"/>
  <c r="F70" i="67"/>
  <c r="F50" i="67"/>
  <c r="C49" i="67" s="1"/>
  <c r="M7" i="67"/>
  <c r="J6" i="67" s="1"/>
  <c r="F66" i="67"/>
  <c r="AY6" i="3"/>
  <c r="AY87" i="3" s="1"/>
  <c r="E16" i="6"/>
  <c r="E29" i="6"/>
  <c r="E60" i="40"/>
  <c r="E65" i="39"/>
  <c r="L59" i="15"/>
  <c r="Q74" i="15" s="1"/>
  <c r="C30" i="11"/>
  <c r="E6" i="70"/>
  <c r="A18" i="62"/>
  <c r="B64" i="72" s="1"/>
  <c r="C33" i="43"/>
  <c r="G33" i="43" s="1"/>
  <c r="I33"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J10" i="15" s="1"/>
  <c r="F7" i="36"/>
  <c r="S7" i="36" s="1"/>
  <c r="H7" i="37"/>
  <c r="U7" i="37" s="1"/>
  <c r="H6" i="3"/>
  <c r="AC6" i="3"/>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F10" i="40"/>
  <c r="AA10" i="40" s="1"/>
  <c r="H10" i="39"/>
  <c r="J10" i="39"/>
  <c r="C49" i="15"/>
  <c r="Q60" i="15"/>
  <c r="M16" i="1"/>
  <c r="N16" i="1" s="1"/>
  <c r="F27" i="11"/>
  <c r="F1" i="67"/>
  <c r="Q52" i="67"/>
  <c r="F59" i="67"/>
  <c r="M17" i="67"/>
  <c r="C16" i="67"/>
  <c r="G39" i="43" l="1"/>
  <c r="I39" i="43" s="1"/>
  <c r="C36" i="43"/>
  <c r="E36" i="43" s="1"/>
  <c r="C35" i="43"/>
  <c r="G35" i="43" s="1"/>
  <c r="I35" i="43" s="1"/>
  <c r="D3" i="34"/>
  <c r="D19" i="11"/>
  <c r="C19" i="11" s="1"/>
  <c r="C20" i="11" s="1"/>
  <c r="C25" i="11" s="1"/>
  <c r="AY543" i="3"/>
  <c r="AY568" i="3"/>
  <c r="AY162" i="3"/>
  <c r="AY522" i="3"/>
  <c r="AY161" i="3"/>
  <c r="AY319" i="3"/>
  <c r="AY451" i="3"/>
  <c r="AY536" i="3"/>
  <c r="AY539" i="3"/>
  <c r="AY566" i="3"/>
  <c r="AY320" i="3"/>
  <c r="AY72" i="3"/>
  <c r="AY284" i="3"/>
  <c r="E27" i="6"/>
  <c r="AY443" i="3"/>
  <c r="AY301" i="3"/>
  <c r="AY305" i="3"/>
  <c r="AY480" i="3"/>
  <c r="AY270" i="3"/>
  <c r="AY417" i="3"/>
  <c r="AY74" i="3"/>
  <c r="AY164" i="3"/>
  <c r="BP6" i="3"/>
  <c r="AY113" i="3"/>
  <c r="AY324" i="3"/>
  <c r="AY173" i="3"/>
  <c r="AY229" i="3"/>
  <c r="C17" i="4"/>
  <c r="B4" i="52" s="1"/>
  <c r="B43" i="72" s="1"/>
  <c r="D3" i="33"/>
  <c r="AY143" i="3"/>
  <c r="AY265" i="3"/>
  <c r="AY538" i="3"/>
  <c r="AY81" i="3"/>
  <c r="AY483" i="3"/>
  <c r="AY368" i="3"/>
  <c r="AY105" i="3"/>
  <c r="AY116" i="3"/>
  <c r="AY289" i="3"/>
  <c r="AY386" i="3"/>
  <c r="AY500" i="3"/>
  <c r="AY62" i="3"/>
  <c r="AY445" i="3"/>
  <c r="AY153" i="3"/>
  <c r="AY580" i="3"/>
  <c r="AY275" i="3"/>
  <c r="AY238" i="3"/>
  <c r="AY20" i="3"/>
  <c r="AY326" i="3"/>
  <c r="AY209" i="3"/>
  <c r="AY50" i="3"/>
  <c r="AY307" i="3"/>
  <c r="AY200" i="3"/>
  <c r="AY359" i="3"/>
  <c r="AY79" i="3"/>
  <c r="AY402" i="3"/>
  <c r="AY250" i="3"/>
  <c r="AY523" i="3"/>
  <c r="AY419" i="3"/>
  <c r="AY215" i="3"/>
  <c r="AY507" i="3"/>
  <c r="AY286" i="3"/>
  <c r="AY84" i="3"/>
  <c r="AY478" i="3"/>
  <c r="AY412" i="3"/>
  <c r="AY183" i="3"/>
  <c r="AY103" i="3"/>
  <c r="D3" i="37"/>
  <c r="AY521" i="3"/>
  <c r="AY240" i="3"/>
  <c r="AY107" i="3"/>
  <c r="AY315" i="3"/>
  <c r="AY151" i="3"/>
  <c r="AY551" i="3"/>
  <c r="AY434" i="3"/>
  <c r="AY361" i="3"/>
  <c r="AY64" i="3"/>
  <c r="AY552" i="3"/>
  <c r="AY406" i="3"/>
  <c r="AY370" i="3"/>
  <c r="AY29" i="3"/>
  <c r="AY373" i="3"/>
  <c r="AY134" i="3"/>
  <c r="AY52" i="3"/>
  <c r="AY573" i="3"/>
  <c r="AY212" i="3"/>
  <c r="AY455" i="3"/>
  <c r="AY204" i="3"/>
  <c r="AY196" i="3"/>
  <c r="D14" i="12"/>
  <c r="D17" i="12" s="1"/>
  <c r="C17" i="12" s="1"/>
  <c r="E66" i="39"/>
  <c r="L18" i="9"/>
  <c r="E6" i="6"/>
  <c r="D10" i="68" s="1"/>
  <c r="D3" i="21"/>
  <c r="BT6" i="3"/>
  <c r="AY477" i="3"/>
  <c r="AY257" i="3"/>
  <c r="AY71" i="3"/>
  <c r="AY408" i="3"/>
  <c r="AY394" i="3"/>
  <c r="AY19" i="3"/>
  <c r="AY545" i="3"/>
  <c r="AY505" i="3"/>
  <c r="AY479" i="3"/>
  <c r="AY396" i="3"/>
  <c r="AY174" i="3"/>
  <c r="AY532" i="3"/>
  <c r="AY572" i="3"/>
  <c r="AY438" i="3"/>
  <c r="AY341" i="3"/>
  <c r="AY121" i="3"/>
  <c r="AY88" i="3"/>
  <c r="AY227" i="3"/>
  <c r="AY291" i="3"/>
  <c r="AY193" i="3"/>
  <c r="AY100" i="3"/>
  <c r="AY557" i="3"/>
  <c r="AY343" i="3"/>
  <c r="AY497" i="3"/>
  <c r="AY363" i="3"/>
  <c r="AY261" i="3"/>
  <c r="AY160" i="3"/>
  <c r="M18" i="9"/>
  <c r="B118" i="9" s="1"/>
  <c r="B14" i="74" s="1"/>
  <c r="B1" i="74" s="1"/>
  <c r="D37" i="11"/>
  <c r="AY400" i="3"/>
  <c r="AY351" i="3"/>
  <c r="AY293" i="3"/>
  <c r="AY54" i="3"/>
  <c r="AY547" i="3"/>
  <c r="AY485" i="3"/>
  <c r="AY248" i="3"/>
  <c r="AY172" i="3"/>
  <c r="AY493" i="3"/>
  <c r="AY515" i="3"/>
  <c r="AY415" i="3"/>
  <c r="AY476" i="3"/>
  <c r="AY337" i="3"/>
  <c r="AY267" i="3"/>
  <c r="AY21" i="3"/>
  <c r="AY496" i="3"/>
  <c r="AY520" i="3"/>
  <c r="AY503" i="3"/>
  <c r="AY449" i="3"/>
  <c r="AY309" i="3"/>
  <c r="AY258" i="3"/>
  <c r="AY181" i="3"/>
  <c r="BB6" i="3"/>
  <c r="AY384" i="3"/>
  <c r="AY255" i="3"/>
  <c r="AY141" i="3"/>
  <c r="AY198" i="3"/>
  <c r="AY69" i="3"/>
  <c r="AY540" i="3"/>
  <c r="AY436" i="3"/>
  <c r="AY379" i="3"/>
  <c r="AY43" i="3"/>
  <c r="AY489" i="3"/>
  <c r="AY252" i="3"/>
  <c r="AY123" i="3"/>
  <c r="AY139" i="3"/>
  <c r="AY67" i="3"/>
  <c r="Q74" i="67"/>
  <c r="Q60" i="67"/>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25"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E30" i="6"/>
  <c r="K15" i="1"/>
  <c r="K16" i="1" s="1"/>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C13" i="12"/>
  <c r="P16" i="1"/>
  <c r="C11" i="12" s="1"/>
  <c r="C26" i="12"/>
  <c r="D25" i="12" s="1"/>
  <c r="F34" i="11"/>
  <c r="F11" i="12"/>
  <c r="F34" i="68"/>
  <c r="C36" i="68" s="1"/>
  <c r="AC10" i="40"/>
  <c r="C26" i="68"/>
  <c r="D22" i="68" s="1"/>
  <c r="C44" i="68"/>
  <c r="D41" i="68" s="1"/>
  <c r="C26" i="69"/>
  <c r="D22" i="69" s="1"/>
  <c r="C44" i="69"/>
  <c r="D41" i="69" s="1"/>
  <c r="C26" i="11"/>
  <c r="D22" i="11" s="1"/>
  <c r="C24" i="11"/>
  <c r="C44" i="11"/>
  <c r="D41" i="11" s="1"/>
  <c r="C23" i="11"/>
  <c r="E33" i="43"/>
  <c r="C30" i="43"/>
  <c r="E30" i="43" s="1"/>
  <c r="E29" i="43"/>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E35" i="43" l="1"/>
  <c r="C26" i="43" s="1"/>
  <c r="G36" i="43"/>
  <c r="I36" i="43" s="1"/>
  <c r="C27" i="43" s="1"/>
  <c r="E31" i="6"/>
  <c r="K24" i="6"/>
  <c r="M24" i="6" s="1"/>
  <c r="I24" i="6" s="1"/>
  <c r="S24" i="6" s="1"/>
  <c r="K21" i="6"/>
  <c r="M21" i="6" s="1"/>
  <c r="I21" i="6" s="1"/>
  <c r="S21" i="6" s="1"/>
  <c r="K19" i="6"/>
  <c r="S6" i="1" s="1"/>
  <c r="AQ6" i="1" s="1"/>
  <c r="K22" i="6"/>
  <c r="M22" i="6" s="1"/>
  <c r="I22" i="6" s="1"/>
  <c r="S22" i="6" s="1"/>
  <c r="K20" i="6"/>
  <c r="K23" i="6"/>
  <c r="M23" i="6" s="1"/>
  <c r="I23" i="6" s="1"/>
  <c r="S23" i="6" s="1"/>
  <c r="K26" i="6"/>
  <c r="M26" i="6" s="1"/>
  <c r="I26" i="6" s="1"/>
  <c r="S26" i="6" s="1"/>
  <c r="K25" i="6"/>
  <c r="M25" i="6" s="1"/>
  <c r="I25" i="6" s="1"/>
  <c r="S25" i="6" s="1"/>
  <c r="C37" i="11"/>
  <c r="D20" i="12"/>
  <c r="C20" i="12" s="1"/>
  <c r="C18" i="12" s="1"/>
  <c r="D10" i="11"/>
  <c r="C10" i="11" s="1"/>
  <c r="D13" i="6"/>
  <c r="D14" i="6"/>
  <c r="D15" i="6"/>
  <c r="M19" i="9"/>
  <c r="C118" i="9" s="1"/>
  <c r="C14" i="74" s="1"/>
  <c r="B2" i="74" s="1"/>
  <c r="D9" i="6"/>
  <c r="D23" i="6"/>
  <c r="D26" i="6"/>
  <c r="D28" i="6"/>
  <c r="D30" i="6" s="1"/>
  <c r="D12" i="6"/>
  <c r="D21" i="6"/>
  <c r="H21" i="6"/>
  <c r="L19" i="9"/>
  <c r="D5" i="6"/>
  <c r="C18" i="4"/>
  <c r="A7" i="51" s="1"/>
  <c r="B7" i="72" s="1"/>
  <c r="E61" i="40"/>
  <c r="D11" i="6"/>
  <c r="D20" i="6"/>
  <c r="D8" i="6"/>
  <c r="D19" i="6"/>
  <c r="H23" i="6"/>
  <c r="R23" i="6" s="1"/>
  <c r="D29" i="6"/>
  <c r="D10" i="6"/>
  <c r="D6" i="6"/>
  <c r="D24" i="6"/>
  <c r="D22" i="6"/>
  <c r="AA7" i="34"/>
  <c r="R49" i="34" s="1"/>
  <c r="C34" i="11"/>
  <c r="C35" i="11" s="1"/>
  <c r="C36" i="11"/>
  <c r="J24" i="67"/>
  <c r="J18" i="67"/>
  <c r="J24" i="15"/>
  <c r="J18" i="15"/>
  <c r="G36" i="36"/>
  <c r="R37" i="36"/>
  <c r="AB7" i="34"/>
  <c r="T49" i="34" s="1"/>
  <c r="G49" i="34" s="1"/>
  <c r="G53" i="34" s="1"/>
  <c r="H53" i="34" s="1"/>
  <c r="W7" i="21"/>
  <c r="AA7" i="21"/>
  <c r="R48" i="21" s="1"/>
  <c r="E48" i="21" s="1"/>
  <c r="E52" i="21" s="1"/>
  <c r="F52" i="21" s="1"/>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E6" i="76"/>
  <c r="T6" i="1" l="1"/>
  <c r="AR6" i="1"/>
  <c r="H24" i="6"/>
  <c r="R24" i="6" s="1"/>
  <c r="K27" i="6"/>
  <c r="M19" i="6"/>
  <c r="D27" i="6"/>
  <c r="D31" i="6" s="1"/>
  <c r="I6" i="6" s="1"/>
  <c r="H25" i="6"/>
  <c r="R25" i="6" s="1"/>
  <c r="H22" i="6"/>
  <c r="R22" i="6" s="1"/>
  <c r="D16" i="6"/>
  <c r="H26" i="6"/>
  <c r="R26" i="6" s="1"/>
  <c r="S7" i="1"/>
  <c r="M20" i="6"/>
  <c r="I20" i="6" s="1"/>
  <c r="R21" i="6"/>
  <c r="R8" i="1" s="1"/>
  <c r="C4" i="52"/>
  <c r="B45" i="72" s="1"/>
  <c r="A10" i="51"/>
  <c r="B9" i="72" s="1"/>
  <c r="C38" i="11"/>
  <c r="C33" i="11" s="1"/>
  <c r="C42" i="11" s="1"/>
  <c r="E2" i="76"/>
  <c r="B2" i="43"/>
  <c r="C6" i="68"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C7" i="68" l="1"/>
  <c r="C5" i="68" s="1"/>
  <c r="I19" i="6"/>
  <c r="M27" i="6"/>
  <c r="E7" i="70"/>
  <c r="T7" i="1"/>
  <c r="AR7" i="1"/>
  <c r="AQ7" i="1"/>
  <c r="S20" i="6"/>
  <c r="H20" i="6"/>
  <c r="R20" i="6" s="1"/>
  <c r="R7" i="1" s="1"/>
  <c r="I5" i="6"/>
  <c r="B2" i="76"/>
  <c r="B3" i="76" s="1"/>
  <c r="B3" i="43"/>
  <c r="C49" i="21"/>
  <c r="C24" i="68"/>
  <c r="C22" i="12"/>
  <c r="C33" i="68"/>
  <c r="I63" i="40"/>
  <c r="H65" i="40"/>
  <c r="C39" i="11"/>
  <c r="C43" i="11" s="1"/>
  <c r="C41" i="11" s="1"/>
  <c r="I70" i="39"/>
  <c r="M21" i="67"/>
  <c r="F35" i="67"/>
  <c r="C23" i="68" l="1"/>
  <c r="C20" i="68"/>
  <c r="C28" i="68" s="1"/>
  <c r="C27" i="68" s="1"/>
  <c r="F63" i="67"/>
  <c r="C62" i="67" s="1"/>
  <c r="C34" i="67"/>
  <c r="J20" i="67"/>
  <c r="H19" i="6"/>
  <c r="I27" i="6"/>
  <c r="S19" i="6"/>
  <c r="S27" i="6" s="1"/>
  <c r="C39" i="68"/>
  <c r="C43" i="68" s="1"/>
  <c r="C42" i="68"/>
  <c r="J63" i="40"/>
  <c r="I65" i="40"/>
  <c r="C46" i="11"/>
  <c r="C45" i="11" s="1"/>
  <c r="C49" i="11" s="1"/>
  <c r="C51" i="11" s="1"/>
  <c r="C52" i="11" s="1"/>
  <c r="B2" i="11" s="1"/>
  <c r="B3" i="11" s="1"/>
  <c r="J70" i="39"/>
  <c r="C25" i="68" l="1"/>
  <c r="C22" i="68" s="1"/>
  <c r="C31" i="68" s="1"/>
  <c r="H27" i="6"/>
  <c r="R19" i="6"/>
  <c r="C41" i="68"/>
  <c r="C46" i="68"/>
  <c r="C45" i="68" s="1"/>
  <c r="K63" i="40"/>
  <c r="J65" i="40"/>
  <c r="K70" i="39"/>
  <c r="C56" i="11"/>
  <c r="C57" i="11" s="1"/>
  <c r="R27" i="6" l="1"/>
  <c r="R6" i="1"/>
  <c r="C49" i="68"/>
  <c r="C51" i="68" s="1"/>
  <c r="C52" i="68" s="1"/>
  <c r="C57" i="68" s="1"/>
  <c r="C56" i="68" s="1"/>
  <c r="L63" i="40"/>
  <c r="K65" i="40"/>
  <c r="L70" i="39"/>
  <c r="E2" i="70"/>
  <c r="C34" i="69"/>
  <c r="M21" i="15"/>
  <c r="C17" i="67"/>
  <c r="J20" i="15" l="1"/>
  <c r="C34" i="15"/>
  <c r="F63" i="15"/>
  <c r="C62" i="15" s="1"/>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33" i="15"/>
  <c r="C31" i="15" s="1"/>
  <c r="C13" i="15"/>
  <c r="C37" i="15" s="1"/>
  <c r="C36" i="15"/>
  <c r="J14" i="15"/>
  <c r="J22" i="15" s="1"/>
  <c r="C30" i="15" l="1"/>
  <c r="C39" i="15" s="1"/>
  <c r="Q69" i="15" s="1"/>
  <c r="C56" i="15"/>
  <c r="C48" i="15" s="1"/>
  <c r="C61" i="15" s="1"/>
  <c r="C64" i="15"/>
  <c r="Q70" i="15"/>
  <c r="C75" i="15"/>
  <c r="J13" i="15"/>
  <c r="J23" i="15" s="1"/>
  <c r="J16" i="15" s="1"/>
  <c r="J25" i="15" s="1"/>
  <c r="AE8" i="1"/>
  <c r="AE6" i="1"/>
  <c r="L51" i="15"/>
  <c r="C66" i="15" l="1"/>
  <c r="C60" i="15"/>
  <c r="C59" i="15" s="1"/>
  <c r="AG6" i="1"/>
  <c r="C80" i="15"/>
  <c r="C79" i="15" s="1"/>
  <c r="C65" i="15"/>
  <c r="Q68" i="15"/>
  <c r="L57" i="15"/>
  <c r="L60" i="15" s="1"/>
  <c r="Q67" i="15"/>
  <c r="F41" i="67"/>
  <c r="M27" i="15"/>
  <c r="M27" i="67"/>
  <c r="F41" i="15"/>
  <c r="J26" i="15" l="1"/>
  <c r="J29" i="15" s="1"/>
  <c r="J26" i="67"/>
  <c r="J29" i="67" s="1"/>
  <c r="C58" i="15"/>
  <c r="C67" i="15" s="1"/>
  <c r="F69" i="15"/>
  <c r="C40" i="15"/>
  <c r="L46" i="15"/>
  <c r="Q57" i="15"/>
  <c r="Q66" i="15"/>
  <c r="F69" i="67"/>
  <c r="C68" i="67" s="1"/>
  <c r="C71" i="67" s="1"/>
  <c r="C40" i="67"/>
  <c r="C83" i="67" s="1"/>
  <c r="C82" i="67" s="1"/>
  <c r="C43" i="15" l="1"/>
  <c r="C8" i="12"/>
  <c r="C4" i="1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C31" i="12" l="1"/>
  <c r="C23" i="12"/>
  <c r="B8" i="70"/>
  <c r="B7" i="70"/>
  <c r="B6" i="70"/>
  <c r="C46" i="15"/>
  <c r="B2" i="69"/>
  <c r="B3" i="69" s="1"/>
  <c r="B2" i="68"/>
  <c r="B3" i="67"/>
  <c r="D2" i="34"/>
  <c r="D2" i="37"/>
  <c r="C19" i="9"/>
  <c r="F20" i="31"/>
  <c r="D2" i="33"/>
  <c r="E2" i="68"/>
  <c r="D2" i="21"/>
  <c r="D2" i="35"/>
  <c r="D2" i="36"/>
  <c r="C30" i="12" l="1"/>
  <c r="C28" i="12" s="1"/>
  <c r="C27" i="12"/>
  <c r="C25" i="12" s="1"/>
  <c r="B20" i="31"/>
  <c r="B2" i="36"/>
  <c r="B3" i="36" s="1"/>
  <c r="B2" i="35"/>
  <c r="B3" i="35" s="1"/>
  <c r="B2" i="37"/>
  <c r="B3" i="37" s="1"/>
  <c r="B2" i="34"/>
  <c r="B3" i="34" s="1"/>
  <c r="B2" i="21"/>
  <c r="B3" i="21" s="1"/>
  <c r="B2" i="70"/>
  <c r="B3" i="70" s="1"/>
  <c r="C102" i="9"/>
  <c r="C21" i="9"/>
  <c r="B3" i="68"/>
  <c r="C20" i="9"/>
  <c r="C32" i="12" l="1"/>
  <c r="B2" i="12" s="1"/>
  <c r="C103" i="9"/>
  <c r="D19" i="9"/>
  <c r="D21" i="9" l="1"/>
  <c r="G19" i="9"/>
  <c r="G21" i="9" s="1"/>
  <c r="D102" i="9"/>
  <c r="D22" i="9"/>
  <c r="B3" i="12"/>
  <c r="T17" i="1"/>
  <c r="D20" i="9"/>
  <c r="D34" i="9"/>
  <c r="C32" i="9" l="1"/>
  <c r="G20" i="9"/>
  <c r="D103" i="9"/>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3" i="9"/>
  <c r="M63" i="9" s="1"/>
  <c r="L65" i="9"/>
  <c r="M65" i="9" s="1"/>
  <c r="L67" i="9"/>
  <c r="M67" i="9" s="1"/>
  <c r="L66" i="9"/>
  <c r="M66" i="9" s="1"/>
  <c r="L64" i="9"/>
  <c r="M64" i="9" s="1"/>
  <c r="D45" i="9"/>
  <c r="D53" i="9" s="1"/>
  <c r="D48" i="9" s="1"/>
  <c r="M52"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AD3" i="71"/>
  <c r="P21" i="43" s="1"/>
  <c r="N61" i="9" l="1"/>
  <c r="N60" i="9"/>
  <c r="P22" i="43"/>
  <c r="P23" i="43"/>
  <c r="B71" i="39" s="1"/>
  <c r="P24" i="43"/>
  <c r="B66" i="40" s="1"/>
  <c r="P25"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563662F3-BBA4-4325-8CFC-E8F270595B8E}">
      <text>
        <r>
          <rPr>
            <b/>
            <sz val="9"/>
            <color indexed="81"/>
            <rFont val="宋体"/>
            <family val="3"/>
            <charset val="134"/>
          </rPr>
          <t>对应区片地价表</t>
        </r>
        <r>
          <rPr>
            <sz val="9"/>
            <color indexed="81"/>
            <rFont val="宋体"/>
            <family val="3"/>
            <charset val="134"/>
          </rPr>
          <t xml:space="preserve">
</t>
        </r>
      </text>
    </comment>
    <comment ref="Y9" authorId="1" shapeId="0" xr:uid="{6607FD09-B5F4-477C-BBEA-44F310714C57}">
      <text>
        <r>
          <rPr>
            <sz val="11"/>
            <color indexed="81"/>
            <rFont val="宋体"/>
            <family val="3"/>
            <charset val="134"/>
          </rPr>
          <t xml:space="preserve">录入层数，将对应的结果录入至左侧相应层的楼层修正系数单元格中
</t>
        </r>
      </text>
    </comment>
    <comment ref="E17" authorId="2" shapeId="0" xr:uid="{1FBC1D2F-7554-44CE-97B8-0B011027716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91F244E0-7DC6-49DF-B52D-133658556606}">
      <text>
        <r>
          <rPr>
            <b/>
            <sz val="9"/>
            <color indexed="81"/>
            <rFont val="宋体"/>
            <family val="3"/>
            <charset val="134"/>
          </rPr>
          <t xml:space="preserve">所在楼层
</t>
        </r>
        <r>
          <rPr>
            <sz val="9"/>
            <color indexed="81"/>
            <rFont val="宋体"/>
            <family val="3"/>
            <charset val="134"/>
          </rPr>
          <t xml:space="preserve">
</t>
        </r>
      </text>
    </comment>
    <comment ref="D99" authorId="0" shapeId="0" xr:uid="{30DB7800-148F-44EF-A9BB-179A9C07BEB1}">
      <text>
        <r>
          <rPr>
            <b/>
            <sz val="9"/>
            <color indexed="81"/>
            <rFont val="宋体"/>
            <family val="3"/>
            <charset val="134"/>
          </rPr>
          <t xml:space="preserve">所在楼层
</t>
        </r>
        <r>
          <rPr>
            <sz val="9"/>
            <color indexed="81"/>
            <rFont val="宋体"/>
            <family val="3"/>
            <charset val="134"/>
          </rPr>
          <t xml:space="preserve">
</t>
        </r>
      </text>
    </comment>
    <comment ref="E99" authorId="0" shapeId="0" xr:uid="{87A72484-4792-4550-B2CD-C8DF862DCDD4}">
      <text>
        <r>
          <rPr>
            <b/>
            <sz val="9"/>
            <color indexed="81"/>
            <rFont val="宋体"/>
            <family val="3"/>
            <charset val="134"/>
          </rPr>
          <t xml:space="preserve">所在楼层
</t>
        </r>
        <r>
          <rPr>
            <sz val="9"/>
            <color indexed="81"/>
            <rFont val="宋体"/>
            <family val="3"/>
            <charset val="134"/>
          </rPr>
          <t xml:space="preserve">
</t>
        </r>
      </text>
    </comment>
    <comment ref="F99" authorId="0" shapeId="0" xr:uid="{61EE8901-8D94-46C4-B3E5-FD1660790A99}">
      <text>
        <r>
          <rPr>
            <b/>
            <sz val="9"/>
            <color indexed="81"/>
            <rFont val="宋体"/>
            <family val="3"/>
            <charset val="134"/>
          </rPr>
          <t xml:space="preserve">所在楼层
</t>
        </r>
        <r>
          <rPr>
            <sz val="9"/>
            <color indexed="81"/>
            <rFont val="宋体"/>
            <family val="3"/>
            <charset val="134"/>
          </rPr>
          <t xml:space="preserve">
</t>
        </r>
      </text>
    </comment>
    <comment ref="G99" authorId="0" shapeId="0" xr:uid="{5F5F7079-9A21-4EC5-AF8D-5F5EBDCA34C6}">
      <text>
        <r>
          <rPr>
            <b/>
            <sz val="9"/>
            <color indexed="81"/>
            <rFont val="宋体"/>
            <family val="3"/>
            <charset val="134"/>
          </rPr>
          <t xml:space="preserve">所在楼层
</t>
        </r>
        <r>
          <rPr>
            <sz val="9"/>
            <color indexed="81"/>
            <rFont val="宋体"/>
            <family val="3"/>
            <charset val="134"/>
          </rPr>
          <t xml:space="preserve">
</t>
        </r>
      </text>
    </comment>
    <comment ref="H99" authorId="0" shapeId="0" xr:uid="{4AE09157-8539-44D6-AE72-0DE92D8A8385}">
      <text>
        <r>
          <rPr>
            <b/>
            <sz val="9"/>
            <color indexed="81"/>
            <rFont val="宋体"/>
            <family val="3"/>
            <charset val="134"/>
          </rPr>
          <t xml:space="preserve">所在楼层
</t>
        </r>
        <r>
          <rPr>
            <sz val="9"/>
            <color indexed="81"/>
            <rFont val="宋体"/>
            <family val="3"/>
            <charset val="134"/>
          </rPr>
          <t xml:space="preserve">
</t>
        </r>
      </text>
    </comment>
    <comment ref="I99" authorId="0" shapeId="0" xr:uid="{8561F14D-E23B-4F11-80D4-54A2175299B5}">
      <text>
        <r>
          <rPr>
            <b/>
            <sz val="9"/>
            <color indexed="81"/>
            <rFont val="宋体"/>
            <family val="3"/>
            <charset val="134"/>
          </rPr>
          <t xml:space="preserve">所在楼层
</t>
        </r>
        <r>
          <rPr>
            <sz val="9"/>
            <color indexed="81"/>
            <rFont val="宋体"/>
            <family val="3"/>
            <charset val="134"/>
          </rPr>
          <t xml:space="preserve">
</t>
        </r>
      </text>
    </comment>
    <comment ref="J99" authorId="0" shapeId="0" xr:uid="{06D1A412-29DF-40EA-8034-78F096EA434F}">
      <text>
        <r>
          <rPr>
            <b/>
            <sz val="9"/>
            <color indexed="81"/>
            <rFont val="宋体"/>
            <family val="3"/>
            <charset val="134"/>
          </rPr>
          <t xml:space="preserve">所在楼层
</t>
        </r>
        <r>
          <rPr>
            <sz val="9"/>
            <color indexed="81"/>
            <rFont val="宋体"/>
            <family val="3"/>
            <charset val="134"/>
          </rPr>
          <t xml:space="preserve">
</t>
        </r>
      </text>
    </comment>
    <comment ref="K99" authorId="0" shapeId="0" xr:uid="{B4464EF5-B46E-4BCF-ADF7-F550514CA135}">
      <text>
        <r>
          <rPr>
            <b/>
            <sz val="9"/>
            <color indexed="81"/>
            <rFont val="宋体"/>
            <family val="3"/>
            <charset val="134"/>
          </rPr>
          <t xml:space="preserve">所在楼层
</t>
        </r>
        <r>
          <rPr>
            <sz val="9"/>
            <color indexed="81"/>
            <rFont val="宋体"/>
            <family val="3"/>
            <charset val="134"/>
          </rPr>
          <t xml:space="preserve">
</t>
        </r>
      </text>
    </comment>
    <comment ref="L99" authorId="0" shapeId="0" xr:uid="{F5BCBF6A-B055-4269-8493-615B4555C6A8}">
      <text>
        <r>
          <rPr>
            <b/>
            <sz val="9"/>
            <color indexed="81"/>
            <rFont val="宋体"/>
            <family val="3"/>
            <charset val="134"/>
          </rPr>
          <t xml:space="preserve">所在楼层
</t>
        </r>
        <r>
          <rPr>
            <sz val="9"/>
            <color indexed="81"/>
            <rFont val="宋体"/>
            <family val="3"/>
            <charset val="134"/>
          </rPr>
          <t xml:space="preserve">
</t>
        </r>
      </text>
    </comment>
    <comment ref="M99" authorId="0" shapeId="0" xr:uid="{EA34CAEB-694F-4216-BCF7-CFE9536DB662}">
      <text>
        <r>
          <rPr>
            <b/>
            <sz val="9"/>
            <color indexed="81"/>
            <rFont val="宋体"/>
            <family val="3"/>
            <charset val="134"/>
          </rPr>
          <t xml:space="preserve">所在楼层
</t>
        </r>
        <r>
          <rPr>
            <sz val="9"/>
            <color indexed="81"/>
            <rFont val="宋体"/>
            <family val="3"/>
            <charset val="134"/>
          </rPr>
          <t xml:space="preserve">
</t>
        </r>
      </text>
    </comment>
    <comment ref="N99" authorId="0" shapeId="0" xr:uid="{945B2F59-1F6E-4F2A-8D2D-42D2383D4ED6}">
      <text>
        <r>
          <rPr>
            <b/>
            <sz val="9"/>
            <color indexed="81"/>
            <rFont val="宋体"/>
            <family val="3"/>
            <charset val="134"/>
          </rPr>
          <t xml:space="preserve">所在楼层
</t>
        </r>
        <r>
          <rPr>
            <sz val="9"/>
            <color indexed="81"/>
            <rFont val="宋体"/>
            <family val="3"/>
            <charset val="134"/>
          </rPr>
          <t xml:space="preserve">
</t>
        </r>
      </text>
    </comment>
    <comment ref="C101" authorId="0" shapeId="0" xr:uid="{FFC08874-159B-4212-91B0-44B8934DB729}">
      <text>
        <r>
          <rPr>
            <b/>
            <sz val="9"/>
            <color indexed="81"/>
            <rFont val="宋体"/>
            <family val="3"/>
            <charset val="134"/>
          </rPr>
          <t xml:space="preserve">容积率
</t>
        </r>
      </text>
    </comment>
    <comment ref="D101" authorId="0" shapeId="0" xr:uid="{B8290A47-40C7-4E8B-91A8-0298891D9524}">
      <text>
        <r>
          <rPr>
            <b/>
            <sz val="9"/>
            <color indexed="81"/>
            <rFont val="宋体"/>
            <family val="3"/>
            <charset val="134"/>
          </rPr>
          <t xml:space="preserve">容积率
</t>
        </r>
      </text>
    </comment>
    <comment ref="E101" authorId="0" shapeId="0" xr:uid="{3EBF57C4-AA99-4DDE-B24A-078F768F1433}">
      <text>
        <r>
          <rPr>
            <b/>
            <sz val="9"/>
            <color indexed="81"/>
            <rFont val="宋体"/>
            <family val="3"/>
            <charset val="134"/>
          </rPr>
          <t xml:space="preserve">容积率
</t>
        </r>
      </text>
    </comment>
    <comment ref="F101" authorId="0" shapeId="0" xr:uid="{BDD76FA5-2903-452C-9D94-A728FF57D73F}">
      <text>
        <r>
          <rPr>
            <b/>
            <sz val="9"/>
            <color indexed="81"/>
            <rFont val="宋体"/>
            <family val="3"/>
            <charset val="134"/>
          </rPr>
          <t xml:space="preserve">容积率
</t>
        </r>
      </text>
    </comment>
    <comment ref="G101" authorId="0" shapeId="0" xr:uid="{19CAA807-AD37-44B2-A775-F574734723A8}">
      <text>
        <r>
          <rPr>
            <b/>
            <sz val="9"/>
            <color indexed="81"/>
            <rFont val="宋体"/>
            <family val="3"/>
            <charset val="134"/>
          </rPr>
          <t xml:space="preserve">容积率
</t>
        </r>
      </text>
    </comment>
    <comment ref="H101" authorId="0" shapeId="0" xr:uid="{F6A1B65A-0C50-4369-9AAF-8EE6ACF4580D}">
      <text>
        <r>
          <rPr>
            <b/>
            <sz val="9"/>
            <color indexed="81"/>
            <rFont val="宋体"/>
            <family val="3"/>
            <charset val="134"/>
          </rPr>
          <t xml:space="preserve">容积率
</t>
        </r>
      </text>
    </comment>
    <comment ref="I101" authorId="0" shapeId="0" xr:uid="{97EBCDFA-E9A5-4FD8-9ECD-1ACDC52C973F}">
      <text>
        <r>
          <rPr>
            <b/>
            <sz val="9"/>
            <color indexed="81"/>
            <rFont val="宋体"/>
            <family val="3"/>
            <charset val="134"/>
          </rPr>
          <t xml:space="preserve">容积率
</t>
        </r>
      </text>
    </comment>
    <comment ref="J101" authorId="0" shapeId="0" xr:uid="{C62D96B6-65CC-4C29-9DDC-11011482A193}">
      <text>
        <r>
          <rPr>
            <b/>
            <sz val="9"/>
            <color indexed="81"/>
            <rFont val="宋体"/>
            <family val="3"/>
            <charset val="134"/>
          </rPr>
          <t xml:space="preserve">容积率
</t>
        </r>
      </text>
    </comment>
    <comment ref="K101" authorId="0" shapeId="0" xr:uid="{6F133EDE-F542-4571-AA52-1A92D1A1B46F}">
      <text>
        <r>
          <rPr>
            <b/>
            <sz val="9"/>
            <color indexed="81"/>
            <rFont val="宋体"/>
            <family val="3"/>
            <charset val="134"/>
          </rPr>
          <t xml:space="preserve">容积率
</t>
        </r>
      </text>
    </comment>
    <comment ref="L101" authorId="0" shapeId="0" xr:uid="{41816B46-D52F-400B-9091-01C7D52FB124}">
      <text>
        <r>
          <rPr>
            <b/>
            <sz val="9"/>
            <color indexed="81"/>
            <rFont val="宋体"/>
            <family val="3"/>
            <charset val="134"/>
          </rPr>
          <t xml:space="preserve">容积率
</t>
        </r>
      </text>
    </comment>
    <comment ref="M101" authorId="0" shapeId="0" xr:uid="{6D41BDAD-8CF6-444B-8A64-696F9E6A63B0}">
      <text>
        <r>
          <rPr>
            <b/>
            <sz val="9"/>
            <color indexed="81"/>
            <rFont val="宋体"/>
            <family val="3"/>
            <charset val="134"/>
          </rPr>
          <t xml:space="preserve">容积率
</t>
        </r>
      </text>
    </comment>
    <comment ref="N101" authorId="0" shapeId="0" xr:uid="{E8BA32D7-E9C6-4E94-AAF7-F8CED3DC304F}">
      <text>
        <r>
          <rPr>
            <b/>
            <sz val="9"/>
            <color indexed="81"/>
            <rFont val="宋体"/>
            <family val="3"/>
            <charset val="134"/>
          </rPr>
          <t xml:space="preserve">容积率
</t>
        </r>
      </text>
    </comment>
    <comment ref="C108" authorId="0" shapeId="0" xr:uid="{801A5CD4-8EF2-4DF3-9D4D-2B38E5DC7041}">
      <text>
        <r>
          <rPr>
            <b/>
            <sz val="9"/>
            <color indexed="81"/>
            <rFont val="宋体"/>
            <family val="3"/>
            <charset val="134"/>
          </rPr>
          <t xml:space="preserve">所在楼层
</t>
        </r>
        <r>
          <rPr>
            <sz val="9"/>
            <color indexed="81"/>
            <rFont val="宋体"/>
            <family val="3"/>
            <charset val="134"/>
          </rPr>
          <t xml:space="preserve">
</t>
        </r>
      </text>
    </comment>
    <comment ref="D108" authorId="0" shapeId="0" xr:uid="{E2FC2F35-EEA4-4E76-B55E-8F89C964815E}">
      <text>
        <r>
          <rPr>
            <b/>
            <sz val="9"/>
            <color indexed="81"/>
            <rFont val="宋体"/>
            <family val="3"/>
            <charset val="134"/>
          </rPr>
          <t xml:space="preserve">所在楼层
</t>
        </r>
        <r>
          <rPr>
            <sz val="9"/>
            <color indexed="81"/>
            <rFont val="宋体"/>
            <family val="3"/>
            <charset val="134"/>
          </rPr>
          <t xml:space="preserve">
</t>
        </r>
      </text>
    </comment>
    <comment ref="E108" authorId="0" shapeId="0" xr:uid="{20ADEA00-AC17-416A-8C11-AE824442FFD2}">
      <text>
        <r>
          <rPr>
            <b/>
            <sz val="9"/>
            <color indexed="81"/>
            <rFont val="宋体"/>
            <family val="3"/>
            <charset val="134"/>
          </rPr>
          <t xml:space="preserve">所在楼层
</t>
        </r>
        <r>
          <rPr>
            <sz val="9"/>
            <color indexed="81"/>
            <rFont val="宋体"/>
            <family val="3"/>
            <charset val="134"/>
          </rPr>
          <t xml:space="preserve">
</t>
        </r>
      </text>
    </comment>
    <comment ref="F108" authorId="0" shapeId="0" xr:uid="{5CAD5CE9-4C2C-41FE-A620-E1D2D6FC7D45}">
      <text>
        <r>
          <rPr>
            <b/>
            <sz val="9"/>
            <color indexed="81"/>
            <rFont val="宋体"/>
            <family val="3"/>
            <charset val="134"/>
          </rPr>
          <t xml:space="preserve">所在楼层
</t>
        </r>
        <r>
          <rPr>
            <sz val="9"/>
            <color indexed="81"/>
            <rFont val="宋体"/>
            <family val="3"/>
            <charset val="134"/>
          </rPr>
          <t xml:space="preserve">
</t>
        </r>
      </text>
    </comment>
    <comment ref="G108" authorId="0" shapeId="0" xr:uid="{F962020F-6B1C-4E45-A3F8-750F72DB8A7D}">
      <text>
        <r>
          <rPr>
            <b/>
            <sz val="9"/>
            <color indexed="81"/>
            <rFont val="宋体"/>
            <family val="3"/>
            <charset val="134"/>
          </rPr>
          <t xml:space="preserve">所在楼层
</t>
        </r>
        <r>
          <rPr>
            <sz val="9"/>
            <color indexed="81"/>
            <rFont val="宋体"/>
            <family val="3"/>
            <charset val="134"/>
          </rPr>
          <t xml:space="preserve">
</t>
        </r>
      </text>
    </comment>
    <comment ref="H108" authorId="0" shapeId="0" xr:uid="{4D6AF240-E0C9-4369-BD6A-B5010853C924}">
      <text>
        <r>
          <rPr>
            <b/>
            <sz val="9"/>
            <color indexed="81"/>
            <rFont val="宋体"/>
            <family val="3"/>
            <charset val="134"/>
          </rPr>
          <t xml:space="preserve">所在楼层
</t>
        </r>
        <r>
          <rPr>
            <sz val="9"/>
            <color indexed="81"/>
            <rFont val="宋体"/>
            <family val="3"/>
            <charset val="134"/>
          </rPr>
          <t xml:space="preserve">
</t>
        </r>
      </text>
    </comment>
    <comment ref="I108" authorId="0" shapeId="0" xr:uid="{3A5FEAD7-F001-4731-B53F-340ACF93F4B2}">
      <text>
        <r>
          <rPr>
            <b/>
            <sz val="9"/>
            <color indexed="81"/>
            <rFont val="宋体"/>
            <family val="3"/>
            <charset val="134"/>
          </rPr>
          <t xml:space="preserve">所在楼层
</t>
        </r>
        <r>
          <rPr>
            <sz val="9"/>
            <color indexed="81"/>
            <rFont val="宋体"/>
            <family val="3"/>
            <charset val="134"/>
          </rPr>
          <t xml:space="preserve">
</t>
        </r>
      </text>
    </comment>
    <comment ref="J108" authorId="0" shapeId="0" xr:uid="{844A675E-2E9B-4A05-989D-7490D341D5C7}">
      <text>
        <r>
          <rPr>
            <b/>
            <sz val="9"/>
            <color indexed="81"/>
            <rFont val="宋体"/>
            <family val="3"/>
            <charset val="134"/>
          </rPr>
          <t xml:space="preserve">所在楼层
</t>
        </r>
        <r>
          <rPr>
            <sz val="9"/>
            <color indexed="81"/>
            <rFont val="宋体"/>
            <family val="3"/>
            <charset val="134"/>
          </rPr>
          <t xml:space="preserve">
</t>
        </r>
      </text>
    </comment>
    <comment ref="K108" authorId="0" shapeId="0" xr:uid="{FDC5E506-5AC7-4833-B289-84115EBF00E6}">
      <text>
        <r>
          <rPr>
            <b/>
            <sz val="9"/>
            <color indexed="81"/>
            <rFont val="宋体"/>
            <family val="3"/>
            <charset val="134"/>
          </rPr>
          <t xml:space="preserve">所在楼层
</t>
        </r>
        <r>
          <rPr>
            <sz val="9"/>
            <color indexed="81"/>
            <rFont val="宋体"/>
            <family val="3"/>
            <charset val="134"/>
          </rPr>
          <t xml:space="preserve">
</t>
        </r>
      </text>
    </comment>
    <comment ref="L108" authorId="0" shapeId="0" xr:uid="{BFCE3881-76A2-4DDB-8CC9-C8E9CA3EE47C}">
      <text>
        <r>
          <rPr>
            <b/>
            <sz val="9"/>
            <color indexed="81"/>
            <rFont val="宋体"/>
            <family val="3"/>
            <charset val="134"/>
          </rPr>
          <t xml:space="preserve">所在楼层
</t>
        </r>
        <r>
          <rPr>
            <sz val="9"/>
            <color indexed="81"/>
            <rFont val="宋体"/>
            <family val="3"/>
            <charset val="134"/>
          </rPr>
          <t xml:space="preserve">
</t>
        </r>
      </text>
    </comment>
    <comment ref="M108" authorId="0" shapeId="0" xr:uid="{E664FC56-D33A-4E6A-804B-E103C1C0727B}">
      <text>
        <r>
          <rPr>
            <b/>
            <sz val="9"/>
            <color indexed="81"/>
            <rFont val="宋体"/>
            <family val="3"/>
            <charset val="134"/>
          </rPr>
          <t xml:space="preserve">所在楼层
</t>
        </r>
        <r>
          <rPr>
            <sz val="9"/>
            <color indexed="81"/>
            <rFont val="宋体"/>
            <family val="3"/>
            <charset val="134"/>
          </rPr>
          <t xml:space="preserve">
</t>
        </r>
      </text>
    </comment>
    <comment ref="N108" authorId="0" shapeId="0" xr:uid="{D34C0DD4-A9E8-484E-88BD-96C6754FF7BE}">
      <text>
        <r>
          <rPr>
            <b/>
            <sz val="9"/>
            <color indexed="81"/>
            <rFont val="宋体"/>
            <family val="3"/>
            <charset val="134"/>
          </rPr>
          <t xml:space="preserve">所在楼层
</t>
        </r>
        <r>
          <rPr>
            <sz val="9"/>
            <color indexed="81"/>
            <rFont val="宋体"/>
            <family val="3"/>
            <charset val="134"/>
          </rPr>
          <t xml:space="preserve">
</t>
        </r>
      </text>
    </comment>
    <comment ref="D113" authorId="0" shapeId="0" xr:uid="{15782AA1-867D-44B8-B6B7-85ED21D9D452}">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EB9AD44A-7691-4FED-B62C-906CC914CE82}">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F7C1FC4-8F37-4E84-9388-55A76371577B}">
      <text>
        <r>
          <rPr>
            <sz val="12"/>
            <color indexed="81"/>
            <rFont val="宋体"/>
            <family val="3"/>
            <charset val="134"/>
          </rPr>
          <t xml:space="preserve">名称在右侧单元格录入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CA8C8CC-27E4-4936-9025-7F107DD52C23}">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E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1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0000000}">
      <text>
        <r>
          <rPr>
            <b/>
            <sz val="9"/>
            <color indexed="81"/>
            <rFont val="宋体"/>
            <family val="3"/>
            <charset val="134"/>
          </rPr>
          <t xml:space="preserve">容积率
</t>
        </r>
      </text>
    </comment>
    <comment ref="D101" authorId="0" shapeId="0" xr:uid="{00000000-0006-0000-2100-000011000000}">
      <text>
        <r>
          <rPr>
            <b/>
            <sz val="9"/>
            <color indexed="81"/>
            <rFont val="宋体"/>
            <family val="3"/>
            <charset val="134"/>
          </rPr>
          <t xml:space="preserve">容积率
</t>
        </r>
      </text>
    </comment>
    <comment ref="E101" authorId="0" shapeId="0" xr:uid="{00000000-0006-0000-2100-000012000000}">
      <text>
        <r>
          <rPr>
            <b/>
            <sz val="9"/>
            <color indexed="81"/>
            <rFont val="宋体"/>
            <family val="3"/>
            <charset val="134"/>
          </rPr>
          <t xml:space="preserve">容积率
</t>
        </r>
      </text>
    </comment>
    <comment ref="F101" authorId="0" shapeId="0" xr:uid="{00000000-0006-0000-2100-000013000000}">
      <text>
        <r>
          <rPr>
            <b/>
            <sz val="9"/>
            <color indexed="81"/>
            <rFont val="宋体"/>
            <family val="3"/>
            <charset val="134"/>
          </rPr>
          <t xml:space="preserve">容积率
</t>
        </r>
      </text>
    </comment>
    <comment ref="G101" authorId="0" shapeId="0" xr:uid="{00000000-0006-0000-2100-000014000000}">
      <text>
        <r>
          <rPr>
            <b/>
            <sz val="9"/>
            <color indexed="81"/>
            <rFont val="宋体"/>
            <family val="3"/>
            <charset val="134"/>
          </rPr>
          <t xml:space="preserve">容积率
</t>
        </r>
      </text>
    </comment>
    <comment ref="H101" authorId="0" shapeId="0" xr:uid="{00000000-0006-0000-2100-000015000000}">
      <text>
        <r>
          <rPr>
            <b/>
            <sz val="9"/>
            <color indexed="81"/>
            <rFont val="宋体"/>
            <family val="3"/>
            <charset val="134"/>
          </rPr>
          <t xml:space="preserve">容积率
</t>
        </r>
      </text>
    </comment>
    <comment ref="I101" authorId="0" shapeId="0" xr:uid="{00000000-0006-0000-2100-000016000000}">
      <text>
        <r>
          <rPr>
            <b/>
            <sz val="9"/>
            <color indexed="81"/>
            <rFont val="宋体"/>
            <family val="3"/>
            <charset val="134"/>
          </rPr>
          <t xml:space="preserve">容积率
</t>
        </r>
      </text>
    </comment>
    <comment ref="J101" authorId="0" shapeId="0" xr:uid="{00000000-0006-0000-2100-000017000000}">
      <text>
        <r>
          <rPr>
            <b/>
            <sz val="9"/>
            <color indexed="81"/>
            <rFont val="宋体"/>
            <family val="3"/>
            <charset val="134"/>
          </rPr>
          <t xml:space="preserve">容积率
</t>
        </r>
      </text>
    </comment>
    <comment ref="K101" authorId="0" shapeId="0" xr:uid="{00000000-0006-0000-2100-000018000000}">
      <text>
        <r>
          <rPr>
            <b/>
            <sz val="9"/>
            <color indexed="81"/>
            <rFont val="宋体"/>
            <family val="3"/>
            <charset val="134"/>
          </rPr>
          <t xml:space="preserve">容积率
</t>
        </r>
      </text>
    </comment>
    <comment ref="L101" authorId="0" shapeId="0" xr:uid="{00000000-0006-0000-2100-000019000000}">
      <text>
        <r>
          <rPr>
            <b/>
            <sz val="9"/>
            <color indexed="81"/>
            <rFont val="宋体"/>
            <family val="3"/>
            <charset val="134"/>
          </rPr>
          <t xml:space="preserve">容积率
</t>
        </r>
      </text>
    </comment>
    <comment ref="M101" authorId="0" shapeId="0" xr:uid="{00000000-0006-0000-2100-00001A000000}">
      <text>
        <r>
          <rPr>
            <b/>
            <sz val="9"/>
            <color indexed="81"/>
            <rFont val="宋体"/>
            <family val="3"/>
            <charset val="134"/>
          </rPr>
          <t xml:space="preserve">容积率
</t>
        </r>
      </text>
    </comment>
    <comment ref="N101" authorId="0" shapeId="0" xr:uid="{00000000-0006-0000-2100-00001B000000}">
      <text>
        <r>
          <rPr>
            <b/>
            <sz val="9"/>
            <color indexed="81"/>
            <rFont val="宋体"/>
            <family val="3"/>
            <charset val="134"/>
          </rPr>
          <t xml:space="preserve">容积率
</t>
        </r>
      </text>
    </comment>
    <comment ref="C108" authorId="0" shapeId="0" xr:uid="{00000000-0006-0000-21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<sst xmlns="http://schemas.openxmlformats.org/spreadsheetml/2006/main" count="7688" uniqueCount="3133">
  <si>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</si>
  <si>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</si>
  <si>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</si>
  <si>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</si>
  <si>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</si>
  <si>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</si>
  <si>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</si>
  <si>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</si>
  <si>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</si>
  <si>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</si>
  <si>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</si>
  <si>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</si>
  <si>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</si>
  <si>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</si>
  <si>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</si>
  <si>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</si>
  <si>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</si>
  <si>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</si>
  <si>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</si>
  <si>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</si>
  <si>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</si>
  <si>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</si>
  <si>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</si>
  <si>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</si>
  <si>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</si>
  <si>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</si>
  <si>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</si>
  <si>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</si>
  <si>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</si>
  <si>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</si>
  <si>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</si>
  <si>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</si>
  <si>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</si>
  <si>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</si>
  <si>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</si>
  <si>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</si>
  <si>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</si>
  <si>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</si>
  <si>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</si>
  <si>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</si>
  <si>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</si>
  <si>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</si>
  <si>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</si>
  <si>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</si>
  <si>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</si>
  <si>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</si>
  <si>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</si>
  <si>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</si>
  <si>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</si>
  <si>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</si>
  <si>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</si>
  <si>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</si>
  <si>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</si>
  <si>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</si>
  <si>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</si>
  <si>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</si>
  <si>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</si>
  <si>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</si>
  <si>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</si>
  <si>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</si>
  <si>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</si>
  <si>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</si>
  <si>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</si>
  <si>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</si>
  <si>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</si>
  <si>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</si>
  <si>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</si>
  <si>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</si>
  <si>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</si>
  <si>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</si>
  <si>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</si>
  <si>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</si>
  <si>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</si>
  <si>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</si>
  <si>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</si>
  <si>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</si>
  <si>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</si>
  <si>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</si>
  <si>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</si>
  <si>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</si>
  <si>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</si>
  <si>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</si>
  <si>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</si>
  <si>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</si>
  <si>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</si>
  <si>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</si>
  <si>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</si>
  <si>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</si>
  <si>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</si>
  <si>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</si>
  <si>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</si>
  <si>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</si>
  <si>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</si>
  <si>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</si>
  <si>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</si>
  <si>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</si>
  <si>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</si>
  <si>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</si>
  <si>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</si>
  <si>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</si>
  <si>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</si>
  <si>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</si>
  <si>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</si>
  <si>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</si>
  <si>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</si>
  <si>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</si>
  <si>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</si>
  <si>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</si>
  <si>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</si>
  <si>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</si>
  <si>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</si>
  <si>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</si>
  <si>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</si>
  <si>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</si>
  <si>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</si>
  <si>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</si>
  <si>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</si>
  <si>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</si>
  <si>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</si>
  <si>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</si>
  <si>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</si>
  <si>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</si>
  <si>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</si>
  <si>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</si>
  <si>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</si>
  <si>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</si>
  <si>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</si>
  <si>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</si>
  <si>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</si>
  <si>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</si>
  <si>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</si>
  <si>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</si>
  <si>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</si>
  <si>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</si>
  <si>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</si>
  <si>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</si>
  <si>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</si>
  <si>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</si>
  <si>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</si>
  <si>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</si>
  <si>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</si>
  <si>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</si>
  <si>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</si>
  <si>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</si>
  <si>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</si>
  <si>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</si>
  <si>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</si>
  <si>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</si>
  <si>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</si>
  <si>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</si>
  <si>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</si>
  <si>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</si>
  <si>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</si>
  <si>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</si>
  <si>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</si>
  <si>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</si>
  <si>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</si>
  <si>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</si>
  <si>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</si>
  <si>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</si>
  <si>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</si>
  <si>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</si>
  <si>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</si>
  <si>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</si>
  <si>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</si>
  <si>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</si>
  <si>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</si>
  <si>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</si>
  <si>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</si>
  <si>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</si>
  <si>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</si>
  <si>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</si>
  <si>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</si>
  <si>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</si>
  <si>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</si>
  <si>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</si>
  <si>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</si>
  <si>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</si>
  <si>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</si>
  <si>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</si>
  <si>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</si>
  <si>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</si>
  <si>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</si>
  <si>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</si>
  <si>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</si>
  <si>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</si>
  <si>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</si>
  <si>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</si>
  <si>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</si>
  <si>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</si>
  <si>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</si>
  <si>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</si>
  <si>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</si>
  <si>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</si>
  <si>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</si>
  <si>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</si>
  <si>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</si>
  <si>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</si>
  <si>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</si>
  <si>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</si>
  <si>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</si>
  <si>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</si>
  <si>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</si>
  <si>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</si>
  <si>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</si>
  <si>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</si>
  <si>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</si>
  <si>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</si>
  <si>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</si>
  <si>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</si>
  <si>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</si>
  <si>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</si>
  <si>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</si>
  <si>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</si>
  <si>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</si>
  <si>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</si>
  <si>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</si>
  <si>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</si>
  <si>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</si>
  <si>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</si>
  <si>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</si>
  <si>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</si>
  <si>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</si>
  <si>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</si>
  <si>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</si>
  <si>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</si>
  <si>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</si>
  <si>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</si>
  <si>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</si>
  <si>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</si>
  <si>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</si>
  <si>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</si>
  <si>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</si>
  <si>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</si>
  <si>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</si>
  <si>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</si>
  <si>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</si>
  <si>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</si>
  <si>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</si>
  <si>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</si>
  <si>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</si>
  <si>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</si>
  <si>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</si>
  <si>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</si>
  <si>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</si>
  <si>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</si>
  <si>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</si>
  <si>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</si>
  <si>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</si>
  <si>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</si>
  <si>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</si>
  <si>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</si>
  <si>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</si>
  <si>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</si>
  <si>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</si>
  <si>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</si>
  <si>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</si>
  <si>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</si>
  <si>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</si>
  <si>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</si>
  <si>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</si>
  <si>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</si>
  <si>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</si>
  <si>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</si>
  <si>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</si>
  <si>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</si>
  <si>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</si>
  <si>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</si>
  <si>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</si>
  <si>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</si>
  <si>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</si>
  <si>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</si>
  <si>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</si>
  <si>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</si>
  <si>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</si>
  <si>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</si>
  <si>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</si>
  <si>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</si>
  <si>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</si>
  <si>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</si>
  <si>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</si>
  <si>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</si>
  <si>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</si>
  <si>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</si>
  <si>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</si>
  <si>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</si>
  <si>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</si>
  <si>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</si>
  <si>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</si>
  <si>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</si>
  <si>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</si>
  <si>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</si>
  <si>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</si>
  <si>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</si>
  <si>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</si>
  <si>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</si>
  <si>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</si>
  <si>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</si>
  <si>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</si>
  <si>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</si>
  <si>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</si>
  <si>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</si>
  <si>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</si>
  <si>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</si>
  <si>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</si>
  <si>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</si>
  <si>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</si>
  <si>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</si>
  <si>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</si>
  <si>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</si>
  <si>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</si>
  <si>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</si>
  <si>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</si>
  <si>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</si>
  <si>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</si>
  <si>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</si>
  <si>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</si>
  <si>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</si>
  <si>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</si>
  <si>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</si>
  <si>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</si>
  <si>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</si>
  <si>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</si>
  <si>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</si>
  <si>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</si>
  <si>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</si>
  <si>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</si>
  <si>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</si>
  <si>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</si>
  <si>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</si>
  <si>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</si>
  <si>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</si>
  <si>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</si>
  <si>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</si>
  <si>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</si>
  <si>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</si>
  <si>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</si>
  <si>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</si>
  <si>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</si>
  <si>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</si>
  <si>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</si>
  <si>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</si>
  <si>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</si>
  <si>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</si>
  <si>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</si>
  <si>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</si>
  <si>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</si>
  <si>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</si>
  <si>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</si>
  <si>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</si>
  <si>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</si>
  <si>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</si>
  <si>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</si>
  <si>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</si>
  <si>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</si>
  <si>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</si>
  <si>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</si>
  <si>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</si>
  <si>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</si>
  <si>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</si>
  <si>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</si>
  <si>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</si>
  <si>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</si>
  <si>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</si>
  <si>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</si>
  <si>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</si>
  <si>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</si>
  <si>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</si>
  <si>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</si>
  <si>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</si>
  <si>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</si>
  <si>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</si>
  <si>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</si>
  <si>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</si>
  <si>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</si>
  <si>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</si>
  <si>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</si>
  <si>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</si>
  <si>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</si>
  <si>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</si>
  <si>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</si>
  <si>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</si>
  <si>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</si>
  <si>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</si>
  <si>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</si>
  <si>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</si>
  <si>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</si>
  <si>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</si>
  <si>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</si>
  <si>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</si>
  <si>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</si>
  <si>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</si>
  <si>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</si>
  <si>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</si>
  <si>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</si>
  <si>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</si>
  <si>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</si>
  <si>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</si>
  <si>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</si>
  <si>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</si>
  <si>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</si>
  <si>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</si>
  <si>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</si>
  <si>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</si>
  <si>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</si>
  <si>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</si>
  <si>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</si>
  <si>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</si>
  <si>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</si>
  <si>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</si>
  <si>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</si>
  <si>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</si>
  <si>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</si>
  <si>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</si>
  <si>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</si>
  <si>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</si>
  <si>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</si>
  <si>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</si>
  <si>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</si>
  <si>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</si>
  <si>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</si>
  <si>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</si>
  <si>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</si>
  <si>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</si>
  <si>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</si>
  <si>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</si>
  <si>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</si>
  <si>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</si>
  <si>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</si>
  <si>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</si>
  <si>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</si>
  <si>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</si>
  <si>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</si>
  <si>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</si>
  <si>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</si>
  <si>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</si>
  <si>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</si>
  <si>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</si>
  <si>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</si>
  <si>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</si>
  <si>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</si>
  <si>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</si>
  <si>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</si>
  <si>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</si>
  <si>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</si>
  <si>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</si>
  <si>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</si>
  <si>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</si>
  <si>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</si>
  <si>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</si>
  <si>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</si>
  <si>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</si>
  <si>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</si>
  <si>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</si>
  <si>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</si>
  <si>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</si>
  <si>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</si>
  <si>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</si>
  <si>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</si>
  <si>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</si>
  <si>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</si>
  <si>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</si>
  <si>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</si>
  <si>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</si>
  <si>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</si>
  <si>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</si>
  <si>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</si>
  <si>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</si>
  <si>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</si>
  <si>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</si>
  <si>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</si>
  <si>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</si>
  <si>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</si>
  <si>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</si>
  <si>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</si>
  <si>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</si>
  <si>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</si>
  <si>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</si>
  <si>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</si>
  <si>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</si>
  <si>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</si>
  <si>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</si>
  <si>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</si>
  <si>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</si>
  <si>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</si>
  <si>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</si>
  <si>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</si>
  <si>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</si>
  <si>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</si>
  <si>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</si>
  <si>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</si>
  <si>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</si>
  <si>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</si>
  <si>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</si>
  <si>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</si>
  <si>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</si>
  <si>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</si>
  <si>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</si>
  <si>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</si>
  <si>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</si>
  <si>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</si>
  <si>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</si>
  <si>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</si>
  <si>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</si>
  <si>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</si>
  <si>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</si>
  <si>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</si>
  <si>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</si>
  <si>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</si>
  <si>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</si>
  <si>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</si>
  <si>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</si>
  <si>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</si>
  <si>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</si>
  <si>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</si>
  <si>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</si>
  <si>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</si>
  <si>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</si>
  <si>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</si>
  <si>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</si>
  <si>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</si>
  <si>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</si>
  <si>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</si>
  <si>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</si>
  <si>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</si>
  <si>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</si>
  <si>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</si>
  <si>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</si>
  <si>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</si>
  <si>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</si>
  <si>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</si>
  <si>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</si>
  <si>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</si>
  <si>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</si>
  <si>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</si>
  <si>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</si>
  <si>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</si>
  <si>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</si>
  <si>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</si>
  <si>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</si>
  <si>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</si>
  <si>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</si>
  <si>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</si>
  <si>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</si>
  <si>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</si>
  <si>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</si>
  <si>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</si>
  <si>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</si>
  <si>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</si>
  <si>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</si>
  <si>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</si>
  <si>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</si>
  <si>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</si>
  <si>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</si>
  <si>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</si>
  <si>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</si>
  <si>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</si>
  <si>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</si>
  <si>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</si>
  <si>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</si>
  <si>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</si>
  <si>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</si>
  <si>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</si>
  <si>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</si>
  <si>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</si>
  <si>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</si>
  <si>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</si>
  <si>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</si>
  <si>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</si>
  <si>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</si>
  <si>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</si>
  <si>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</si>
  <si>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</si>
  <si>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</si>
  <si>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</si>
  <si>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</si>
  <si>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</si>
  <si>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</si>
  <si>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</si>
  <si>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</si>
  <si>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</si>
  <si>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</si>
  <si>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</si>
  <si>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</si>
  <si>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</si>
  <si>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</si>
  <si>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</si>
  <si>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</si>
  <si>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</si>
  <si>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</si>
  <si>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</si>
  <si>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</si>
  <si>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</si>
  <si>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</si>
  <si>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</si>
  <si>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</si>
  <si>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</si>
  <si>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</si>
  <si>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</si>
  <si>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</si>
  <si>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</si>
  <si>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</si>
  <si>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</si>
  <si>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</si>
  <si>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</si>
  <si>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</si>
  <si>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</si>
  <si>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</si>
  <si>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</si>
  <si>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</si>
  <si>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</si>
  <si>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</si>
  <si>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</si>
  <si>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</si>
  <si>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</si>
  <si>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</si>
  <si>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</si>
  <si>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</si>
  <si>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</si>
  <si>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</si>
  <si>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</si>
  <si>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</si>
  <si>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</si>
  <si>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</si>
  <si>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</si>
  <si>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</si>
  <si>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</si>
  <si>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</si>
  <si>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</si>
  <si>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</si>
  <si>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</si>
  <si>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</si>
  <si>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</si>
  <si>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</si>
  <si>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</si>
  <si>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</si>
  <si>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</si>
  <si>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</si>
  <si>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</si>
  <si>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</si>
  <si>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</si>
  <si>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</si>
  <si>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</si>
  <si>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</si>
  <si>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</si>
  <si>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</si>
  <si>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</si>
  <si>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</si>
  <si>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</si>
  <si>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</si>
  <si>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</si>
  <si>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</si>
  <si>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</si>
  <si>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</si>
  <si>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</si>
  <si>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</si>
  <si>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</si>
  <si>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</si>
  <si>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</si>
  <si>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</si>
  <si>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</si>
  <si>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</si>
  <si>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</si>
  <si>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</si>
  <si>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</si>
  <si>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</si>
  <si>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</si>
  <si>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</si>
  <si>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</si>
  <si>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</si>
  <si>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</si>
  <si>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</si>
  <si>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</si>
  <si>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</si>
  <si>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</si>
  <si>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</si>
  <si>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</si>
  <si>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</si>
  <si>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</si>
  <si>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</si>
  <si>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</si>
  <si>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</si>
  <si>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</si>
  <si>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</si>
  <si>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</si>
  <si>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</si>
  <si>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</si>
  <si>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</si>
  <si>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</si>
  <si>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</si>
  <si>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</si>
  <si>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</si>
  <si>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</si>
  <si>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</si>
  <si>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</si>
  <si>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</si>
  <si>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</si>
  <si>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</si>
  <si>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</si>
  <si>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</si>
  <si>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</si>
  <si>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</si>
  <si>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</si>
  <si>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</si>
  <si>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</si>
  <si>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</si>
  <si>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</si>
  <si>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</si>
  <si>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</si>
  <si>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</si>
  <si>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</si>
  <si>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</si>
  <si>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</si>
  <si>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</si>
  <si>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</si>
  <si>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</si>
  <si>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</si>
  <si>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</si>
  <si>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</si>
  <si>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</si>
  <si>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</si>
  <si>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</si>
  <si>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</si>
  <si>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</si>
  <si>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</si>
  <si>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</si>
  <si>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</si>
  <si>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</si>
  <si>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</si>
  <si>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</si>
  <si>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</si>
  <si>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</si>
  <si>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</si>
  <si>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</si>
  <si>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</si>
  <si>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</si>
  <si>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</si>
  <si>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</si>
  <si>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</si>
  <si>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</si>
  <si>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</si>
  <si>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</si>
  <si>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</si>
  <si>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</si>
  <si>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</si>
  <si>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</si>
  <si>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</si>
  <si>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</si>
  <si>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</si>
  <si>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</si>
  <si>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</si>
  <si>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</si>
  <si>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</si>
  <si>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</si>
  <si>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</si>
  <si>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</si>
  <si>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</si>
  <si>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</si>
  <si>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</si>
  <si>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</si>
  <si>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</si>
  <si>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</si>
  <si>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</si>
  <si>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</si>
  <si>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</si>
  <si>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</si>
  <si>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</si>
  <si>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</si>
  <si>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</si>
  <si>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</si>
  <si>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</si>
  <si>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</si>
  <si>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</si>
  <si>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</si>
  <si>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</si>
  <si>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</si>
  <si>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</si>
  <si>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</si>
  <si>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</si>
  <si>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</si>
  <si>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</si>
  <si>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</si>
  <si>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</si>
  <si>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</si>
  <si>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</si>
  <si>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</si>
  <si>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</si>
  <si>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</si>
  <si>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</si>
  <si>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</si>
  <si>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</si>
  <si>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</si>
  <si>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</si>
  <si>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</si>
  <si>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</si>
  <si>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</si>
  <si>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</si>
  <si>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</si>
  <si>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</si>
  <si>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</si>
  <si>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</si>
  <si>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</si>
  <si>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</si>
  <si>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</si>
  <si>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</si>
  <si>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</si>
  <si>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</si>
  <si>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</si>
  <si>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</si>
  <si>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</si>
  <si>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</si>
  <si>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</si>
  <si>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</si>
  <si>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</si>
  <si>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</si>
  <si>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</si>
  <si>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</si>
  <si>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</si>
  <si>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</si>
  <si>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</si>
  <si>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</si>
  <si>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</si>
  <si>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</si>
  <si>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</si>
  <si>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</si>
  <si>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</si>
  <si>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</si>
  <si>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</si>
  <si>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</si>
  <si>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</si>
  <si>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</si>
  <si>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</si>
  <si>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</si>
  <si>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</si>
  <si>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</si>
  <si>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</si>
  <si>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</si>
  <si>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</si>
  <si>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</si>
  <si>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</si>
  <si>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</si>
  <si>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</si>
  <si>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</si>
  <si>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</si>
  <si>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</si>
  <si>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</si>
  <si>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</si>
  <si>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</si>
  <si>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</si>
  <si>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</si>
  <si>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</si>
  <si>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</si>
  <si>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</si>
  <si>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</si>
  <si>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</si>
  <si>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</si>
  <si>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</si>
  <si>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</si>
  <si>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</si>
  <si>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</si>
  <si>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</si>
  <si>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</si>
  <si>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</si>
  <si>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</si>
  <si>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</si>
  <si>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</si>
  <si>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</si>
  <si>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</si>
  <si>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</si>
  <si>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</si>
  <si>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</si>
  <si>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</si>
  <si>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</si>
  <si>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</si>
  <si>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</si>
  <si>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</si>
  <si>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</si>
  <si>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</si>
  <si>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</si>
  <si>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</si>
  <si>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</si>
  <si>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</si>
  <si>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</si>
  <si>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</si>
  <si>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</si>
  <si>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</si>
  <si>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</si>
  <si>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</si>
  <si>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</si>
  <si>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</si>
  <si>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</si>
  <si>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</si>
  <si>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</si>
  <si>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</si>
  <si>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</si>
  <si>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</si>
  <si>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</si>
  <si>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</si>
  <si>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</si>
  <si>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</si>
  <si>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</si>
  <si>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</si>
  <si>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</si>
  <si>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</si>
  <si>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</si>
  <si>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</si>
  <si>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</si>
  <si>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</si>
  <si>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</si>
  <si>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</si>
  <si>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</si>
  <si>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</si>
  <si>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</si>
  <si>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</si>
  <si>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</si>
  <si>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</si>
  <si>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</si>
  <si>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</si>
  <si>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</si>
  <si>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</si>
  <si>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</si>
  <si>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</si>
  <si>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</si>
  <si>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</si>
  <si>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</si>
  <si>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</si>
  <si>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</si>
  <si>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</si>
  <si>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</si>
  <si>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</si>
  <si>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</si>
  <si>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</si>
  <si>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</si>
  <si>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</si>
  <si>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</si>
  <si>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</si>
  <si>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</si>
  <si>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</si>
  <si>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</si>
  <si>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</si>
  <si>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</si>
  <si>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</si>
  <si>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</si>
  <si>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</si>
  <si>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</si>
  <si>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</si>
  <si>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</si>
  <si>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</si>
  <si>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</si>
  <si>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</si>
  <si>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</si>
  <si>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</si>
  <si>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</si>
  <si>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</si>
  <si>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</si>
  <si>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</si>
  <si>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</si>
  <si>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</si>
  <si>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</si>
  <si>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</si>
  <si>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</si>
  <si>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</si>
  <si>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</si>
  <si>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</si>
  <si>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</si>
  <si>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</si>
  <si>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</si>
  <si>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</si>
  <si>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</si>
  <si>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</si>
  <si>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</si>
  <si>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</si>
  <si>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</si>
  <si>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</si>
  <si>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</si>
  <si>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</si>
  <si>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</si>
  <si>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</si>
  <si>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</si>
  <si>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</si>
  <si>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</si>
  <si>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</si>
  <si>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</si>
  <si>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</si>
  <si>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</si>
  <si>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</si>
  <si>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</si>
  <si>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</si>
  <si>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</si>
  <si>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</si>
  <si>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</si>
  <si>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</si>
  <si>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</si>
  <si>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</si>
  <si>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</si>
  <si>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</si>
  <si>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</si>
  <si>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</si>
  <si>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</si>
  <si>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</si>
  <si>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</si>
  <si>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</si>
  <si>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</si>
  <si>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</si>
  <si>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</si>
  <si>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</si>
  <si>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</si>
  <si>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</si>
  <si>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</si>
  <si>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</si>
  <si>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</si>
  <si>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</si>
  <si>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</si>
  <si>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</si>
  <si>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</si>
  <si>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</si>
  <si>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</si>
  <si>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</si>
  <si>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</si>
  <si>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</si>
  <si>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</si>
  <si>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</si>
  <si>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</si>
  <si>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</si>
  <si>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</si>
  <si>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</si>
  <si>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</si>
  <si>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</si>
  <si>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</si>
  <si>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</si>
  <si>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</si>
  <si>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</si>
  <si>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</si>
  <si>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</si>
  <si>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</si>
  <si>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</si>
  <si>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</si>
  <si>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</si>
  <si>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</si>
  <si>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</si>
  <si>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</si>
  <si>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</si>
  <si>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</si>
  <si>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</si>
  <si>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</si>
  <si>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</si>
  <si>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</si>
  <si>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</si>
  <si>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</si>
  <si>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</si>
  <si>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</si>
  <si>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</si>
  <si>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</si>
  <si>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</si>
  <si>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</si>
  <si>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</si>
  <si>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</si>
  <si>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</si>
  <si>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</si>
  <si>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</si>
  <si>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</si>
  <si>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</si>
  <si>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</si>
  <si>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</si>
  <si>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</si>
  <si>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</si>
  <si>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</si>
  <si>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</si>
  <si>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</si>
  <si>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</si>
  <si>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</si>
  <si>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</si>
  <si>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</si>
  <si>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</si>
  <si>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</si>
  <si>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</si>
  <si>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</si>
  <si>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</si>
  <si>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</si>
  <si>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</si>
  <si>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</si>
  <si>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</si>
  <si>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</si>
  <si>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</si>
  <si>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</si>
  <si>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</si>
  <si>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</si>
  <si>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</si>
  <si>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</si>
  <si>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</si>
  <si>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</si>
  <si>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</si>
  <si>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</si>
  <si>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</si>
  <si>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</si>
  <si>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</si>
  <si>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</si>
  <si>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</si>
  <si>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</si>
  <si>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</si>
  <si>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</si>
  <si>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</si>
  <si>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</si>
  <si>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</si>
  <si>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</si>
  <si>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</si>
  <si>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</si>
  <si>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</si>
  <si>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</si>
  <si>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</si>
  <si>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</si>
  <si>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</si>
  <si>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</si>
  <si>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</si>
  <si>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</si>
  <si>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</si>
  <si>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</si>
  <si>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</si>
  <si>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</si>
  <si>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</si>
  <si>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</si>
  <si>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</si>
  <si>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</si>
  <si>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</si>
  <si>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</si>
  <si>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</si>
  <si>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</si>
  <si>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</si>
  <si>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</si>
  <si>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</si>
  <si>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</si>
  <si>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</si>
  <si>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</si>
  <si>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</si>
  <si>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</si>
  <si>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</si>
  <si>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</si>
  <si>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</si>
  <si>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</si>
  <si>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</si>
  <si>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</si>
  <si>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</si>
  <si>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</si>
  <si>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</si>
  <si>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</si>
  <si>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</si>
  <si>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</si>
  <si>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</si>
  <si>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</si>
  <si>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</si>
  <si>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</si>
  <si>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</si>
  <si>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</si>
  <si>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</si>
  <si>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</si>
  <si>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</si>
  <si>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</si>
  <si>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</si>
  <si>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</si>
  <si>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</si>
  <si>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</si>
  <si>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</si>
  <si>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</si>
  <si>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</si>
  <si>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</si>
  <si>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</si>
  <si>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</si>
  <si>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</si>
  <si>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</si>
  <si>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</si>
  <si>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</si>
  <si>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</si>
  <si>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</si>
  <si>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</si>
  <si>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</si>
  <si>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</si>
  <si>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</si>
  <si>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</si>
  <si>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</si>
  <si>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</si>
  <si>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</si>
  <si>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</si>
  <si>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</si>
  <si>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</si>
  <si>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</si>
  <si>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</si>
  <si>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</si>
  <si>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</si>
  <si>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</si>
  <si>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</si>
  <si>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</si>
  <si>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</si>
  <si>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</si>
  <si>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</si>
  <si>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</si>
  <si>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</si>
  <si>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</si>
  <si>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</si>
  <si>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</si>
  <si>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</si>
  <si>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</si>
  <si>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</si>
  <si>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</si>
  <si>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</si>
  <si>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</si>
  <si>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</si>
  <si>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</si>
  <si>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</si>
  <si>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</si>
  <si>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</si>
  <si>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</si>
  <si>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</si>
  <si>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</si>
  <si>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</si>
  <si>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</si>
  <si>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</si>
  <si>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</si>
  <si>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</si>
  <si>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</si>
  <si>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</si>
  <si>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</si>
  <si>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</si>
  <si>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</si>
  <si>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</si>
  <si>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</si>
  <si>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</si>
  <si>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</si>
  <si>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</si>
  <si>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</si>
  <si>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</si>
  <si>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</si>
  <si>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</si>
  <si>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</si>
  <si>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</si>
  <si>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</si>
  <si>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</si>
  <si>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</si>
  <si>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</si>
  <si>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</si>
  <si>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</si>
  <si>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</si>
  <si>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</si>
  <si>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</si>
  <si>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</si>
  <si>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</si>
  <si>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</si>
  <si>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</si>
  <si>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</si>
  <si>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</si>
  <si>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</si>
  <si>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</si>
  <si>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</si>
  <si>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</si>
  <si>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</si>
  <si>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</si>
  <si>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</si>
  <si>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</si>
  <si>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</si>
  <si>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</si>
  <si>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</si>
  <si>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</si>
  <si>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</si>
  <si>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</si>
  <si>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</si>
  <si>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</si>
  <si>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</si>
  <si>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</si>
  <si>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</si>
  <si>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</si>
  <si>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</si>
  <si>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</si>
  <si>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</si>
  <si>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</si>
  <si>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</si>
  <si>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</si>
  <si>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</si>
  <si>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</si>
  <si>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</si>
  <si>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</si>
  <si>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</si>
  <si>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</si>
  <si>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</si>
  <si>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</si>
  <si>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</si>
  <si>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</si>
  <si>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</si>
  <si>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</si>
  <si>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</si>
  <si>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</si>
  <si>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</si>
  <si>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</si>
  <si>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</si>
  <si>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</si>
  <si>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</si>
  <si>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</si>
  <si>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</si>
  <si>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</si>
  <si>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</si>
  <si>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</si>
  <si>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</si>
  <si>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</si>
  <si>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</si>
  <si>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</si>
  <si>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</si>
  <si>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</si>
  <si>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</si>
  <si>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</si>
  <si>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</si>
  <si>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</si>
  <si>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</si>
  <si>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</si>
  <si>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</si>
  <si>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</si>
  <si>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</si>
  <si>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</si>
  <si>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</si>
  <si>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</si>
  <si>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</si>
  <si>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</si>
  <si>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</si>
  <si>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</si>
  <si>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</si>
  <si>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</si>
  <si>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</si>
  <si>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</si>
  <si>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</si>
  <si>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</si>
  <si>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</si>
  <si>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</si>
  <si>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</si>
  <si>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</si>
  <si>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</si>
  <si>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</si>
  <si>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</si>
  <si>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</si>
  <si>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</si>
  <si>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</si>
  <si>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</si>
  <si>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</si>
  <si>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</si>
  <si>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</si>
  <si>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</si>
  <si>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</si>
  <si>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</si>
  <si>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</si>
  <si>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</si>
  <si>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</si>
  <si>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</si>
  <si>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</si>
  <si>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</si>
  <si>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</si>
  <si>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</si>
  <si>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</si>
  <si>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</si>
  <si>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</si>
  <si>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</si>
  <si>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</si>
  <si>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</si>
  <si>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</si>
  <si>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</si>
  <si>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</si>
  <si>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</si>
  <si>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</si>
  <si>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</si>
  <si>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</si>
  <si>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</si>
  <si>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</si>
  <si>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</si>
  <si>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</si>
  <si>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</si>
  <si>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</si>
  <si>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</si>
  <si>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</si>
  <si>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</si>
  <si>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</si>
  <si>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</si>
  <si>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</si>
  <si>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</si>
  <si>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</si>
  <si>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</si>
  <si>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</si>
  <si>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</si>
  <si>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</si>
  <si>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</si>
  <si>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</si>
  <si>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</si>
  <si>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</si>
  <si>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</si>
  <si>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</si>
  <si>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</si>
  <si>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</si>
  <si>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</si>
  <si>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</si>
  <si>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</si>
  <si>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</si>
  <si>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</si>
  <si>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</si>
  <si>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</si>
  <si>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</si>
  <si>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</si>
  <si>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</si>
  <si>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</si>
  <si>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</si>
  <si>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</si>
  <si>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</si>
  <si>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</si>
  <si>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</si>
  <si>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</si>
  <si>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</si>
  <si>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</si>
  <si>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</si>
  <si>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</si>
  <si>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</si>
  <si>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</si>
  <si>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</si>
  <si>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</si>
  <si>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</si>
  <si>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</si>
  <si>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</si>
  <si>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</si>
  <si>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</si>
  <si>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</si>
  <si>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</si>
  <si>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</si>
  <si>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</si>
  <si>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</si>
  <si>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</si>
  <si>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</si>
  <si>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</si>
  <si>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</si>
  <si>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</si>
  <si>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</si>
  <si>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</si>
  <si>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</si>
  <si>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</si>
  <si>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</si>
  <si>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</si>
  <si>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</si>
  <si>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</si>
  <si>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</si>
  <si>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</si>
  <si>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</si>
  <si>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</si>
  <si>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</si>
  <si>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</si>
  <si>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</si>
  <si>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</si>
  <si>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</si>
  <si>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</si>
  <si>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</si>
  <si>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</si>
  <si>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</si>
  <si>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</si>
  <si>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</si>
  <si>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</si>
  <si>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</si>
  <si>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</si>
  <si>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</si>
  <si>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</si>
  <si>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</si>
  <si>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</si>
  <si>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</si>
  <si>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</si>
  <si>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</si>
  <si>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</si>
  <si>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</si>
  <si>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</si>
  <si>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</si>
  <si>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</si>
  <si>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</si>
  <si>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</si>
  <si>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</si>
  <si>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</si>
  <si>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</si>
  <si>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</si>
  <si>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</si>
  <si>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</si>
  <si>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</si>
  <si>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</si>
  <si>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</si>
  <si>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</si>
  <si>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</si>
  <si>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</si>
  <si>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</si>
  <si>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</si>
  <si>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</si>
  <si>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</si>
  <si>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</si>
  <si>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</si>
  <si>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</si>
  <si>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</si>
  <si>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</si>
  <si>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</si>
  <si>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</si>
  <si>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</si>
  <si>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</si>
  <si>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</si>
  <si>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</si>
  <si>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</si>
  <si>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</si>
  <si>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</si>
  <si>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</si>
  <si>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</si>
  <si>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</si>
  <si>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</si>
  <si>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</si>
  <si>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</si>
  <si>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</si>
  <si>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</si>
  <si>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</si>
  <si>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</si>
  <si>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</si>
  <si>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</si>
  <si>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</si>
  <si>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</si>
  <si>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</si>
  <si>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</si>
  <si>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</si>
  <si>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</si>
  <si>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</si>
  <si>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</si>
  <si>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</si>
  <si>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</si>
  <si>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</si>
  <si>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</si>
  <si>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</si>
  <si>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</si>
  <si>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</si>
  <si>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</si>
  <si>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</si>
  <si>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</si>
  <si>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</si>
  <si>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</si>
  <si>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</si>
  <si>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</si>
  <si>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</si>
  <si>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</si>
  <si>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</si>
  <si>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</si>
  <si>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</si>
  <si>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</si>
  <si>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</si>
  <si>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</si>
  <si>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</si>
  <si>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</si>
  <si>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</si>
  <si>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</si>
  <si>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</si>
  <si>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</si>
  <si>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</si>
  <si>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</si>
  <si>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</si>
  <si>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</si>
  <si>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</si>
  <si>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</si>
  <si>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</si>
  <si>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</si>
  <si>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</si>
  <si>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</si>
  <si>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</si>
  <si>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</si>
  <si>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</si>
  <si>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</si>
  <si>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</si>
  <si>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</si>
  <si>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</si>
  <si>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</si>
  <si>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</si>
  <si>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</si>
  <si>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</si>
  <si>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</si>
  <si>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</si>
  <si>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</si>
  <si>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</si>
  <si>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</si>
  <si>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</si>
  <si>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</si>
  <si>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</si>
  <si>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</si>
  <si>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</si>
  <si>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</si>
  <si>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</si>
  <si>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</si>
  <si>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</si>
  <si>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</si>
  <si>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</si>
  <si>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</si>
  <si>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</si>
  <si>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</si>
  <si>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</si>
  <si>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</si>
  <si>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</si>
  <si>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</si>
  <si>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</si>
  <si>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</si>
  <si>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</si>
  <si>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</si>
  <si>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</si>
  <si>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</si>
  <si>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</si>
  <si>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</si>
  <si>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</si>
  <si>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</si>
  <si>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</si>
  <si>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</si>
  <si>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</si>
  <si>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</si>
  <si>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</si>
  <si>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</si>
  <si>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</si>
  <si>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</si>
  <si>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</si>
  <si>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</si>
  <si>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</si>
  <si>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</si>
  <si>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</si>
  <si>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</si>
  <si>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</si>
  <si>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</si>
  <si>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</si>
  <si>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</si>
  <si>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</si>
  <si>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</si>
  <si>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</si>
  <si>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</si>
  <si>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</si>
  <si>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</si>
  <si>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</si>
  <si>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</si>
  <si>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</si>
  <si>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</si>
  <si>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</si>
  <si>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</si>
  <si>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</si>
  <si>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</si>
  <si>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</si>
  <si>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</si>
  <si>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</si>
  <si>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</si>
  <si>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</si>
  <si>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</si>
  <si>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</si>
  <si>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</si>
  <si>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</si>
  <si>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</si>
  <si>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</si>
  <si>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</si>
  <si>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</si>
  <si>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</si>
  <si>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</si>
  <si>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</si>
  <si>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</si>
  <si>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</si>
  <si>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</si>
  <si>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</si>
  <si>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</si>
  <si>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</si>
  <si>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</si>
  <si>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</si>
  <si>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</si>
  <si>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</si>
  <si>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</si>
  <si>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</si>
  <si>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</si>
  <si>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</si>
  <si>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</si>
  <si>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</si>
  <si>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</si>
  <si>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</si>
  <si>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</si>
  <si>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</si>
  <si>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</si>
  <si>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</si>
  <si>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</si>
  <si>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</si>
  <si>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</si>
  <si>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</si>
  <si>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</si>
  <si>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</si>
  <si>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</si>
  <si>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</si>
  <si>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</si>
  <si>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</si>
  <si>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</si>
  <si>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</si>
  <si>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</si>
  <si>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</si>
  <si>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</si>
  <si>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</si>
  <si>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</si>
  <si>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</si>
  <si>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</si>
  <si>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</si>
  <si>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</si>
  <si>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</si>
  <si>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</si>
  <si>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</si>
  <si>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</si>
  <si>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</si>
  <si>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</si>
  <si>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</si>
  <si>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</si>
  <si>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</si>
  <si>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</si>
  <si>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</si>
  <si>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</si>
  <si>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</si>
  <si>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</si>
  <si>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</si>
  <si>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</si>
  <si>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</si>
  <si>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</si>
  <si>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</si>
  <si>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</si>
  <si>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</si>
  <si>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</si>
  <si>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</si>
  <si>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</si>
  <si>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</si>
  <si>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</si>
  <si>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</si>
  <si>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</si>
  <si>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</si>
  <si>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</si>
  <si>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</si>
  <si>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</si>
  <si>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</si>
  <si>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</si>
  <si>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</si>
  <si>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</si>
  <si>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</si>
  <si>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</si>
  <si>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</si>
  <si>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</si>
  <si>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</si>
  <si>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</si>
  <si>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</si>
  <si>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</si>
  <si>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</si>
  <si>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</si>
  <si>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</si>
  <si>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</si>
  <si>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</si>
  <si>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</si>
  <si>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</si>
  <si>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</si>
  <si>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</si>
  <si>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</si>
  <si>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</si>
  <si>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</si>
  <si>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</si>
  <si>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</si>
  <si>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</si>
  <si>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</si>
  <si>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</si>
  <si>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</si>
  <si>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</si>
  <si>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</si>
  <si>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</si>
  <si>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</si>
  <si>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</si>
  <si>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</si>
  <si>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</si>
  <si>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</si>
  <si>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</si>
  <si>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</si>
  <si>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</si>
  <si>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</si>
  <si>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</si>
  <si>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</si>
  <si>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</si>
  <si>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</si>
  <si>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</si>
  <si>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</si>
  <si>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</si>
  <si>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</si>
  <si>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</si>
  <si>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</si>
  <si>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</si>
  <si>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</si>
  <si>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</si>
  <si>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</si>
  <si>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</si>
  <si>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</si>
  <si>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</si>
  <si>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</si>
  <si>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</si>
  <si>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</si>
  <si>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</si>
  <si>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</si>
  <si>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</si>
  <si>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</si>
  <si>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</si>
  <si>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</si>
  <si>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</si>
  <si>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</si>
  <si>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</si>
  <si>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</si>
  <si>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</si>
  <si>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</si>
  <si>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</si>
  <si>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</si>
  <si>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</si>
  <si>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</si>
  <si>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</si>
  <si>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</si>
  <si>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</si>
  <si>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</si>
  <si>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</si>
  <si>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</si>
  <si>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</si>
  <si>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</si>
  <si>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</si>
  <si>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</si>
  <si>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</si>
  <si>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</si>
  <si>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</si>
  <si>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</si>
  <si>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</si>
  <si>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</si>
  <si>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</si>
  <si>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</si>
  <si>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</si>
  <si>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</si>
  <si>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</si>
  <si>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</si>
  <si>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</si>
  <si>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</si>
  <si>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</si>
  <si>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</si>
  <si>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</si>
  <si>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</si>
  <si>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</si>
  <si>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</si>
  <si>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</si>
  <si>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</si>
  <si>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</si>
  <si>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</si>
  <si>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</si>
  <si>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</si>
  <si>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</si>
  <si>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</si>
  <si>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</si>
  <si>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</si>
  <si>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</si>
  <si>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</si>
  <si>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</si>
  <si>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</si>
  <si>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</si>
  <si>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</si>
  <si>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</si>
  <si>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</si>
  <si>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</si>
  <si>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</si>
  <si>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</si>
  <si>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</si>
  <si>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</si>
  <si>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</si>
  <si>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</si>
  <si>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</si>
  <si>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</si>
  <si>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</si>
  <si>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</si>
  <si>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</si>
  <si>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</si>
  <si>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</si>
  <si>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</si>
  <si>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</si>
  <si>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</si>
  <si>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</si>
  <si>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</si>
  <si>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</si>
  <si>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</si>
  <si>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</si>
  <si>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</si>
  <si>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</si>
  <si>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</si>
  <si>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</si>
  <si>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</si>
  <si>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</si>
  <si>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</si>
  <si>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</si>
  <si>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</si>
  <si>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</si>
  <si>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</si>
  <si>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</si>
  <si>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</si>
  <si>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</si>
  <si>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</si>
  <si>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</si>
  <si>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</si>
  <si>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</si>
  <si>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</si>
  <si>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</si>
  <si>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</si>
  <si>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</si>
  <si>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</si>
  <si>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</si>
  <si>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</si>
  <si>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</si>
  <si>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</si>
  <si>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</si>
  <si>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</si>
  <si>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</si>
  <si>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</si>
  <si>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</si>
  <si>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</si>
  <si>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</si>
  <si>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</si>
  <si>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</si>
  <si>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</si>
  <si>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</si>
  <si>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</si>
  <si>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</si>
  <si>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</si>
  <si>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</si>
  <si>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</si>
  <si>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</si>
  <si>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</si>
  <si>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</si>
  <si>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</si>
  <si>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</si>
  <si>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</si>
  <si>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</si>
  <si>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</si>
  <si>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</si>
  <si>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</si>
  <si>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</si>
  <si>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</si>
  <si>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</si>
  <si>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</si>
  <si>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</si>
  <si>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</si>
  <si>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</si>
  <si>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</si>
  <si>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</si>
  <si>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</si>
  <si>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</si>
  <si>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</si>
  <si>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</si>
  <si>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</si>
  <si>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</si>
  <si>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</si>
  <si>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</si>
  <si>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</si>
  <si>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</si>
  <si>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</si>
  <si>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</si>
  <si>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</si>
  <si>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</si>
  <si>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</si>
  <si>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</si>
  <si>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</si>
  <si>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</si>
  <si>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</si>
  <si>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</si>
  <si>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</si>
  <si>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</si>
  <si>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</si>
  <si>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</si>
  <si>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</si>
  <si>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</si>
  <si>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</si>
  <si>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</si>
  <si>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</si>
  <si>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</si>
  <si>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</si>
  <si>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</si>
  <si>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</si>
  <si>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</si>
  <si>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</si>
  <si>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</si>
  <si>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</si>
  <si>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</si>
  <si>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</si>
  <si>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</si>
  <si>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</si>
  <si>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</si>
  <si>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</si>
  <si>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</si>
  <si>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</si>
  <si>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</si>
  <si>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</si>
  <si>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</si>
  <si>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</si>
  <si>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</si>
  <si>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</si>
  <si>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</si>
  <si>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</si>
  <si>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</si>
  <si>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</si>
  <si>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</si>
  <si>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</si>
  <si>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</si>
  <si>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</si>
  <si>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</si>
  <si>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</si>
  <si>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</si>
  <si>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</si>
  <si>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</si>
  <si>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</si>
  <si>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</si>
  <si>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</si>
  <si>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</si>
  <si>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</si>
  <si>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</si>
  <si>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</si>
  <si>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</si>
  <si>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</si>
  <si>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</si>
  <si>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</si>
  <si>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</si>
  <si>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</si>
  <si>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</si>
  <si>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</si>
  <si>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</si>
  <si>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</si>
  <si>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</si>
  <si>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</si>
  <si>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</si>
  <si>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</si>
  <si>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</si>
  <si>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</si>
  <si>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</si>
  <si>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</si>
  <si>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</si>
  <si>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</si>
  <si>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</si>
  <si>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</si>
  <si>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</si>
  <si>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</si>
  <si>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</si>
  <si>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</si>
  <si>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</si>
  <si>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</si>
  <si>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</si>
  <si>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</si>
  <si>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</si>
  <si>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</si>
  <si>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</si>
  <si>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</si>
  <si>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</si>
  <si>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</si>
  <si>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</si>
  <si>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</si>
  <si>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</si>
  <si>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</si>
  <si>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</si>
  <si>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</si>
  <si>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</si>
  <si>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</si>
  <si>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</si>
  <si>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</si>
  <si>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</si>
  <si>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</si>
  <si>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</si>
  <si>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</si>
  <si>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</si>
  <si>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</si>
  <si>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</si>
  <si>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</si>
  <si>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</si>
  <si>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</si>
  <si>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</si>
  <si>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</si>
  <si>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</si>
  <si>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</si>
  <si>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</si>
  <si>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</si>
  <si>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</si>
  <si>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</si>
  <si>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</si>
  <si>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</si>
  <si>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</si>
  <si>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</si>
  <si>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</si>
  <si>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</si>
  <si>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</si>
  <si>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</si>
  <si>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</si>
  <si>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</si>
  <si>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</si>
  <si>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</si>
  <si>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</si>
  <si>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</si>
  <si>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</si>
  <si>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</si>
  <si>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</si>
  <si>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</si>
  <si>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</si>
  <si>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</si>
  <si>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</si>
  <si>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</si>
  <si>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</si>
  <si>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</si>
  <si>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</si>
  <si>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</si>
  <si>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</si>
  <si>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</si>
  <si>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</si>
  <si>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</si>
  <si>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</si>
  <si>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</si>
  <si>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</si>
  <si>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</si>
  <si>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</si>
  <si>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</si>
  <si>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</si>
  <si>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</si>
  <si>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</si>
  <si>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</si>
  <si>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</si>
  <si>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</si>
  <si>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</si>
  <si>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</si>
  <si>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</si>
  <si>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</si>
  <si>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</si>
  <si>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</si>
  <si>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</si>
  <si>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</si>
  <si>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</si>
  <si>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</si>
  <si>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</si>
  <si>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</si>
  <si>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</si>
  <si>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</si>
  <si>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</si>
  <si>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</si>
  <si>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</si>
  <si>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</si>
  <si>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</si>
  <si>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</si>
  <si>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</si>
  <si>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</si>
  <si>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</si>
  <si>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</si>
  <si>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</si>
  <si>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</si>
  <si>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</si>
  <si>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</si>
  <si>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</si>
  <si>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</si>
  <si>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</si>
  <si>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</si>
  <si>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</si>
  <si>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</si>
  <si>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</si>
  <si>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</si>
  <si>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</si>
  <si>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</si>
  <si>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</si>
  <si>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</si>
  <si>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</si>
  <si>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</si>
  <si>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</si>
  <si>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</si>
  <si>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</si>
  <si>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</si>
  <si>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</si>
  <si>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</si>
  <si>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</si>
  <si>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</si>
  <si>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</si>
  <si>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</si>
  <si>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</si>
  <si>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</si>
  <si>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</si>
  <si>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</si>
  <si>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</si>
  <si>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</si>
  <si>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</si>
  <si>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</si>
  <si>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</si>
  <si>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</si>
  <si>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</si>
  <si>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</si>
  <si>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</si>
  <si>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</si>
  <si>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</si>
  <si>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</si>
  <si>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</si>
  <si>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</si>
  <si>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</si>
  <si>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</si>
  <si>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</si>
  <si>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</si>
  <si>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</si>
  <si>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</si>
  <si>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</si>
  <si>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</si>
  <si>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</si>
  <si>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</si>
  <si>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</si>
  <si>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</si>
  <si>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</si>
  <si>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</si>
  <si>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</si>
  <si>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</si>
  <si>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</si>
  <si>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</si>
  <si>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</si>
  <si>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</si>
  <si>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</si>
  <si>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</si>
  <si>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</si>
  <si>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</si>
  <si>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</si>
  <si>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</si>
  <si>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</si>
  <si>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</si>
  <si>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</si>
  <si>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</si>
  <si>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</si>
  <si>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</si>
  <si>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</si>
  <si>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</si>
  <si>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</si>
  <si>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</si>
  <si>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</si>
  <si>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</si>
  <si>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</si>
  <si>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</si>
  <si>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</si>
  <si>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</si>
  <si>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</si>
  <si>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</si>
  <si>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</si>
  <si>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</si>
  <si>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</si>
  <si>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</si>
  <si>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</si>
  <si>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</si>
  <si>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</si>
  <si>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</si>
  <si>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</si>
  <si>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</si>
  <si>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</si>
  <si>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</si>
  <si>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</si>
  <si>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</si>
  <si>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</si>
  <si>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</si>
  <si>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</si>
  <si>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</si>
  <si>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</si>
  <si>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</si>
  <si>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</si>
  <si>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</si>
  <si>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</si>
  <si>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</si>
  <si>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</si>
  <si>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</si>
  <si>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</si>
  <si>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</si>
  <si>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</si>
  <si>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</si>
  <si>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</si>
  <si>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</si>
  <si>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</si>
  <si>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</si>
  <si>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</si>
  <si>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</si>
  <si>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</si>
  <si>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</si>
  <si>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</si>
  <si>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</si>
  <si>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</si>
  <si>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</si>
  <si>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</si>
  <si>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</si>
  <si>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</si>
  <si>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</si>
  <si>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</si>
  <si>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</si>
  <si>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</si>
  <si>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</si>
  <si>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</si>
  <si>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</si>
  <si>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</si>
  <si>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</si>
  <si>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</si>
  <si>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</si>
  <si>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</si>
  <si>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</si>
  <si>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</si>
  <si>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</si>
  <si>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</si>
  <si>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</si>
  <si>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</si>
  <si>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</si>
  <si>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</si>
  <si>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</si>
  <si>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</si>
  <si>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</si>
  <si>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</si>
  <si>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</si>
  <si>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</si>
  <si>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</si>
  <si>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</si>
  <si>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</si>
  <si>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</si>
  <si>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</si>
  <si>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</si>
  <si>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</si>
  <si>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</si>
  <si>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</si>
  <si>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</si>
  <si>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</si>
  <si>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</si>
  <si>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</si>
  <si>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</si>
  <si>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</si>
  <si>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</si>
  <si>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</si>
  <si>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</si>
  <si>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</si>
  <si>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</si>
  <si>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</si>
  <si>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</si>
  <si>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</si>
  <si>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</si>
  <si>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</si>
  <si>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</si>
  <si>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</si>
  <si>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</si>
  <si>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</si>
  <si>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</si>
  <si>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</si>
  <si>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</si>
  <si>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</si>
  <si>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</si>
  <si>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</si>
  <si>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</si>
  <si>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</si>
  <si>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</si>
  <si>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</si>
  <si>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</si>
  <si>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</si>
  <si>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</si>
  <si>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</si>
  <si>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</si>
  <si>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</si>
  <si>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</si>
  <si>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</si>
  <si>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</si>
  <si>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</si>
  <si>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</si>
  <si>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</si>
  <si>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</si>
  <si>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</si>
  <si>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</si>
  <si>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</si>
  <si>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</si>
  <si>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</si>
  <si>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</si>
  <si>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</si>
  <si>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</si>
  <si>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</si>
  <si>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</si>
  <si>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</si>
  <si>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</si>
  <si>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</si>
  <si>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</si>
  <si>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</si>
  <si>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</si>
  <si>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</si>
  <si>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</si>
  <si>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</si>
  <si>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</si>
  <si>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</si>
  <si>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</si>
  <si>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</si>
  <si>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</si>
  <si>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</si>
  <si>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</si>
  <si>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</si>
  <si>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</si>
  <si>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</si>
  <si>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</si>
  <si>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</si>
  <si>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</si>
  <si>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</si>
  <si>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</si>
  <si>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</si>
  <si>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</si>
  <si>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</si>
  <si>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</si>
  <si>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</si>
  <si>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</si>
  <si>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</si>
  <si>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</si>
  <si>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</si>
  <si>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</si>
  <si>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</si>
  <si>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</si>
  <si>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</si>
  <si>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</si>
  <si>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</si>
  <si>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</si>
  <si>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</si>
  <si>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</si>
  <si>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</si>
  <si>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</si>
  <si>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</si>
  <si>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</si>
  <si>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</si>
  <si>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</si>
  <si>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</si>
  <si>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</si>
  <si>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</si>
  <si>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</si>
  <si>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</si>
  <si>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</si>
  <si>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</si>
  <si>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</si>
  <si>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</si>
  <si>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</si>
  <si>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</si>
  <si>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</si>
  <si>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</si>
  <si>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</si>
  <si>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</si>
  <si>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</si>
  <si>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</si>
  <si>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</si>
  <si>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</si>
  <si>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</si>
  <si>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</si>
  <si>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</si>
  <si>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</si>
  <si>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</si>
  <si>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</si>
  <si>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</si>
  <si>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</si>
  <si>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</si>
  <si>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</si>
  <si>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</si>
  <si>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</si>
  <si>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</si>
  <si>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</si>
  <si>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</si>
  <si>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</si>
  <si>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</si>
  <si>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</si>
  <si>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</si>
  <si>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</si>
  <si>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</si>
  <si>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</si>
  <si>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</si>
  <si>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</si>
  <si>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</si>
  <si>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</si>
  <si>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</si>
  <si>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</si>
  <si>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</si>
  <si>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</si>
  <si>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</si>
  <si>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</si>
  <si>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</si>
  <si>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</si>
  <si>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</si>
  <si>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</si>
  <si>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</si>
  <si>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</si>
  <si>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</si>
  <si>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</si>
  <si>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</si>
  <si>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</si>
  <si>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</si>
  <si>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</si>
  <si>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</si>
  <si>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</si>
  <si>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</si>
  <si>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</si>
  <si>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</si>
  <si>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</si>
  <si>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</si>
  <si>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</si>
  <si>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</si>
  <si>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</si>
  <si>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</si>
  <si>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</si>
  <si>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</si>
  <si>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</si>
  <si>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</si>
  <si>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</si>
  <si>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</si>
  <si>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</si>
  <si>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</si>
  <si>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</si>
  <si>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</si>
  <si>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</si>
  <si>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</si>
  <si>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</si>
  <si>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</si>
  <si>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</si>
  <si>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</si>
  <si>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</si>
  <si>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</si>
  <si>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</si>
  <si>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</si>
  <si>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</si>
  <si>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</si>
  <si>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</si>
  <si>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</si>
  <si>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</si>
  <si>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</si>
  <si>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</si>
  <si>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</si>
  <si>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</si>
  <si>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</si>
  <si>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</si>
  <si>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</si>
  <si>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</si>
  <si>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</si>
  <si>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</si>
  <si>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</si>
  <si>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</si>
  <si>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</si>
  <si>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</si>
  <si>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</si>
  <si>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</si>
  <si>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</si>
  <si>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</si>
  <si>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</si>
  <si>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</si>
  <si>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</si>
  <si>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</si>
  <si>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</si>
  <si>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</si>
  <si>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</si>
  <si>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</si>
  <si>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</si>
  <si>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</si>
  <si>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</si>
  <si>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</si>
  <si>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</si>
  <si>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</si>
  <si>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</si>
  <si>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</si>
  <si>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</si>
  <si>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</si>
  <si>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</si>
  <si>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</si>
  <si>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</si>
  <si>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</si>
  <si>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</si>
  <si>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</si>
  <si>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</si>
  <si>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</si>
  <si>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</si>
  <si>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</si>
  <si>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</si>
  <si>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</si>
  <si>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</si>
  <si>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</si>
  <si>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</si>
  <si>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</si>
  <si>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</si>
  <si>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</si>
  <si>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</si>
  <si>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</si>
  <si>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</si>
  <si>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</si>
  <si>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</si>
  <si>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</si>
  <si>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</si>
  <si>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</si>
  <si>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</si>
  <si>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</si>
  <si>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</si>
  <si>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</si>
  <si>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</si>
  <si>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</si>
  <si>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</si>
  <si>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</si>
  <si>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</si>
  <si>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</si>
  <si>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</si>
  <si>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</si>
  <si>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</si>
  <si>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</si>
  <si>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</si>
  <si>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</si>
  <si>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</si>
  <si>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</si>
  <si>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</si>
  <si>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</si>
  <si>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</si>
  <si>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</si>
  <si>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</si>
  <si>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</si>
  <si>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</si>
  <si>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</si>
  <si>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</si>
  <si>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</si>
  <si>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</si>
  <si>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</si>
  <si>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</si>
  <si>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</si>
  <si>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</si>
  <si>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</si>
  <si>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</si>
  <si>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</si>
  <si>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</si>
  <si>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</si>
  <si>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</si>
  <si>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</si>
  <si>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</si>
  <si>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</si>
  <si>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</si>
  <si>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</si>
  <si>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</si>
  <si>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</si>
  <si>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</si>
  <si>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</si>
  <si>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</si>
  <si>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</si>
  <si>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</si>
  <si>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</si>
  <si>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</si>
  <si>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</si>
  <si>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</si>
  <si>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</si>
  <si>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</si>
  <si>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</si>
  <si>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</si>
  <si>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</si>
  <si>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</si>
  <si>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</si>
  <si>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</si>
  <si>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</si>
  <si>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</si>
  <si>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</si>
  <si>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</si>
  <si>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</si>
  <si>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</si>
  <si>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</si>
  <si>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</si>
  <si>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</si>
  <si>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</si>
  <si>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</si>
  <si>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</si>
  <si>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</si>
  <si>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</si>
  <si>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</si>
  <si>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</si>
  <si>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</si>
  <si>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</si>
  <si>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</si>
  <si>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</si>
  <si>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</si>
  <si>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</si>
  <si>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</si>
  <si>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</si>
  <si>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</si>
  <si>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</si>
  <si>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</si>
  <si>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</si>
  <si>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</si>
  <si>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</si>
  <si>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</si>
  <si>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</si>
  <si>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</si>
  <si>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</si>
  <si>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</si>
  <si>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</si>
  <si>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</si>
  <si>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</si>
  <si>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</si>
  <si>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</si>
  <si>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</si>
  <si>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</si>
  <si>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</si>
  <si>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</si>
  <si>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</si>
  <si>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</si>
  <si>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</si>
  <si>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</si>
  <si>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</si>
  <si>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</si>
  <si>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</si>
  <si>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</si>
  <si>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</si>
  <si>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</si>
  <si>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</si>
  <si>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</si>
  <si>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</si>
  <si>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</si>
  <si>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</si>
  <si>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</si>
  <si>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</si>
  <si>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</si>
  <si>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</si>
  <si>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</si>
  <si>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</si>
  <si>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</si>
  <si>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</si>
  <si>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</si>
  <si>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</si>
  <si>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</si>
  <si>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</si>
  <si>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</si>
  <si>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</si>
  <si>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</si>
  <si>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</si>
  <si>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</si>
  <si>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</si>
  <si>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</si>
  <si>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</si>
  <si>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</si>
  <si>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</si>
  <si>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</si>
  <si>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</si>
  <si>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</si>
  <si>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</si>
  <si>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</si>
  <si>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</si>
  <si>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</si>
  <si>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</si>
  <si>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</si>
  <si>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</si>
  <si>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</si>
  <si>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</si>
  <si>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</si>
  <si>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</si>
  <si>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</si>
  <si>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</si>
  <si>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</si>
  <si>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</si>
  <si>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</si>
  <si>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</si>
  <si>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</si>
  <si>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</si>
  <si>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</si>
  <si>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</si>
  <si>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</si>
  <si>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</si>
  <si>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</si>
  <si>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</si>
  <si>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</si>
  <si>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</si>
  <si>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</si>
  <si>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</si>
  <si>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</si>
  <si>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</si>
  <si>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</si>
  <si>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</si>
  <si>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</si>
  <si>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</si>
  <si>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</si>
  <si>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</si>
  <si>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</si>
  <si>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</si>
  <si>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</si>
  <si>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</si>
  <si>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</si>
  <si>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</si>
  <si>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</si>
  <si>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</si>
  <si>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</si>
  <si>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</si>
  <si>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</si>
  <si>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</si>
  <si>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</si>
  <si>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</si>
  <si>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</si>
  <si>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</si>
  <si>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</si>
  <si>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</si>
  <si>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</si>
  <si>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</si>
  <si>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</si>
  <si>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</si>
  <si>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</si>
  <si>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</si>
  <si>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</si>
  <si>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</si>
  <si>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</si>
  <si>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</si>
  <si>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</si>
  <si>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</si>
  <si>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</si>
  <si>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</si>
  <si>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</si>
  <si>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</si>
  <si>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</si>
  <si>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</si>
  <si>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</si>
  <si>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</si>
  <si>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</si>
  <si>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</si>
  <si>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</si>
  <si>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</si>
  <si>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</si>
  <si>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</si>
  <si>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</si>
  <si>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</si>
  <si>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</si>
  <si>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</si>
  <si>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</si>
  <si>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</si>
  <si>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</si>
  <si>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</si>
  <si>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</si>
  <si>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</si>
  <si>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</si>
  <si>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</si>
  <si>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</si>
  <si>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</si>
  <si>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</si>
  <si>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</si>
  <si>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</si>
  <si>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</si>
  <si>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</si>
  <si>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</si>
  <si>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</si>
  <si>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</si>
  <si>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</si>
  <si>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</si>
  <si>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</si>
  <si>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</si>
  <si>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</si>
  <si>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</si>
  <si>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</si>
  <si>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</si>
  <si>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</si>
  <si>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</si>
  <si>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</si>
  <si>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</si>
  <si>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</si>
  <si>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</si>
  <si>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</si>
  <si>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</si>
  <si>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</si>
  <si>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</si>
  <si>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</si>
  <si>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</si>
  <si>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</si>
  <si>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</si>
  <si>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</si>
  <si>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</si>
  <si>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</si>
  <si>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</si>
  <si>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</si>
  <si>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</si>
  <si>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</si>
  <si>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</si>
  <si>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</si>
  <si>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</si>
  <si>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</si>
  <si>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</si>
  <si>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</si>
  <si>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</si>
  <si>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</si>
  <si>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</si>
  <si>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</si>
  <si>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</si>
  <si>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</si>
  <si>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</si>
  <si>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</si>
  <si>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</si>
  <si>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</si>
  <si>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</si>
  <si>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</si>
  <si>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</si>
  <si>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</si>
  <si>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</si>
  <si>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</si>
  <si>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</si>
  <si>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</si>
  <si>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</si>
  <si>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</si>
  <si>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</si>
  <si>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</si>
  <si>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</si>
  <si>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</si>
  <si>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</si>
  <si>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</si>
  <si>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</si>
  <si>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</si>
  <si>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</si>
  <si>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</si>
  <si>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</si>
  <si>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</si>
  <si>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</si>
  <si>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</si>
  <si>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</si>
  <si>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</si>
  <si>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</si>
  <si>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</si>
  <si>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</si>
  <si>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</si>
  <si>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</si>
  <si>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</si>
  <si>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</si>
  <si>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</si>
  <si>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</si>
  <si>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</si>
  <si>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</si>
  <si>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</si>
  <si>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</si>
  <si>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</si>
  <si>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</si>
  <si>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</si>
  <si>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</si>
  <si>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</si>
  <si>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</si>
  <si>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</si>
  <si>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</si>
  <si>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</si>
  <si>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</si>
  <si>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</si>
  <si>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</si>
  <si>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</si>
  <si>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</si>
  <si>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</si>
  <si>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</si>
  <si>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</si>
  <si>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</si>
  <si>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</si>
  <si>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</si>
  <si>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</si>
  <si>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</si>
  <si>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</si>
  <si>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</si>
  <si>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</si>
  <si>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</si>
  <si>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</si>
  <si>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</si>
  <si>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</si>
  <si>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</si>
  <si>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</si>
  <si>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</si>
  <si>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</si>
  <si>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</si>
  <si>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</si>
  <si>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</si>
  <si>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</si>
  <si>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</si>
  <si>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</si>
  <si>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</si>
  <si>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</si>
  <si>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</si>
  <si>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</si>
  <si>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</si>
  <si>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</si>
  <si>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</si>
  <si>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</si>
  <si>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</si>
  <si>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</si>
  <si>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</si>
  <si>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</si>
  <si>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</si>
  <si>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</si>
  <si>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</si>
  <si>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</si>
  <si>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</si>
  <si>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</si>
  <si>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</si>
  <si>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</si>
  <si>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</si>
  <si>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</si>
  <si>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</si>
  <si>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</si>
  <si>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</si>
  <si>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</si>
  <si>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</si>
  <si>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</si>
  <si>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</si>
  <si>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</si>
  <si>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</si>
  <si>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</si>
  <si>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</si>
  <si>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</si>
  <si>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</si>
  <si>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</si>
  <si>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</si>
  <si>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</si>
  <si>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</si>
  <si>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</si>
  <si>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</si>
  <si>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</si>
  <si>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</si>
  <si>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</si>
  <si>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</si>
  <si>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</si>
  <si>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</si>
  <si>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</si>
  <si>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</si>
  <si>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</si>
  <si>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</si>
  <si>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</si>
  <si>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</si>
  <si>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</si>
  <si>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</si>
  <si>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</si>
  <si>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</si>
  <si>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</si>
  <si>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</si>
  <si>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</si>
  <si>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</si>
  <si>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</si>
  <si>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</si>
  <si>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</si>
  <si>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</si>
  <si>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</si>
  <si>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</si>
  <si>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</si>
  <si>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</si>
  <si>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</si>
  <si>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</si>
  <si>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</si>
  <si>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</si>
  <si>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</si>
  <si>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</si>
  <si>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</si>
  <si>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</si>
  <si>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</si>
  <si>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</si>
  <si>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</si>
  <si>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</si>
  <si>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</si>
  <si>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郑燚</t>
  </si>
  <si>
    <t>王鹏</t>
  </si>
  <si>
    <t>北京丰泰新发资产管理有限公司</t>
    <phoneticPr fontId="4" type="noConversion"/>
  </si>
  <si>
    <t>农商银行丰台支行</t>
    <phoneticPr fontId="4" type="noConversion"/>
  </si>
  <si>
    <t>抵押</t>
  </si>
  <si>
    <t>房地产抵押价值</t>
  </si>
  <si>
    <t>北京市</t>
  </si>
  <si>
    <t>企业</t>
  </si>
  <si>
    <t>丰台区花乡新发地农副产品批发市场B地块</t>
    <phoneticPr fontId="4" type="noConversion"/>
  </si>
  <si>
    <t>出让</t>
  </si>
  <si>
    <t>批发零售业</t>
    <phoneticPr fontId="4" type="noConversion"/>
  </si>
  <si>
    <t>《国有土地使用证》[京丰国用（2012出）第00197号]</t>
    <phoneticPr fontId="4" type="noConversion"/>
  </si>
  <si>
    <t>北京新发地批发市场升级改造项目数据</t>
    <phoneticPr fontId="7" type="noConversion"/>
  </si>
  <si>
    <t>商业项目</t>
  </si>
  <si>
    <t>其他特殊：</t>
  </si>
  <si>
    <t>新发地菜市场</t>
    <phoneticPr fontId="7" type="noConversion"/>
  </si>
  <si>
    <t>在建</t>
  </si>
  <si>
    <t>通路</t>
  </si>
  <si>
    <t>通电</t>
  </si>
  <si>
    <t>通上水</t>
  </si>
  <si>
    <t>北京新发地批发市场升级改造项目数据</t>
    <phoneticPr fontId="144" type="noConversion"/>
  </si>
  <si>
    <t>单位：平方米</t>
    <phoneticPr fontId="144" type="noConversion"/>
  </si>
  <si>
    <t>序号</t>
    <phoneticPr fontId="144" type="noConversion"/>
  </si>
  <si>
    <t>名称</t>
    <phoneticPr fontId="144" type="noConversion"/>
  </si>
  <si>
    <t>容积率1.0</t>
    <phoneticPr fontId="144" type="noConversion"/>
  </si>
  <si>
    <r>
      <t>A</t>
    </r>
    <r>
      <rPr>
        <sz val="11"/>
        <color theme="1"/>
        <rFont val="宋体"/>
        <family val="3"/>
        <charset val="134"/>
        <scheme val="minor"/>
      </rPr>
      <t>1</t>
    </r>
    <r>
      <rPr>
        <sz val="11"/>
        <color theme="1"/>
        <rFont val="宋体"/>
        <family val="3"/>
        <charset val="134"/>
        <scheme val="minor"/>
      </rPr>
      <t>区（XFD-012）</t>
    </r>
    <phoneticPr fontId="144" type="noConversion"/>
  </si>
  <si>
    <t>A2区（XFD-013）</t>
    <phoneticPr fontId="144" type="noConversion"/>
  </si>
  <si>
    <t>B区（XFD-016）</t>
    <phoneticPr fontId="144" type="noConversion"/>
  </si>
  <si>
    <t>C区（XFD-017）</t>
    <phoneticPr fontId="144" type="noConversion"/>
  </si>
  <si>
    <t>总用地面积</t>
    <phoneticPr fontId="144" type="noConversion"/>
  </si>
  <si>
    <t>总建设用地面积</t>
    <phoneticPr fontId="144" type="noConversion"/>
  </si>
  <si>
    <t>建设用地面积</t>
    <phoneticPr fontId="144" type="noConversion"/>
  </si>
  <si>
    <t>总建筑用地面积</t>
    <phoneticPr fontId="144" type="noConversion"/>
  </si>
  <si>
    <t>其中： 地上建筑面积</t>
    <phoneticPr fontId="144" type="noConversion"/>
  </si>
  <si>
    <t xml:space="preserve">       地下建筑面积</t>
    <phoneticPr fontId="144" type="noConversion"/>
  </si>
  <si>
    <t>各区总建筑面积</t>
    <phoneticPr fontId="144" type="noConversion"/>
  </si>
  <si>
    <t>各区地上建筑面积</t>
    <phoneticPr fontId="144" type="noConversion"/>
  </si>
  <si>
    <t>各区地下建筑面积</t>
    <phoneticPr fontId="144" type="noConversion"/>
  </si>
  <si>
    <t>地上功能用途</t>
    <phoneticPr fontId="144" type="noConversion"/>
  </si>
  <si>
    <t>市场配套管理用房</t>
    <phoneticPr fontId="144" type="noConversion"/>
  </si>
  <si>
    <t>交易市场、停车库</t>
    <phoneticPr fontId="144" type="noConversion"/>
  </si>
  <si>
    <t>地下功能用途</t>
    <phoneticPr fontId="144" type="noConversion"/>
  </si>
  <si>
    <t>停车库</t>
    <phoneticPr fontId="144" type="noConversion"/>
  </si>
  <si>
    <t>建设人防面积</t>
    <phoneticPr fontId="144" type="noConversion"/>
  </si>
  <si>
    <t>其中： 人防地上面积</t>
    <phoneticPr fontId="144" type="noConversion"/>
  </si>
  <si>
    <t xml:space="preserve">        人防地下面积</t>
    <phoneticPr fontId="144" type="noConversion"/>
  </si>
  <si>
    <t>各区人防面积</t>
    <phoneticPr fontId="144" type="noConversion"/>
  </si>
  <si>
    <t>建筑面积（无人防面积）</t>
    <phoneticPr fontId="144" type="noConversion"/>
  </si>
  <si>
    <t>地上商业面积</t>
    <phoneticPr fontId="144" type="noConversion"/>
  </si>
  <si>
    <t>地上车库面积</t>
    <phoneticPr fontId="144" type="noConversion"/>
  </si>
  <si>
    <t>地下车库面积</t>
    <phoneticPr fontId="144" type="noConversion"/>
  </si>
  <si>
    <t>容积率</t>
    <phoneticPr fontId="144" type="noConversion"/>
  </si>
  <si>
    <t>建筑密度</t>
    <phoneticPr fontId="144" type="noConversion"/>
  </si>
  <si>
    <t>建筑控高</t>
    <phoneticPr fontId="144" type="noConversion"/>
  </si>
  <si>
    <t>机动车停车位</t>
    <phoneticPr fontId="144" type="noConversion"/>
  </si>
  <si>
    <t>365辆</t>
    <phoneticPr fontId="144" type="noConversion"/>
  </si>
  <si>
    <t>37辆（上12，下25）</t>
    <phoneticPr fontId="144" type="noConversion"/>
  </si>
  <si>
    <t>900辆（上160，下740）</t>
    <phoneticPr fontId="144" type="noConversion"/>
  </si>
  <si>
    <r>
      <t>850辆（上</t>
    </r>
    <r>
      <rPr>
        <sz val="11"/>
        <color theme="1"/>
        <rFont val="宋体"/>
        <family val="3"/>
        <charset val="134"/>
        <scheme val="minor"/>
      </rPr>
      <t>80</t>
    </r>
    <r>
      <rPr>
        <sz val="11"/>
        <color theme="1"/>
        <rFont val="宋体"/>
        <family val="3"/>
        <charset val="134"/>
        <scheme val="minor"/>
      </rPr>
      <t>，下850）</t>
    </r>
    <phoneticPr fontId="144" type="noConversion"/>
  </si>
  <si>
    <t>非机动车停车位</t>
    <phoneticPr fontId="144" type="noConversion"/>
  </si>
  <si>
    <t>142辆</t>
    <phoneticPr fontId="144" type="noConversion"/>
  </si>
  <si>
    <t>地上</t>
  </si>
  <si>
    <t>独立商业</t>
  </si>
  <si>
    <t>车库</t>
  </si>
  <si>
    <t>是</t>
  </si>
  <si>
    <t>地下</t>
  </si>
  <si>
    <t>商业</t>
    <phoneticPr fontId="8" type="noConversion"/>
  </si>
  <si>
    <t>车库</t>
    <phoneticPr fontId="8" type="noConversion"/>
  </si>
  <si>
    <t>截至2018年4月25日</t>
    <phoneticPr fontId="4" type="noConversion"/>
  </si>
  <si>
    <t>工程进度已达正负零：</t>
    <phoneticPr fontId="4" type="noConversion"/>
  </si>
  <si>
    <t>基础工程已完成</t>
    <phoneticPr fontId="4" type="noConversion"/>
  </si>
  <si>
    <t>收益法(车库)</t>
    <phoneticPr fontId="17" type="noConversion"/>
  </si>
  <si>
    <t>批发零售用地</t>
  </si>
  <si>
    <t>宗地容积率</t>
  </si>
  <si>
    <t>不临58条商业街</t>
  </si>
  <si>
    <t>三通一平</t>
  </si>
  <si>
    <t>缺少</t>
  </si>
  <si>
    <t>通讯</t>
  </si>
  <si>
    <t>通下水</t>
  </si>
  <si>
    <t>通热</t>
  </si>
  <si>
    <t>燃气</t>
  </si>
  <si>
    <t>容积率修正</t>
  </si>
  <si>
    <t>季度增幅（自定义）</t>
  </si>
  <si>
    <r>
      <rPr>
        <b/>
        <sz val="11"/>
        <color rgb="FFFF0000"/>
        <rFont val="宋体"/>
        <family val="3"/>
        <charset val="134"/>
      </rPr>
      <t>价值时点尚未公布</t>
    </r>
    <r>
      <rPr>
        <b/>
        <sz val="11"/>
        <color rgb="FFFF0000"/>
        <rFont val="Arial"/>
        <family val="2"/>
      </rPr>
      <t>2018</t>
    </r>
    <r>
      <rPr>
        <b/>
        <sz val="11"/>
        <color rgb="FFFF0000"/>
        <rFont val="宋体"/>
        <family val="3"/>
        <charset val="134"/>
      </rPr>
      <t>第二季度数据，用一季度数据替代</t>
    </r>
    <phoneticPr fontId="80" type="noConversion"/>
  </si>
  <si>
    <t>较好</t>
  </si>
  <si>
    <t>一般</t>
  </si>
  <si>
    <t>未包含在土地购买价格中</t>
  </si>
  <si>
    <t>全部缴纳</t>
  </si>
  <si>
    <t>其他商服用地（停车场、停车楼等用地）</t>
  </si>
  <si>
    <t>按租金收入计税</t>
  </si>
  <si>
    <t>钢混</t>
  </si>
  <si>
    <t>非生产用房</t>
  </si>
  <si>
    <t>自定义</t>
  </si>
  <si>
    <t>收益法</t>
  </si>
  <si>
    <t>已部分缴纳</t>
  </si>
  <si>
    <t>基准地价</t>
  </si>
  <si>
    <t>否</t>
  </si>
  <si>
    <t>在建（套用方法）</t>
  </si>
  <si>
    <t>成本法</t>
  </si>
  <si>
    <t>假设开发法</t>
  </si>
  <si>
    <t>项目全部</t>
  </si>
  <si>
    <t>成本比率</t>
  </si>
  <si>
    <t>企业提供</t>
    <phoneticPr fontId="9" type="noConversion"/>
  </si>
  <si>
    <t>土地面积</t>
  </si>
  <si>
    <t>规划建筑面积</t>
  </si>
  <si>
    <t>情况3</t>
  </si>
  <si>
    <r>
      <rPr>
        <sz val="10"/>
        <color indexed="8"/>
        <rFont val="宋体"/>
        <family val="3"/>
        <charset val="134"/>
      </rPr>
      <t>王鹏总应银行要求，评估值调到</t>
    </r>
    <r>
      <rPr>
        <sz val="10"/>
        <color indexed="8"/>
        <rFont val="Arial"/>
        <family val="2"/>
      </rPr>
      <t>14</t>
    </r>
    <r>
      <rPr>
        <sz val="10"/>
        <color indexed="8"/>
        <rFont val="宋体"/>
        <family val="3"/>
        <charset val="134"/>
      </rPr>
      <t>亿元</t>
    </r>
    <phoneticPr fontId="9" type="noConversion"/>
  </si>
  <si>
    <t>续评（2016-1-B-2-048）：规划建筑面积123679平方米、工程进度1%、总价102156万元、楼面单价8260元/平方米</t>
    <phoneticPr fontId="9" type="noConversion"/>
  </si>
  <si>
    <t>房屋用途为特种用途用房，收益法无市场数据或历史经营数据支持</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</si>
</sst>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200" formatCode="_ * #,##0.00_ ;_ * \-#,##0.00_ ;_ * &quot;-&quot;??_ ;_ @_ "/>
  </numFmts>
  <fonts count="26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楷体_GB2312"/>
      <family val="3"/>
      <charset val="134"/>
    </font>
    <font>
      <sz val="11"/>
      <name val="宋体"/>
      <family val="3"/>
      <charset val="134"/>
      <scheme val="minor"/>
    </font>
    <font>
      <sz val="11"/>
      <color theme="1"/>
      <name val="宋体"/>
      <family val="3"/>
      <charset val="134"/>
      <scheme val="minor"/>
    </font>
    <font>
      <b/>
      <sz val="11"/>
      <color rgb="FFFF0000"/>
      <name val="Arial"/>
      <family val="3"/>
      <charset val="134"/>
    </font>
    <font>
      <sz val="10"/>
      <color theme="1"/>
      <name val="楷体_GB2312"/>
      <family val="3"/>
      <charset val="134"/>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4"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9" fontId="257" fillId="0" borderId="0" applyFont="0" applyFill="0" applyBorder="0" applyAlignment="0" applyProtection="0">
      <alignment vertical="center"/>
    </xf>
    <xf numFmtId="0" fontId="2" fillId="0" borderId="0">
      <alignment vertical="center"/>
    </xf>
    <xf numFmtId="0" fontId="1" fillId="0" borderId="0"/>
    <xf numFmtId="200" fontId="100" fillId="0" borderId="0" applyFont="0" applyFill="0" applyBorder="0" applyAlignment="0" applyProtection="0">
      <alignment vertical="center"/>
    </xf>
    <xf numFmtId="9" fontId="100" fillId="0" borderId="0" applyFont="0" applyFill="0" applyBorder="0" applyAlignment="0" applyProtection="0">
      <alignment vertical="center"/>
    </xf>
  </cellStyleXfs>
  <cellXfs count="34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1" xfId="0" applyFont="1" applyFill="1" applyBorder="1" applyAlignment="1" applyProtection="1">
      <alignment vertical="center"/>
    </xf>
    <xf numFmtId="0" fontId="50" fillId="6" borderId="151" xfId="0" applyFont="1" applyFill="1" applyBorder="1" applyAlignment="1" applyProtection="1">
      <alignment vertical="center" wrapText="1"/>
    </xf>
    <xf numFmtId="0" fontId="50" fillId="6" borderId="152" xfId="0" applyFont="1" applyFill="1" applyBorder="1" applyAlignment="1" applyProtection="1">
      <alignment vertical="center" wrapText="1"/>
    </xf>
    <xf numFmtId="0" fontId="50" fillId="6" borderId="151" xfId="0" applyFont="1" applyFill="1" applyBorder="1" applyAlignment="1" applyProtection="1">
      <alignment horizontal="center" vertical="center" wrapText="1"/>
    </xf>
    <xf numFmtId="0" fontId="50" fillId="0" borderId="151"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3" xfId="5" applyFont="1" applyBorder="1" applyAlignment="1">
      <alignment vertical="center"/>
    </xf>
    <xf numFmtId="0" fontId="127" fillId="0" borderId="153" xfId="5" applyFont="1" applyFill="1" applyBorder="1">
      <alignment vertical="center"/>
    </xf>
    <xf numFmtId="0" fontId="127" fillId="0" borderId="153"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3" xfId="5" applyFont="1" applyFill="1" applyBorder="1" applyAlignment="1">
      <alignment horizontal="right" vertical="center"/>
    </xf>
    <xf numFmtId="0" fontId="129"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4"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184" fontId="57" fillId="0" borderId="1" xfId="0" applyNumberFormat="1" applyFont="1" applyFill="1" applyBorder="1" applyAlignment="1" applyProtection="1">
      <alignment horizontal="center" vertical="center" shrinkToFit="1"/>
      <protection locked="0"/>
    </xf>
    <xf numFmtId="177" fontId="62" fillId="5" borderId="1" xfId="1" applyNumberFormat="1" applyFont="1" applyFill="1" applyBorder="1" applyAlignment="1" applyProtection="1">
      <alignment horizontal="center" vertical="center"/>
      <protection locked="0"/>
    </xf>
    <xf numFmtId="0" fontId="58" fillId="6" borderId="9"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91" fillId="0" borderId="2" xfId="0" applyFont="1" applyBorder="1" applyAlignment="1" applyProtection="1">
      <alignment horizontal="left" vertical="center" wrapText="1"/>
      <protection locked="0"/>
    </xf>
    <xf numFmtId="0" fontId="255"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00" fillId="0" borderId="41" xfId="0" applyFont="1"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vertical="center"/>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23" xfId="0" applyBorder="1" applyAlignment="1">
      <alignment horizontal="center" vertical="center" wrapText="1"/>
    </xf>
    <xf numFmtId="0" fontId="0" fillId="0" borderId="48" xfId="0" applyBorder="1" applyAlignment="1">
      <alignment horizontal="center" vertical="center" wrapText="1"/>
    </xf>
    <xf numFmtId="0" fontId="0" fillId="7" borderId="5" xfId="0" applyFill="1" applyBorder="1" applyAlignment="1">
      <alignment horizontal="center" vertical="center" wrapText="1"/>
    </xf>
    <xf numFmtId="0" fontId="100" fillId="0" borderId="5" xfId="0" applyFont="1" applyBorder="1" applyAlignment="1">
      <alignment horizontal="center" vertical="center" wrapText="1"/>
    </xf>
    <xf numFmtId="0" fontId="0" fillId="17" borderId="5" xfId="0" applyFill="1" applyBorder="1" applyAlignment="1">
      <alignment horizontal="center" vertical="center" wrapText="1"/>
    </xf>
    <xf numFmtId="0" fontId="0" fillId="17" borderId="37" xfId="0" applyFill="1" applyBorder="1" applyAlignment="1">
      <alignment horizontal="center" vertical="center" wrapText="1"/>
    </xf>
    <xf numFmtId="0" fontId="0" fillId="17" borderId="1" xfId="0" applyFill="1" applyBorder="1" applyAlignment="1">
      <alignment horizontal="center" vertical="center" wrapText="1"/>
    </xf>
    <xf numFmtId="0" fontId="0" fillId="17" borderId="48" xfId="0" applyFill="1" applyBorder="1" applyAlignment="1">
      <alignment horizontal="center" vertical="center" wrapText="1"/>
    </xf>
    <xf numFmtId="0" fontId="0" fillId="17" borderId="23" xfId="0" applyFill="1" applyBorder="1" applyAlignment="1">
      <alignment horizontal="center" vertical="center" wrapText="1"/>
    </xf>
    <xf numFmtId="0" fontId="0" fillId="17" borderId="24" xfId="0" applyFill="1" applyBorder="1" applyAlignment="1">
      <alignment horizontal="center" vertical="center"/>
    </xf>
    <xf numFmtId="0" fontId="0" fillId="0" borderId="107" xfId="0" applyBorder="1" applyAlignment="1">
      <alignment horizontal="center" vertical="center" wrapText="1"/>
    </xf>
    <xf numFmtId="0" fontId="100" fillId="0" borderId="1" xfId="0" applyFont="1" applyBorder="1" applyAlignment="1">
      <alignment horizontal="center" vertical="center" wrapText="1"/>
    </xf>
    <xf numFmtId="0" fontId="100" fillId="0" borderId="24" xfId="0" applyFont="1" applyBorder="1" applyAlignment="1">
      <alignment horizontal="center" vertical="center" wrapText="1"/>
    </xf>
    <xf numFmtId="0" fontId="100" fillId="0" borderId="23" xfId="0" applyFont="1" applyBorder="1" applyAlignment="1">
      <alignment horizontal="center" vertical="center" wrapText="1"/>
    </xf>
    <xf numFmtId="0" fontId="100" fillId="0" borderId="24" xfId="0" applyFont="1" applyBorder="1" applyAlignment="1">
      <alignment horizontal="center" vertical="center"/>
    </xf>
    <xf numFmtId="0" fontId="256" fillId="14" borderId="5" xfId="0" applyFont="1" applyFill="1" applyBorder="1" applyAlignment="1">
      <alignment horizontal="center" vertical="center" wrapText="1"/>
    </xf>
    <xf numFmtId="0" fontId="0" fillId="14" borderId="5" xfId="0" applyFill="1" applyBorder="1" applyAlignment="1">
      <alignment horizontal="right" vertical="center" wrapText="1"/>
    </xf>
    <xf numFmtId="0" fontId="0" fillId="14" borderId="5"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1" xfId="0" applyFill="1" applyBorder="1" applyAlignment="1">
      <alignment horizontal="center" vertical="center" wrapText="1"/>
    </xf>
    <xf numFmtId="0" fontId="0" fillId="14" borderId="48" xfId="0" applyFill="1" applyBorder="1" applyAlignment="1">
      <alignment horizontal="center" vertical="center" wrapText="1"/>
    </xf>
    <xf numFmtId="0" fontId="100" fillId="18" borderId="5" xfId="0" applyFont="1" applyFill="1" applyBorder="1" applyAlignment="1">
      <alignment horizontal="center" vertical="center" wrapText="1"/>
    </xf>
    <xf numFmtId="0" fontId="0" fillId="18" borderId="23" xfId="0" applyFill="1" applyBorder="1" applyAlignment="1">
      <alignment horizontal="center" vertical="center" wrapText="1"/>
    </xf>
    <xf numFmtId="0" fontId="0" fillId="18" borderId="1" xfId="0" applyFill="1" applyBorder="1" applyAlignment="1">
      <alignment horizontal="center" vertical="center" wrapText="1"/>
    </xf>
    <xf numFmtId="0" fontId="0" fillId="18" borderId="48" xfId="0" applyFill="1" applyBorder="1" applyAlignment="1">
      <alignment horizontal="center" vertical="center" wrapText="1"/>
    </xf>
    <xf numFmtId="0" fontId="0" fillId="7" borderId="0" xfId="0" applyFill="1" applyBorder="1" applyAlignment="1">
      <alignment horizontal="center" vertical="center" wrapText="1"/>
    </xf>
    <xf numFmtId="9" fontId="0" fillId="0" borderId="1" xfId="0" applyNumberFormat="1" applyBorder="1" applyAlignment="1">
      <alignment horizontal="center" vertical="center" wrapText="1"/>
    </xf>
    <xf numFmtId="10" fontId="0" fillId="0" borderId="1" xfId="0" applyNumberFormat="1" applyBorder="1" applyAlignment="1">
      <alignment horizontal="center" vertical="center" wrapText="1"/>
    </xf>
    <xf numFmtId="10" fontId="0" fillId="0" borderId="48" xfId="0" applyNumberFormat="1" applyBorder="1" applyAlignment="1">
      <alignment horizontal="center" vertical="center" wrapText="1"/>
    </xf>
    <xf numFmtId="0" fontId="0" fillId="0" borderId="24" xfId="0" applyBorder="1" applyAlignment="1">
      <alignment horizontal="center" vertical="center" wrapText="1"/>
    </xf>
    <xf numFmtId="0" fontId="100" fillId="0" borderId="48" xfId="0" applyFont="1" applyBorder="1" applyAlignment="1">
      <alignment horizontal="center" vertical="center" wrapText="1"/>
    </xf>
    <xf numFmtId="0" fontId="0" fillId="0" borderId="25" xfId="0" applyBorder="1" applyAlignment="1">
      <alignment horizontal="center" vertical="center" wrapText="1"/>
    </xf>
    <xf numFmtId="0" fontId="0" fillId="0" borderId="32" xfId="0" applyBorder="1" applyAlignment="1">
      <alignment horizontal="center" vertical="center" wrapText="1"/>
    </xf>
    <xf numFmtId="0" fontId="0" fillId="0" borderId="68" xfId="0" applyBorder="1" applyAlignment="1">
      <alignment horizontal="center" vertical="center" wrapText="1"/>
    </xf>
    <xf numFmtId="177" fontId="81" fillId="0" borderId="1" xfId="1" applyNumberFormat="1" applyFont="1" applyFill="1" applyBorder="1" applyAlignment="1" applyProtection="1">
      <alignment vertical="center"/>
      <protection locked="0" hidden="1"/>
    </xf>
    <xf numFmtId="0" fontId="148" fillId="6" borderId="0" xfId="0" applyFont="1" applyFill="1" applyAlignment="1" applyProtection="1">
      <alignment vertical="center"/>
      <protection locked="0"/>
    </xf>
    <xf numFmtId="0" fontId="81" fillId="6" borderId="0" xfId="0" applyFont="1" applyFill="1" applyAlignment="1" applyProtection="1">
      <alignment vertical="center"/>
      <protection locked="0"/>
    </xf>
    <xf numFmtId="0" fontId="48" fillId="8" borderId="23" xfId="0" applyFont="1" applyFill="1" applyBorder="1" applyAlignment="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3"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255" fillId="7" borderId="54" xfId="0" applyNumberFormat="1" applyFont="1" applyFill="1" applyBorder="1" applyAlignment="1" applyProtection="1">
      <alignment horizontal="left" vertical="center"/>
      <protection locked="0"/>
    </xf>
    <xf numFmtId="49" fontId="255" fillId="7" borderId="3"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0" fillId="14" borderId="37" xfId="0" applyFill="1" applyBorder="1" applyAlignment="1">
      <alignment horizontal="center" vertical="center" wrapText="1"/>
    </xf>
    <xf numFmtId="0" fontId="0" fillId="14" borderId="54" xfId="0" applyFill="1" applyBorder="1" applyAlignment="1">
      <alignment horizontal="center" vertical="center" wrapText="1"/>
    </xf>
    <xf numFmtId="0" fontId="0" fillId="14" borderId="48" xfId="0" applyFill="1" applyBorder="1" applyAlignment="1">
      <alignment horizontal="center" vertical="center" wrapText="1"/>
    </xf>
    <xf numFmtId="0" fontId="0" fillId="0" borderId="37" xfId="0" applyBorder="1" applyAlignment="1">
      <alignment horizontal="center" vertical="center" wrapText="1"/>
    </xf>
    <xf numFmtId="0" fontId="0" fillId="0" borderId="54" xfId="0" applyBorder="1" applyAlignment="1">
      <alignment horizontal="center" vertical="center" wrapText="1"/>
    </xf>
    <xf numFmtId="0" fontId="0" fillId="0" borderId="48" xfId="0" applyBorder="1" applyAlignment="1">
      <alignment horizontal="center" vertical="center" wrapText="1"/>
    </xf>
    <xf numFmtId="0" fontId="0" fillId="7" borderId="37" xfId="0" applyFill="1" applyBorder="1" applyAlignment="1">
      <alignment horizontal="center" vertical="center" wrapText="1"/>
    </xf>
    <xf numFmtId="0" fontId="0" fillId="7" borderId="54" xfId="0" applyFill="1" applyBorder="1" applyAlignment="1">
      <alignment horizontal="center" vertical="center" wrapText="1"/>
    </xf>
    <xf numFmtId="0" fontId="0" fillId="7" borderId="48" xfId="0" applyFill="1" applyBorder="1" applyAlignment="1">
      <alignment horizontal="center" vertical="center" wrapText="1"/>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256" fillId="14" borderId="37" xfId="0" applyFont="1" applyFill="1" applyBorder="1" applyAlignment="1">
      <alignment horizontal="center" vertical="center" wrapText="1"/>
    </xf>
    <xf numFmtId="0" fontId="256" fillId="14" borderId="54" xfId="0" applyFont="1" applyFill="1" applyBorder="1" applyAlignment="1">
      <alignment horizontal="center" vertical="center" wrapText="1"/>
    </xf>
    <xf numFmtId="0" fontId="256" fillId="14" borderId="48" xfId="0" applyFont="1" applyFill="1" applyBorder="1" applyAlignment="1">
      <alignment horizontal="center" vertical="center" wrapText="1"/>
    </xf>
    <xf numFmtId="0" fontId="129" fillId="0" borderId="5" xfId="0" applyFont="1" applyBorder="1" applyAlignment="1">
      <alignment horizontal="center" vertical="center" wrapText="1"/>
    </xf>
    <xf numFmtId="0" fontId="129" fillId="0" borderId="54" xfId="0" applyFont="1" applyBorder="1" applyAlignment="1">
      <alignment horizontal="center" vertical="center" wrapText="1"/>
    </xf>
    <xf numFmtId="0" fontId="129" fillId="0" borderId="3" xfId="0" applyFont="1" applyBorder="1" applyAlignment="1">
      <alignment horizontal="center" vertical="center" wrapText="1"/>
    </xf>
    <xf numFmtId="0" fontId="101" fillId="0" borderId="5" xfId="0" applyFont="1" applyBorder="1" applyAlignment="1">
      <alignment horizontal="right" vertical="center" wrapText="1"/>
    </xf>
    <xf numFmtId="0" fontId="101" fillId="0" borderId="54" xfId="0" applyFont="1" applyBorder="1" applyAlignment="1">
      <alignment horizontal="right" vertical="center" wrapText="1"/>
    </xf>
    <xf numFmtId="0" fontId="101" fillId="0" borderId="36" xfId="0" applyFont="1" applyBorder="1" applyAlignment="1">
      <alignment horizontal="right" vertical="center" wrapText="1"/>
    </xf>
    <xf numFmtId="0" fontId="101" fillId="0" borderId="22" xfId="0" applyFont="1" applyBorder="1" applyAlignment="1">
      <alignment horizontal="right" vertical="center" wrapText="1"/>
    </xf>
    <xf numFmtId="0" fontId="0" fillId="0" borderId="5" xfId="0" applyBorder="1" applyAlignment="1">
      <alignment horizontal="center" vertical="center" wrapText="1"/>
    </xf>
    <xf numFmtId="0" fontId="101" fillId="0" borderId="6" xfId="0" applyFont="1" applyBorder="1" applyAlignment="1">
      <alignment horizontal="center" vertical="center" wrapText="1"/>
    </xf>
    <xf numFmtId="0" fontId="101" fillId="0" borderId="9" xfId="0" applyFont="1" applyBorder="1" applyAlignment="1">
      <alignment horizontal="center" vertical="center" wrapText="1"/>
    </xf>
    <xf numFmtId="0" fontId="101" fillId="0" borderId="10" xfId="0" applyFont="1" applyBorder="1" applyAlignment="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8" fillId="5" borderId="0" xfId="0" applyFont="1" applyFill="1" applyAlignment="1" applyProtection="1">
      <alignment vertical="center" wrapText="1"/>
      <protection locked="0"/>
    </xf>
    <xf numFmtId="0" fontId="106" fillId="19" borderId="5" xfId="0" applyFont="1" applyFill="1" applyBorder="1" applyAlignment="1" applyProtection="1">
      <alignment horizontal="center" vertical="center"/>
    </xf>
    <xf numFmtId="0" fontId="57" fillId="19" borderId="29" xfId="0" applyFont="1" applyFill="1" applyBorder="1" applyAlignment="1" applyProtection="1">
      <alignment horizontal="center" vertical="center" wrapText="1"/>
    </xf>
    <xf numFmtId="9" fontId="48" fillId="6" borderId="0" xfId="13" applyFont="1" applyFill="1" applyAlignment="1" applyProtection="1">
      <alignment vertical="center"/>
      <protection locked="0"/>
    </xf>
    <xf numFmtId="0" fontId="56" fillId="19" borderId="24" xfId="0" applyFont="1" applyFill="1" applyBorder="1" applyAlignment="1" applyProtection="1">
      <alignment horizontal="center" vertical="center"/>
    </xf>
    <xf numFmtId="0" fontId="259" fillId="5" borderId="1" xfId="10" applyFont="1" applyFill="1" applyBorder="1" applyAlignment="1" applyProtection="1">
      <alignment horizontal="center" vertical="center" wrapText="1"/>
      <protection locked="0"/>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 xfId="1" applyFont="1" applyFill="1" applyBorder="1" applyAlignment="1" applyProtection="1">
      <alignmen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177" fontId="121" fillId="0" borderId="1" xfId="8" applyNumberFormat="1" applyFont="1" applyFill="1" applyBorder="1" applyAlignment="1" applyProtection="1">
      <alignment horizontal="center" vertical="center"/>
      <protection locked="0"/>
    </xf>
    <xf numFmtId="0" fontId="57" fillId="6" borderId="3" xfId="8" applyFont="1" applyFill="1" applyBorder="1" applyAlignment="1" applyProtection="1">
      <alignment horizontal="center" vertical="center" wrapText="1"/>
      <protection locked="0"/>
    </xf>
    <xf numFmtId="0" fontId="61" fillId="6" borderId="5" xfId="1" applyFont="1" applyFill="1" applyBorder="1" applyAlignment="1" applyProtection="1">
      <alignment vertical="center"/>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0" fontId="55" fillId="6" borderId="23" xfId="8" applyFont="1" applyFill="1" applyBorder="1" applyAlignment="1" applyProtection="1">
      <alignment horizontal="center" vertical="center" wrapText="1"/>
    </xf>
    <xf numFmtId="0" fontId="55" fillId="6" borderId="25" xfId="8" applyFont="1" applyFill="1" applyBorder="1" applyAlignment="1" applyProtection="1">
      <alignment horizontal="center" vertical="center" wrapText="1"/>
    </xf>
    <xf numFmtId="0" fontId="55" fillId="6" borderId="26" xfId="8" applyFont="1" applyFill="1" applyBorder="1" applyAlignment="1" applyProtection="1">
      <alignment horizontal="center" vertical="center" wrapText="1"/>
      <protection locked="0"/>
    </xf>
    <xf numFmtId="0" fontId="187" fillId="6" borderId="1" xfId="3" applyNumberFormat="1" applyFont="1" applyFill="1" applyBorder="1" applyAlignment="1" applyProtection="1">
      <alignment horizontal="center"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259" fillId="5" borderId="1" xfId="10" applyFont="1" applyFill="1" applyBorder="1" applyAlignment="1" applyProtection="1">
      <alignment horizontal="center" vertical="center" wrapText="1"/>
      <protection locked="0"/>
    </xf>
    <xf numFmtId="181" fontId="48" fillId="8" borderId="1" xfId="0" applyNumberFormat="1" applyFont="1" applyFill="1" applyBorder="1" applyAlignment="1" applyProtection="1">
      <alignment vertical="center"/>
      <protection locked="0"/>
    </xf>
    <xf numFmtId="0" fontId="81" fillId="7" borderId="58" xfId="0" applyFont="1" applyFill="1" applyBorder="1" applyAlignment="1" applyProtection="1">
      <alignment horizontal="left" vertical="center"/>
      <protection locked="0"/>
    </xf>
    <xf numFmtId="0" fontId="260" fillId="7" borderId="58" xfId="0" applyFont="1" applyFill="1" applyBorder="1" applyAlignment="1" applyProtection="1">
      <alignment horizontal="left" vertical="center"/>
      <protection locked="0"/>
    </xf>
    <xf numFmtId="0" fontId="148" fillId="6" borderId="0" xfId="0" applyFont="1" applyFill="1" applyProtection="1">
      <alignment vertical="center"/>
      <protection locked="0"/>
    </xf>
  </cellXfs>
  <cellStyles count="18">
    <cellStyle name="百分比" xfId="13" builtinId="5"/>
    <cellStyle name="百分比 2" xfId="17" xr:uid="{00000000-0005-0000-0000-00003B000000}"/>
    <cellStyle name="常规" xfId="0" builtinId="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6 2 2" xfId="14" xr:uid="{00000000-0005-0000-0000-000009000000}"/>
    <cellStyle name="常规 7" xfId="7" xr:uid="{00000000-0005-0000-0000-00000A000000}"/>
    <cellStyle name="常规 8" xfId="11" xr:uid="{00000000-0005-0000-0000-00000B000000}"/>
    <cellStyle name="常规 9" xfId="12" xr:uid="{00000000-0005-0000-0000-00000C000000}"/>
    <cellStyle name="常规 9 2" xfId="15" xr:uid="{00000000-0005-0000-0000-00000C000000}"/>
    <cellStyle name="千位分隔 2" xfId="16" xr:uid="{00000000-0005-0000-0000-00003E000000}"/>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30</xdr:row>
      <xdr:rowOff>123825</xdr:rowOff>
    </xdr:from>
    <xdr:to>
      <xdr:col>5</xdr:col>
      <xdr:colOff>1332544</xdr:colOff>
      <xdr:row>62</xdr:row>
      <xdr:rowOff>65997</xdr:rowOff>
    </xdr:to>
    <xdr:pic>
      <xdr:nvPicPr>
        <xdr:cNvPr id="2" name="图片 1">
          <a:extLst>
            <a:ext uri="{FF2B5EF4-FFF2-40B4-BE49-F238E27FC236}">
              <a16:creationId xmlns:a16="http://schemas.microsoft.com/office/drawing/2014/main" id="{50B29D56-6EA9-4427-9FEB-5702A0ED45B8}"/>
            </a:ext>
          </a:extLst>
        </xdr:cNvPr>
        <xdr:cNvPicPr>
          <a:picLocks noChangeAspect="1"/>
        </xdr:cNvPicPr>
      </xdr:nvPicPr>
      <xdr:blipFill>
        <a:blip xmlns:r="http://schemas.openxmlformats.org/officeDocument/2006/relationships" r:embed="rId1"/>
        <a:stretch>
          <a:fillRect/>
        </a:stretch>
      </xdr:blipFill>
      <xdr:spPr>
        <a:xfrm>
          <a:off x="161925" y="7696200"/>
          <a:ext cx="7204706" cy="54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75"/>
  <cols>
    <col min="1" max="1" width="35.59765625" style="1587" customWidth="1"/>
    <col min="2" max="2" width="81" style="1604" customWidth="1"/>
    <col min="3" max="16384" width="9" style="1602"/>
  </cols>
  <sheetData>
    <row r="1" spans="1:2" s="1590" customFormat="1" ht="16.149999999999999" thickBot="1">
      <c r="A1" s="1589" t="s">
        <v>1219</v>
      </c>
      <c r="B1" s="1588" t="s">
        <v>1298</v>
      </c>
    </row>
    <row r="2" spans="1:2" s="1593" customFormat="1" ht="16.149999999999999" thickTop="1">
      <c r="A2" s="1591" t="s">
        <v>1220</v>
      </c>
      <c r="B2" s="1592" t="str">
        <f>'预评函-封皮'!B37:I37</f>
        <v>北京市丰台区花乡新发地农副产品批发市场B地块出让国有建设用地使用权及在建建筑物房地产抵押价值预评估</v>
      </c>
    </row>
    <row r="3" spans="1:2" s="1596" customFormat="1">
      <c r="A3" s="1594" t="s">
        <v>1221</v>
      </c>
      <c r="B3" s="1595" t="str">
        <f>'预评函-封皮'!B40</f>
        <v>北京丰泰新发资产管理有限公司</v>
      </c>
    </row>
    <row r="4" spans="1:2" s="1596" customFormat="1">
      <c r="A4" s="1594" t="s">
        <v>1222</v>
      </c>
      <c r="B4" s="1595" t="str">
        <f ca="1">'预评函-封皮'!B46</f>
        <v>郑燚（注册号：1120070131)、王鹏（注册号：1120050019)</v>
      </c>
    </row>
    <row r="5" spans="1:2" s="1590" customFormat="1" ht="16.149999999999999" thickBot="1">
      <c r="A5" s="1597" t="s">
        <v>1223</v>
      </c>
      <c r="B5" s="1598" t="str">
        <f>'预评函-封皮'!B49</f>
        <v>康正预评字号</v>
      </c>
    </row>
    <row r="6" spans="1:2" s="1593" customFormat="1" ht="16.149999999999999" thickTop="1">
      <c r="A6" s="1591" t="s">
        <v>1224</v>
      </c>
      <c r="B6" s="1592" t="str">
        <f>'预评函-1'!A4</f>
        <v>受贵公司委托，我公司对北京市丰台区花乡新发地农副产品批发市场B地块出让国有建设用地使用权及在建建筑物房地产抵押价值进行了预评估。</v>
      </c>
    </row>
    <row r="7" spans="1:2" s="1596" customFormat="1">
      <c r="A7" s="1594" t="s">
        <v>1264</v>
      </c>
      <c r="B7" s="1595" t="str">
        <f>'预评函-1'!A7</f>
        <v>估价对象为北京市丰台区花乡新发地农副产品批发市场B地块出让国有建设用地使用权及在建建筑物房地产，为所有。根据《国有土地使用证》[京丰国用（2012出）第00197号]，估价对象（分摊）出让国有建设用地使用权面积为51219.74平方米。根据北京新发地批发市场升级改造项目数据，估价对象建筑面积为166960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丰台区花乡新发地农副产品批发市场B地块出让国有建设用地使用权及在建建筑物房地产,为开发建设的商业项目，该项目尚在开发建设中。根据《国有土地使用证》[京丰国用（2012出）第00197号]，估价对象（分摊）出让国有建设用地使用权面积为51219.74平方米。根据北京新发地批发市场升级改造项目数据，估价对象规划建筑面积为166960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为估价委托人在向农商银行丰台支行办理贷款手续过程中，确定房地产抵押贷款额度提供参考依据而评估房地产抵押价值。</v>
      </c>
    </row>
    <row r="12" spans="1:2" s="1596" customFormat="1">
      <c r="A12" s="1594" t="s">
        <v>1226</v>
      </c>
      <c r="B12" s="1595" t="str">
        <f>'预评函-1'!A15</f>
        <v>2018年4月25日（评估专业人员实地查勘之日）</v>
      </c>
    </row>
    <row r="13" spans="1:2" s="1596" customFormat="1">
      <c r="A13" s="1594" t="s">
        <v>1227</v>
      </c>
      <c r="B13" s="1595" t="str">
        <f>'预评函-1'!A18</f>
        <v>本次估价的“房地产价值”是指在正常市场情况下，在价值时点2018年4月25日，估价对象规划用途为批发零售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批发零售业，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6.149999999999999" thickBot="1">
      <c r="A18" s="1597" t="s">
        <v>1232</v>
      </c>
      <c r="B18" s="1598" t="str">
        <f>'预评函-1'!A24</f>
        <v>本次评估采用的主估价方法为成本法和假设开发法。</v>
      </c>
    </row>
    <row r="19" spans="1:2" s="1593" customFormat="1" ht="16.149999999999999"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121466</v>
      </c>
    </row>
    <row r="21" spans="1:2" s="1596" customFormat="1">
      <c r="A21" s="1594" t="s">
        <v>1235</v>
      </c>
      <c r="B21" s="1595">
        <f ca="1">'预评函-2'!D7</f>
        <v>7275</v>
      </c>
    </row>
    <row r="22" spans="1:2" s="1596" customFormat="1">
      <c r="A22" s="1594" t="s">
        <v>1236</v>
      </c>
      <c r="B22" s="1595" t="str">
        <f ca="1">'预评函-2'!D6</f>
        <v>壹拾贰亿壹仟肆佰陆拾陆万元整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121466</v>
      </c>
    </row>
    <row r="31" spans="1:2" s="1596" customFormat="1">
      <c r="A31" s="1594" t="s">
        <v>1274</v>
      </c>
      <c r="B31" s="1595">
        <f ca="1">'预评函-2'!D15</f>
        <v>7275</v>
      </c>
    </row>
    <row r="32" spans="1:2" s="1596" customFormat="1">
      <c r="A32" s="1594" t="s">
        <v>1241</v>
      </c>
      <c r="B32" s="1595" t="str">
        <f ca="1">'预评函-2'!D14</f>
        <v>壹拾贰亿壹仟肆佰陆拾陆万元整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北京市丰台区花乡新发地农副产品批发市场B地块出让国有建设用地使用权及在建建筑物房地产</v>
      </c>
    </row>
    <row r="42" spans="1:2" s="1596" customFormat="1" ht="31.5">
      <c r="A42" s="1594" t="s">
        <v>1288</v>
      </c>
      <c r="B42" s="1595" t="str">
        <f>'预评函-3'!B2</f>
        <v>建筑面积</v>
      </c>
    </row>
    <row r="43" spans="1:2" s="1596" customFormat="1">
      <c r="A43" s="1594" t="s">
        <v>1289</v>
      </c>
      <c r="B43" s="1595">
        <f>'预评函-3'!B4</f>
        <v>166960</v>
      </c>
    </row>
    <row r="44" spans="1:2" s="1596" customFormat="1" ht="31.5">
      <c r="A44" s="1594" t="s">
        <v>1273</v>
      </c>
      <c r="B44" s="1595" t="str">
        <f>'预评函-3'!C2</f>
        <v>(分摊)土地面积</v>
      </c>
    </row>
    <row r="45" spans="1:2" s="1596" customFormat="1">
      <c r="A45" s="1594" t="s">
        <v>1245</v>
      </c>
      <c r="B45" s="1595">
        <f>'预评函-3'!C4</f>
        <v>51219.74</v>
      </c>
    </row>
    <row r="46" spans="1:2" s="1596" customFormat="1">
      <c r="A46" s="1594" t="s">
        <v>1271</v>
      </c>
      <c r="B46" s="1595" t="str">
        <f>'预评函-3'!D2</f>
        <v>出让国有建设用地使用权价值</v>
      </c>
    </row>
    <row r="47" spans="1:2" s="1596" customFormat="1">
      <c r="A47" s="1594" t="s">
        <v>1246</v>
      </c>
      <c r="B47" s="1595">
        <f ca="1">'预评函-3'!D4</f>
        <v>113571</v>
      </c>
    </row>
    <row r="48" spans="1:2" s="1596" customFormat="1">
      <c r="A48" s="1594" t="s">
        <v>1247</v>
      </c>
      <c r="B48" s="1595">
        <f ca="1">'预评函-3'!E4</f>
        <v>6802</v>
      </c>
    </row>
    <row r="49" spans="1:2" s="1596" customFormat="1">
      <c r="A49" s="1594" t="s">
        <v>1248</v>
      </c>
      <c r="B49" s="1595" t="str">
        <f ca="1">'预评函-3'!D5</f>
        <v>壹拾壹亿叁仟伍佰柒拾壹万元整</v>
      </c>
    </row>
    <row r="50" spans="1:2" s="1596" customFormat="1">
      <c r="A50" s="1594" t="s">
        <v>1272</v>
      </c>
      <c r="B50" s="1595" t="str">
        <f>'预评函-3'!F2</f>
        <v>在建建筑物价值</v>
      </c>
    </row>
    <row r="51" spans="1:2" s="1596" customFormat="1">
      <c r="A51" s="1594" t="s">
        <v>1249</v>
      </c>
      <c r="B51" s="1595">
        <f ca="1">'预评函-3'!F4</f>
        <v>7895</v>
      </c>
    </row>
    <row r="52" spans="1:2" s="1596" customFormat="1">
      <c r="A52" s="1594" t="s">
        <v>1250</v>
      </c>
      <c r="B52" s="1595">
        <f ca="1">'预评函-3'!G4</f>
        <v>473</v>
      </c>
    </row>
    <row r="53" spans="1:2" s="1596" customFormat="1">
      <c r="A53" s="1594" t="s">
        <v>1278</v>
      </c>
      <c r="B53" s="1595" t="str">
        <f ca="1">'预评函-3'!F5</f>
        <v>柒仟捌佰玖拾伍万元整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6.149999999999999" thickBot="1">
      <c r="A57" s="1597" t="s">
        <v>1297</v>
      </c>
      <c r="B57" s="1598" t="str">
        <f>'预评函-3'!A6</f>
        <v>估价师知悉的法定优先受偿款</v>
      </c>
    </row>
    <row r="58" spans="1:2" s="1593" customFormat="1" ht="16.149999999999999"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6.149999999999999" thickBot="1">
      <c r="A69" s="1597" t="s">
        <v>1259</v>
      </c>
      <c r="B69" s="1599">
        <f>'预评函-4'!C31</f>
        <v>42551</v>
      </c>
    </row>
    <row r="70" spans="1:2" ht="16.149999999999999" thickTop="1">
      <c r="A70" s="1600" t="s">
        <v>1260</v>
      </c>
      <c r="B70" s="1601" t="str">
        <f>'预评函-4'!A4</f>
        <v>郑燚</v>
      </c>
    </row>
    <row r="71" spans="1:2">
      <c r="A71" s="1594" t="s">
        <v>1261</v>
      </c>
      <c r="B71" s="1595">
        <f ca="1">'预评函-4'!B4</f>
        <v>1120070131</v>
      </c>
    </row>
    <row r="72" spans="1:2">
      <c r="A72" s="1594" t="s">
        <v>1262</v>
      </c>
      <c r="B72" s="1603" t="str">
        <f>'预评函-4'!A5</f>
        <v>王鹏</v>
      </c>
    </row>
    <row r="73" spans="1:2" s="1590" customFormat="1" ht="16.149999999999999" thickBot="1">
      <c r="A73" s="1597" t="s">
        <v>1263</v>
      </c>
      <c r="B73" s="1598">
        <f ca="1">'预评函-4'!B5</f>
        <v>1120050019</v>
      </c>
    </row>
    <row r="74" spans="1:2" ht="16.149999999999999"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9" sqref="B19"/>
    </sheetView>
  </sheetViews>
  <sheetFormatPr defaultColWidth="9" defaultRowHeight="13.5"/>
  <cols>
    <col min="1" max="1" width="13.46484375" style="2027" customWidth="1"/>
    <col min="2" max="2" width="23.265625" style="1978" customWidth="1"/>
    <col min="3" max="3" width="13" style="2022" hidden="1" customWidth="1"/>
    <col min="4" max="4" width="5.73046875" style="2019" hidden="1" customWidth="1"/>
    <col min="5" max="5" width="7.1328125" style="2019" hidden="1" customWidth="1"/>
    <col min="6" max="6" width="10.59765625" style="2019" hidden="1" customWidth="1"/>
    <col min="7" max="7" width="7.46484375" style="2019" hidden="1" customWidth="1"/>
    <col min="8" max="8" width="9" style="2022" hidden="1" customWidth="1"/>
    <col min="9" max="9" width="11.59765625" style="2022" hidden="1" customWidth="1"/>
    <col min="10" max="10" width="9" style="2022" hidden="1" customWidth="1"/>
    <col min="11" max="19" width="9" style="2019" hidden="1" customWidth="1"/>
    <col min="20" max="22" width="9" style="2022" hidden="1" customWidth="1"/>
    <col min="23" max="23" width="9" style="2022" customWidth="1"/>
    <col min="24" max="24" width="21.1328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3095</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为估价委托人在向农商银行丰台支行办理贷款手续过程中，确定房地产抵押贷款额度提供参考依据而评估房地产抵押价值。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泰新发资产管理有限公司拟使用北京市丰台区花乡新发地农副产品批发市场B地块出让国有建设用地使用权及在建建筑物房地产作为抵押担保物，向农商银行丰台支行办理贷款手续。农商银行丰台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25日，估价对象规划用途为批发零售业土地取得方式为出让，出让国有建设用地使用权剩余土地使用年限为XX年(多用途剩余年限尾数不同时，可只体现小数点后一位)，假定未设立法定优先受偿款下的房地产市场价值。</v>
      </c>
    </row>
    <row r="54" spans="1:4">
      <c r="A54" s="3043"/>
      <c r="B54" s="2025" t="s">
        <v>864</v>
      </c>
      <c r="C54" s="2022" t="s">
        <v>1281</v>
      </c>
    </row>
    <row r="55" spans="1:4">
      <c r="A55" s="3043"/>
      <c r="B55" s="2025" t="s">
        <v>865</v>
      </c>
      <c r="C55" s="2022" t="s">
        <v>1282</v>
      </c>
    </row>
    <row r="56" spans="1:4">
      <c r="A56" s="3043"/>
      <c r="B56" s="2025" t="s">
        <v>866</v>
      </c>
      <c r="C56" s="2022" t="s">
        <v>1286</v>
      </c>
    </row>
    <row r="57" spans="1:4">
      <c r="A57" s="304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106" zoomScaleNormal="100" zoomScaleSheetLayoutView="90" workbookViewId="0">
      <selection activeCell="C38" sqref="C38"/>
    </sheetView>
  </sheetViews>
  <sheetFormatPr defaultColWidth="10" defaultRowHeight="18" customHeight="1"/>
  <cols>
    <col min="1" max="1" width="14.86328125" style="2035" customWidth="1"/>
    <col min="2" max="2" width="13.46484375" style="2035" bestFit="1" customWidth="1"/>
    <col min="3" max="3" width="11.46484375" style="2035" customWidth="1"/>
    <col min="4" max="4" width="19.59765625" style="2035" bestFit="1" customWidth="1"/>
    <col min="5" max="6" width="10" style="2035" customWidth="1"/>
    <col min="7" max="7" width="10.73046875" style="2035" customWidth="1"/>
    <col min="8" max="8" width="10" style="2035" customWidth="1"/>
    <col min="9" max="9" width="11.1328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1775</v>
      </c>
      <c r="B1" s="3044" t="str">
        <f>IF(B10="北京市","北京市",C10)&amp;F10&amp;IF(结果表!G1="在建","出让国有建设用地使用权及在建建筑物",IF(结果表!G1="土地","出让国有建设用地使用权",))&amp;B9&amp;"预评估"</f>
        <v>北京市丰台区花乡新发地农副产品批发市场B地块出让国有建设用地使用权及在建建筑物房地产抵押价值预评估</v>
      </c>
      <c r="C1" s="3045"/>
      <c r="D1" s="3045"/>
      <c r="E1" s="3045"/>
      <c r="F1" s="3045"/>
      <c r="G1" s="3045"/>
      <c r="H1" s="3045"/>
      <c r="I1" s="304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北京市丰台区花乡新发地农副产品批发市场B地块出让国有建设用地使用权及在建建筑物房地产抵押价值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北京市丰台区花乡新发地农副产品批发市场B地块出让国有建设用地使用权及在建建筑物房地产</v>
      </c>
    </row>
    <row r="3" spans="1:19" ht="18" customHeight="1">
      <c r="A3" s="2038" t="s">
        <v>1777</v>
      </c>
      <c r="B3" s="2039">
        <v>43215</v>
      </c>
      <c r="C3" s="2040" t="s">
        <v>1778</v>
      </c>
      <c r="D3" s="2039">
        <v>43215</v>
      </c>
      <c r="E3" s="2029"/>
      <c r="F3" s="2029"/>
      <c r="G3" s="2029"/>
      <c r="H3" s="2029"/>
      <c r="I3" s="2029"/>
      <c r="J3" s="2029"/>
      <c r="K3" s="2030"/>
      <c r="L3" s="2031"/>
      <c r="M3" s="2031"/>
      <c r="N3" s="2032"/>
      <c r="O3" s="2033"/>
      <c r="P3" s="2032"/>
      <c r="Q3" s="2032"/>
      <c r="R3" s="2032"/>
      <c r="S3" s="2034"/>
    </row>
    <row r="4" spans="1:19" ht="18" customHeight="1" thickBot="1">
      <c r="A4" s="2041" t="s">
        <v>1779</v>
      </c>
      <c r="B4" s="2042" t="s">
        <v>3024</v>
      </c>
      <c r="C4" s="1040">
        <f ca="1">SUMIF(注册房地产估价师,B4,估价师及机构信息!B3:B24)</f>
        <v>1120070131</v>
      </c>
      <c r="D4" s="2042" t="s">
        <v>3025</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1780</v>
      </c>
      <c r="B5" s="2940" t="s">
        <v>3026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1" t="s">
        <v>3027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940" t="s">
        <v>3026</v>
      </c>
      <c r="C7" s="2051"/>
      <c r="D7" s="2052"/>
      <c r="E7" s="2037"/>
      <c r="F7" s="2045"/>
      <c r="G7" s="2045"/>
      <c r="H7" s="2045"/>
      <c r="I7" s="2045"/>
      <c r="J7" s="2045"/>
      <c r="K7" s="2054"/>
      <c r="L7" s="2031"/>
      <c r="M7" s="2031"/>
      <c r="N7" s="2032"/>
      <c r="O7" s="2033"/>
      <c r="P7" s="2032"/>
      <c r="Q7" s="2032"/>
      <c r="R7" s="2032"/>
    </row>
    <row r="8" spans="1:19" ht="18" customHeight="1">
      <c r="A8" s="2050" t="s">
        <v>1783</v>
      </c>
      <c r="B8" s="2055" t="s">
        <v>3028</v>
      </c>
      <c r="C8" s="2056"/>
      <c r="D8" s="3047" t="s">
        <v>1784</v>
      </c>
      <c r="E8" s="2057" t="s">
        <v>3029</v>
      </c>
      <c r="F8" s="2058"/>
      <c r="G8" s="2029"/>
      <c r="H8" s="2029"/>
      <c r="I8" s="2029"/>
      <c r="J8" s="2045"/>
      <c r="K8" s="2046"/>
      <c r="L8" s="2031"/>
      <c r="M8" s="2031"/>
      <c r="N8" s="2032"/>
      <c r="O8" s="2033"/>
      <c r="P8" s="2032"/>
      <c r="Q8" s="2032"/>
      <c r="R8" s="2032"/>
    </row>
    <row r="9" spans="1:19" ht="18" customHeight="1" thickBot="1">
      <c r="A9" s="2043" t="s">
        <v>1785</v>
      </c>
      <c r="B9" s="2059" t="s">
        <v>3029</v>
      </c>
      <c r="C9" s="2060"/>
      <c r="D9" s="3048"/>
      <c r="E9" s="2059" t="s">
        <v>70</v>
      </c>
      <c r="F9" s="2061"/>
      <c r="G9" s="2062"/>
      <c r="H9" s="2062"/>
      <c r="I9" s="2062"/>
      <c r="J9" s="2045"/>
      <c r="K9" s="2054"/>
      <c r="L9" s="2031"/>
      <c r="M9" s="2031"/>
      <c r="N9" s="2032"/>
      <c r="O9" s="2033"/>
      <c r="P9" s="2032"/>
      <c r="Q9" s="2032"/>
      <c r="R9" s="2032"/>
    </row>
    <row r="10" spans="1:19" ht="18" customHeight="1" thickTop="1">
      <c r="A10" s="2063" t="s">
        <v>1786</v>
      </c>
      <c r="B10" s="2064" t="s">
        <v>3030</v>
      </c>
      <c r="C10" s="2065"/>
      <c r="D10" s="2049"/>
      <c r="E10" s="2066" t="s">
        <v>1787</v>
      </c>
      <c r="F10" s="2942" t="s">
        <v>3032</v>
      </c>
      <c r="G10" s="2067"/>
      <c r="H10" s="2068"/>
      <c r="I10" s="2049"/>
      <c r="J10" s="2045"/>
      <c r="K10" s="2054"/>
      <c r="L10" s="2031"/>
      <c r="M10" s="2031"/>
      <c r="N10" s="2032"/>
      <c r="O10" s="2033"/>
      <c r="P10" s="2032"/>
      <c r="Q10" s="2032"/>
      <c r="R10" s="2032"/>
    </row>
    <row r="11" spans="1:19" ht="18" customHeight="1">
      <c r="A11" s="2069" t="s">
        <v>1788</v>
      </c>
      <c r="B11" s="2070" t="s">
        <v>3031</v>
      </c>
      <c r="C11" s="2071"/>
      <c r="D11" s="2072"/>
      <c r="E11" s="2045"/>
      <c r="F11" s="2045"/>
      <c r="G11" s="2045"/>
      <c r="H11" s="2045"/>
      <c r="I11" s="2045"/>
      <c r="J11" s="2045"/>
      <c r="K11" s="2054"/>
      <c r="L11" s="2031"/>
      <c r="M11" s="2031"/>
      <c r="N11" s="2032"/>
      <c r="O11" s="2033"/>
      <c r="P11" s="2032"/>
      <c r="Q11" s="2032"/>
      <c r="R11" s="2032"/>
    </row>
    <row r="12" spans="1:19" ht="18" customHeight="1">
      <c r="A12" s="2073" t="s">
        <v>1789</v>
      </c>
      <c r="B12" s="2070" t="s">
        <v>3033</v>
      </c>
      <c r="C12" s="2074" t="s">
        <v>1790</v>
      </c>
      <c r="D12" s="2075" t="s">
        <v>1791</v>
      </c>
      <c r="E12" s="2075" t="s">
        <v>1792</v>
      </c>
      <c r="F12" s="2075" t="s">
        <v>1793</v>
      </c>
      <c r="G12" s="2075" t="s">
        <v>1794</v>
      </c>
      <c r="H12" s="2075" t="s">
        <v>1795</v>
      </c>
      <c r="I12" s="2075" t="s">
        <v>1796</v>
      </c>
      <c r="J12" s="2045"/>
      <c r="K12" s="2054"/>
      <c r="L12" s="2031"/>
      <c r="M12" s="2031"/>
      <c r="N12" s="2032"/>
      <c r="O12" s="2033"/>
      <c r="P12" s="2032"/>
      <c r="Q12" s="2032"/>
      <c r="R12" s="2032"/>
    </row>
    <row r="13" spans="1:19" ht="18" customHeight="1">
      <c r="A13" s="2076"/>
      <c r="B13" s="2077"/>
      <c r="C13" s="2078" t="s">
        <v>1797</v>
      </c>
      <c r="D13" s="2079"/>
      <c r="E13" s="2943">
        <v>54716</v>
      </c>
      <c r="F13" s="2943">
        <v>58368</v>
      </c>
      <c r="G13" s="2943">
        <v>58368</v>
      </c>
      <c r="H13" s="2079"/>
      <c r="I13" s="1050"/>
      <c r="J13" s="2045"/>
      <c r="K13" s="2054"/>
      <c r="L13" s="2031"/>
      <c r="M13" s="2031"/>
      <c r="N13" s="2032"/>
      <c r="O13" s="2033"/>
      <c r="P13" s="2032"/>
      <c r="Q13" s="2032"/>
      <c r="R13" s="2032"/>
    </row>
    <row r="14" spans="1:19" ht="18" customHeight="1">
      <c r="A14" s="2076"/>
      <c r="B14" s="2077"/>
      <c r="C14" s="2078" t="s">
        <v>1798</v>
      </c>
      <c r="D14" s="1053"/>
      <c r="E14" s="2944">
        <v>40</v>
      </c>
      <c r="F14" s="2944">
        <v>50</v>
      </c>
      <c r="G14" s="2944">
        <v>50</v>
      </c>
      <c r="H14" s="1053"/>
      <c r="I14" s="1053"/>
      <c r="J14" s="2045"/>
      <c r="K14" s="2080"/>
      <c r="L14" s="2031"/>
      <c r="M14" s="2031"/>
      <c r="N14" s="2032"/>
      <c r="O14" s="2033"/>
      <c r="P14" s="2032"/>
      <c r="Q14" s="2032"/>
      <c r="R14" s="2032"/>
    </row>
    <row r="15" spans="1:19" ht="18" customHeight="1">
      <c r="A15" s="2063"/>
      <c r="B15" s="2081"/>
      <c r="C15" s="2078" t="s">
        <v>1799</v>
      </c>
      <c r="D15" s="1052" t="str">
        <f>IF(B12="出让",IF(D13="","",ROUNDDOWN(MIN((D13-$D$3)/365,D14),2)),D14)</f>
        <v/>
      </c>
      <c r="E15" s="1052">
        <f>IF(B12="出让",IF(E13="","",ROUNDDOWN(MIN((E13-$D$3)/365,E14),2)),E14)</f>
        <v>31.5</v>
      </c>
      <c r="F15" s="1052">
        <f>IF(B12="出让",IF(F13="","",ROUNDDOWN(MIN((F13-$D$3)/365,F14),2)),F14)</f>
        <v>41.51</v>
      </c>
      <c r="G15" s="1052">
        <f>IF(B12="出让",IF(G13="","",ROUNDDOWN(MIN((G13-$D$3)/365,G14),2)),G14)</f>
        <v>41.51</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1800</v>
      </c>
      <c r="B16" s="3054" t="s">
        <v>3034</v>
      </c>
      <c r="C16" s="3055"/>
      <c r="D16" s="3056"/>
      <c r="E16" s="2085" t="s">
        <v>1801</v>
      </c>
      <c r="F16" s="3057"/>
      <c r="G16" s="3058"/>
      <c r="H16" s="3058"/>
      <c r="I16" s="3059"/>
      <c r="J16" s="2032"/>
      <c r="K16" s="2082"/>
      <c r="L16" s="2083"/>
      <c r="M16" s="2083"/>
      <c r="N16" s="2084"/>
      <c r="O16" s="2083"/>
      <c r="P16" s="2084"/>
      <c r="Q16" s="2032"/>
      <c r="R16" s="2032"/>
    </row>
    <row r="17" spans="1:22" ht="18" customHeight="1">
      <c r="A17" s="2086" t="s">
        <v>1802</v>
      </c>
      <c r="B17" s="2038" t="s">
        <v>1803</v>
      </c>
      <c r="C17" s="1057">
        <f>'数据-汇总表'!E3</f>
        <v>166960</v>
      </c>
      <c r="D17" s="2087" t="s">
        <v>1804</v>
      </c>
      <c r="E17" s="3060" t="s">
        <v>3036</v>
      </c>
      <c r="F17" s="3061"/>
      <c r="G17" s="3061"/>
      <c r="H17" s="3061"/>
      <c r="I17" s="3062"/>
      <c r="J17" s="2032"/>
      <c r="K17" s="2088"/>
      <c r="L17" s="2083"/>
      <c r="M17" s="2083"/>
      <c r="N17" s="2084"/>
      <c r="O17" s="2083"/>
      <c r="P17" s="2084"/>
      <c r="Q17" s="2032"/>
      <c r="R17" s="2032"/>
      <c r="S17" s="2032"/>
      <c r="T17" s="2032"/>
      <c r="U17" s="2032"/>
      <c r="V17" s="2032"/>
    </row>
    <row r="18" spans="1:22" ht="36" customHeight="1" thickBot="1">
      <c r="A18" s="2089" t="s">
        <v>70</v>
      </c>
      <c r="B18" s="2041" t="s">
        <v>1805</v>
      </c>
      <c r="C18" s="1447">
        <f>'数据-汇总表'!D3</f>
        <v>51219.74</v>
      </c>
      <c r="D18" s="2090" t="s">
        <v>1804</v>
      </c>
      <c r="E18" s="3063" t="s">
        <v>3035</v>
      </c>
      <c r="F18" s="3064"/>
      <c r="G18" s="3064"/>
      <c r="H18" s="3064"/>
      <c r="I18" s="3065"/>
      <c r="J18" s="2032"/>
      <c r="K18" s="2088"/>
      <c r="L18" s="2083"/>
      <c r="M18" s="2083"/>
      <c r="N18" s="2084"/>
      <c r="O18" s="2083"/>
      <c r="P18" s="2084"/>
      <c r="Q18" s="2032"/>
      <c r="R18" s="2032"/>
      <c r="S18" s="2032"/>
      <c r="T18" s="2032"/>
      <c r="U18" s="2032"/>
      <c r="V18" s="2032"/>
    </row>
    <row r="19" spans="1:22" ht="37.5" hidden="1" customHeight="1" thickTop="1" thickBot="1">
      <c r="A19" s="373" t="s">
        <v>1806</v>
      </c>
      <c r="B19" s="352" t="s">
        <v>1807</v>
      </c>
      <c r="C19" s="2091"/>
      <c r="D19" s="2092" t="s">
        <v>1808</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hidden="1" customHeight="1">
      <c r="A20" s="2096" t="s">
        <v>1809</v>
      </c>
      <c r="B20" s="3050" t="s">
        <v>1810</v>
      </c>
      <c r="C20" s="3051"/>
      <c r="D20" s="3052" t="s">
        <v>1811</v>
      </c>
      <c r="E20" s="3053"/>
      <c r="F20" s="2097" t="s">
        <v>1812</v>
      </c>
      <c r="G20" s="2045"/>
      <c r="H20" s="2045"/>
      <c r="I20" s="2045"/>
      <c r="J20" s="2045"/>
      <c r="K20" s="3049" t="s">
        <v>1813</v>
      </c>
      <c r="L20" s="748" t="str">
        <f>"根据估价对象"&amp;IF(B22="——",B21&amp;C21,B21&amp;C21&amp;"、"&amp;B22&amp;C22)&amp;"，"&amp;IF(C19="是","截至价值时点，估价对象已设定抵押。","截至价值时点，估价对象抵押权未见登记。")</f>
        <v>根据估价对象、，截至价值时点，估价对象抵押权未见登记。</v>
      </c>
      <c r="M20" s="2031"/>
      <c r="N20" s="2084"/>
      <c r="O20" s="2083"/>
      <c r="P20" s="2084"/>
      <c r="Q20" s="2032"/>
      <c r="R20" s="2032"/>
      <c r="S20" s="2032"/>
      <c r="T20" s="2032"/>
      <c r="U20" s="2032"/>
      <c r="V20" s="2032"/>
    </row>
    <row r="21" spans="1:22" ht="24.75" hidden="1" customHeight="1">
      <c r="A21" s="2096"/>
      <c r="B21" s="2098"/>
      <c r="C21" s="2099"/>
      <c r="D21" s="2100"/>
      <c r="E21" s="2101"/>
      <c r="F21" s="2102"/>
      <c r="G21" s="2045"/>
      <c r="H21" s="2045"/>
      <c r="I21" s="2045"/>
      <c r="J21" s="2045"/>
      <c r="K21" s="304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hidden="1" customHeight="1" thickBot="1">
      <c r="A22" s="2096"/>
      <c r="B22" s="2103"/>
      <c r="C22" s="2099"/>
      <c r="D22" s="2029"/>
      <c r="E22" s="2029"/>
      <c r="F22" s="2104"/>
      <c r="G22" s="2045"/>
      <c r="H22" s="2045"/>
      <c r="I22" s="2045"/>
      <c r="J22" s="2045"/>
      <c r="K22" s="304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hidden="1" customHeight="1">
      <c r="A23" s="2105" t="s">
        <v>1814</v>
      </c>
      <c r="B23" s="183" t="s">
        <v>1815</v>
      </c>
      <c r="C23" s="2106"/>
      <c r="D23" s="2107" t="s">
        <v>1815</v>
      </c>
      <c r="E23" s="2108"/>
      <c r="F23" s="2104"/>
      <c r="G23" s="2045"/>
      <c r="H23" s="2045"/>
      <c r="I23" s="2045"/>
      <c r="J23" s="2045"/>
      <c r="K23" s="2109"/>
      <c r="L23" s="748"/>
      <c r="M23" s="2031"/>
      <c r="N23" s="2084"/>
      <c r="O23" s="2083"/>
      <c r="P23" s="2084"/>
      <c r="Q23" s="2032"/>
      <c r="R23" s="2032"/>
      <c r="S23" s="2032"/>
      <c r="T23" s="2032"/>
      <c r="U23" s="2032"/>
      <c r="V23" s="2032"/>
    </row>
    <row r="24" spans="1:22" ht="18" hidden="1" customHeight="1">
      <c r="A24" s="2110"/>
      <c r="B24" s="183" t="s">
        <v>1816</v>
      </c>
      <c r="C24" s="2111"/>
      <c r="D24" s="2105" t="s">
        <v>1816</v>
      </c>
      <c r="E24" s="2112"/>
      <c r="F24" s="2104"/>
      <c r="G24" s="2045"/>
      <c r="H24" s="2045"/>
      <c r="I24" s="2045"/>
      <c r="J24" s="2045"/>
      <c r="K24" s="2109"/>
      <c r="L24" s="748"/>
      <c r="M24" s="2031"/>
      <c r="N24" s="2084"/>
      <c r="O24" s="2083"/>
      <c r="P24" s="2084"/>
      <c r="Q24" s="2032"/>
      <c r="R24" s="2032"/>
      <c r="S24" s="2032"/>
      <c r="T24" s="2032"/>
      <c r="U24" s="2032"/>
      <c r="V24" s="2032"/>
    </row>
    <row r="25" spans="1:22" ht="18" hidden="1" customHeight="1">
      <c r="A25" s="2110"/>
      <c r="B25" s="183" t="s">
        <v>1817</v>
      </c>
      <c r="C25" s="2111"/>
      <c r="D25" s="2105" t="s">
        <v>1817</v>
      </c>
      <c r="E25" s="2112"/>
      <c r="F25" s="2104"/>
      <c r="G25" s="2045"/>
      <c r="H25" s="2045"/>
      <c r="I25" s="2045"/>
      <c r="J25" s="2045"/>
      <c r="K25" s="2054"/>
      <c r="L25" s="2031"/>
      <c r="M25" s="2031"/>
      <c r="N25" s="2084"/>
      <c r="O25" s="2083"/>
      <c r="P25" s="2084"/>
      <c r="Q25" s="2032"/>
      <c r="R25" s="2032"/>
      <c r="S25" s="2032"/>
      <c r="T25" s="2032"/>
      <c r="U25" s="2032"/>
      <c r="V25" s="2032"/>
    </row>
    <row r="26" spans="1:22" ht="18" hidden="1" customHeight="1" thickBot="1">
      <c r="A26" s="2113"/>
      <c r="B26" s="2114" t="s">
        <v>1818</v>
      </c>
      <c r="C26" s="2115"/>
      <c r="D26" s="2116" t="s">
        <v>1819</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67" t="s">
        <v>1820</v>
      </c>
      <c r="B27" s="2063" t="s">
        <v>1821</v>
      </c>
      <c r="C27" s="2119" t="s">
        <v>3037</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67"/>
      <c r="B28" s="2038" t="s">
        <v>1822</v>
      </c>
      <c r="C28" s="2121" t="s">
        <v>3038</v>
      </c>
      <c r="D28" s="2953" t="s">
        <v>3039</v>
      </c>
      <c r="E28" s="2045"/>
      <c r="F28" s="2045"/>
      <c r="G28" s="2045"/>
      <c r="H28" s="2045"/>
      <c r="I28" s="2045"/>
      <c r="J28" s="2032"/>
      <c r="K28" s="2122"/>
      <c r="L28" s="2031"/>
      <c r="M28" s="2031"/>
      <c r="N28" s="2032"/>
      <c r="O28" s="2033"/>
      <c r="P28" s="2032"/>
      <c r="Q28" s="2032"/>
      <c r="R28" s="2032"/>
      <c r="S28" s="2032"/>
      <c r="T28" s="2032"/>
      <c r="U28" s="2032"/>
      <c r="V28" s="2032"/>
    </row>
    <row r="29" spans="1:22" ht="18" hidden="1" customHeight="1">
      <c r="A29" s="3067"/>
      <c r="B29" s="2038" t="s">
        <v>1823</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hidden="1" customHeight="1">
      <c r="A30" s="3068"/>
      <c r="B30" s="2038" t="s">
        <v>1824</v>
      </c>
      <c r="C30" s="3069"/>
      <c r="D30" s="3070"/>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71" t="s">
        <v>1825</v>
      </c>
      <c r="B31" s="2125" t="s">
        <v>3040</v>
      </c>
      <c r="C31" s="2126" t="str">
        <f>IF(B31="现房","成新及维护状况正常否",IF(B31="在建","工程状态是否正常",IF(B31="土地","是否闲置","-")))</f>
        <v>工程状态是否正常</v>
      </c>
      <c r="D31" s="2127"/>
      <c r="E31" s="2128"/>
      <c r="F31" s="2045"/>
      <c r="G31" s="2045"/>
      <c r="H31" s="2045"/>
      <c r="I31" s="2045"/>
      <c r="J31" s="2045"/>
      <c r="K31" s="2053"/>
      <c r="L31" s="2031"/>
      <c r="M31" s="2031"/>
      <c r="N31" s="2032"/>
      <c r="O31" s="2033"/>
      <c r="P31" s="2032"/>
      <c r="Q31" s="2032"/>
      <c r="R31" s="2032"/>
      <c r="S31" s="2032"/>
      <c r="T31" s="2032"/>
      <c r="U31" s="2032"/>
      <c r="V31" s="2032"/>
    </row>
    <row r="32" spans="1:22" ht="18" hidden="1" customHeight="1">
      <c r="A32" s="3072"/>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hidden="1" customHeight="1">
      <c r="A33" s="3072"/>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1826</v>
      </c>
      <c r="B34" s="2954" t="s">
        <v>3041</v>
      </c>
      <c r="C34" s="2954" t="s">
        <v>3042</v>
      </c>
      <c r="D34" s="2954" t="s">
        <v>3043</v>
      </c>
      <c r="E34" s="2132"/>
      <c r="F34" s="2132"/>
      <c r="G34" s="2132"/>
      <c r="H34" s="2132"/>
      <c r="I34" s="2045"/>
      <c r="J34" s="2045"/>
      <c r="K34" s="1798">
        <f>COUNTIF(B34:H34,"——")</f>
        <v>0</v>
      </c>
      <c r="L34" s="2074" t="s">
        <v>1827</v>
      </c>
      <c r="M34" s="2074" t="s">
        <v>1828</v>
      </c>
      <c r="N34" s="2074" t="s">
        <v>1829</v>
      </c>
      <c r="O34" s="2074" t="s">
        <v>1830</v>
      </c>
      <c r="P34" s="2074" t="s">
        <v>1831</v>
      </c>
      <c r="Q34" s="2074" t="s">
        <v>1832</v>
      </c>
      <c r="R34" s="2074" t="s">
        <v>1833</v>
      </c>
      <c r="S34" s="3066" t="s">
        <v>1834</v>
      </c>
      <c r="T34" s="2133" t="str">
        <f>NUMBERSTRING(7-K34,1)&amp;"通"</f>
        <v>七通</v>
      </c>
      <c r="U34" s="2032"/>
      <c r="V34" s="2032"/>
    </row>
    <row r="35" spans="1:22" ht="18" customHeight="1">
      <c r="A35" s="2134"/>
      <c r="B35" s="3073" t="s">
        <v>1835</v>
      </c>
      <c r="C35" s="3073"/>
      <c r="D35" s="3073"/>
      <c r="E35" s="3073"/>
      <c r="F35" s="2135">
        <f>C10</f>
        <v>0</v>
      </c>
      <c r="G35" s="2045"/>
      <c r="H35" s="2045"/>
      <c r="I35" s="2045"/>
      <c r="J35" s="2045"/>
      <c r="K35" s="2074"/>
      <c r="L35" s="2074"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66"/>
      <c r="T35" s="48" t="str">
        <f>IF(T34="一通",L35,IF(T34="二通",M35,IF(T34="三通",N35,IF(T34="四通",O35,IF(T34="五通",P35,IF(T34="六通",Q35,R35))))))</f>
        <v>通路、通电、通上水、、、、</v>
      </c>
      <c r="U35" s="2032"/>
      <c r="V35" s="2032"/>
    </row>
    <row r="36" spans="1:22" ht="18" customHeight="1">
      <c r="A36" s="2136"/>
      <c r="B36" s="2135" t="s">
        <v>1836</v>
      </c>
      <c r="C36" s="2135" t="s">
        <v>1837</v>
      </c>
      <c r="D36" s="2135" t="s">
        <v>1838</v>
      </c>
      <c r="E36" s="2135" t="s">
        <v>1839</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1840</v>
      </c>
      <c r="B37" s="2955" t="s">
        <v>56</v>
      </c>
      <c r="C37" s="2139" t="s">
        <v>56</v>
      </c>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1841</v>
      </c>
      <c r="B38" s="2956" t="s">
        <v>305</v>
      </c>
      <c r="C38" s="2141" t="s">
        <v>305</v>
      </c>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4"/>
      <c r="K40" s="666"/>
      <c r="L40" s="2083"/>
      <c r="M40" s="2083"/>
      <c r="N40" s="2084"/>
      <c r="O40" s="2083"/>
      <c r="P40" s="2032"/>
      <c r="Q40" s="2032"/>
      <c r="R40" s="2032"/>
      <c r="S40" s="2032"/>
      <c r="T40" s="2032"/>
      <c r="U40" s="2032"/>
      <c r="V40" s="2032"/>
    </row>
    <row r="41" spans="1:22" ht="18" customHeight="1">
      <c r="A41" s="8" t="s">
        <v>1843</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4" t="s">
        <v>1844</v>
      </c>
      <c r="B42" s="1798" t="s">
        <v>1845</v>
      </c>
      <c r="C42" s="1798" t="s">
        <v>1846</v>
      </c>
      <c r="D42" s="1798" t="s">
        <v>1847</v>
      </c>
      <c r="E42" s="1798" t="s">
        <v>1848</v>
      </c>
      <c r="F42" s="1798" t="s">
        <v>1849</v>
      </c>
      <c r="G42" s="1798" t="s">
        <v>1850</v>
      </c>
      <c r="H42" s="1798" t="s">
        <v>1851</v>
      </c>
      <c r="I42" s="1798" t="s">
        <v>1852</v>
      </c>
      <c r="J42" s="2151" t="s">
        <v>1853</v>
      </c>
      <c r="K42" s="2075" t="s">
        <v>1854</v>
      </c>
      <c r="L42" s="2075" t="s">
        <v>1855</v>
      </c>
      <c r="M42" s="2075" t="s">
        <v>1856</v>
      </c>
      <c r="N42" s="1798" t="s">
        <v>1857</v>
      </c>
      <c r="O42" s="1798" t="s">
        <v>1858</v>
      </c>
      <c r="P42" s="1798" t="s">
        <v>1859</v>
      </c>
      <c r="Q42" s="2074" t="s">
        <v>1860</v>
      </c>
      <c r="R42" s="2074" t="s">
        <v>1861</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B22" xr:uid="{00000000-0002-0000-0A00-000017000000}">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60B09-E6D1-4D7C-8F57-460106B91C21}">
  <sheetPr>
    <tabColor rgb="FFFFFF00"/>
  </sheetPr>
  <dimension ref="A1:H50"/>
  <sheetViews>
    <sheetView workbookViewId="0">
      <selection activeCell="G4" sqref="G4"/>
    </sheetView>
  </sheetViews>
  <sheetFormatPr defaultColWidth="9" defaultRowHeight="13.5"/>
  <cols>
    <col min="1" max="1" width="6.1328125" customWidth="1"/>
    <col min="2" max="2" width="23.73046875" customWidth="1"/>
    <col min="3" max="3" width="16.86328125" customWidth="1"/>
    <col min="4" max="4" width="18.86328125" customWidth="1"/>
    <col min="5" max="5" width="18.1328125" customWidth="1"/>
    <col min="6" max="6" width="19.3984375" customWidth="1"/>
    <col min="7" max="7" width="17.73046875" customWidth="1"/>
  </cols>
  <sheetData>
    <row r="1" spans="1:6" ht="20.25">
      <c r="A1" s="3088" t="s">
        <v>3044</v>
      </c>
      <c r="B1" s="3089"/>
      <c r="C1" s="3089"/>
      <c r="D1" s="3089"/>
      <c r="E1" s="3089"/>
      <c r="F1" s="3090"/>
    </row>
    <row r="2" spans="1:6" ht="13.9" thickBot="1">
      <c r="A2" s="3091" t="s">
        <v>3045</v>
      </c>
      <c r="B2" s="3092"/>
      <c r="C2" s="3093"/>
      <c r="D2" s="3093"/>
      <c r="E2" s="3093"/>
      <c r="F2" s="3094"/>
    </row>
    <row r="3" spans="1:6">
      <c r="A3" s="3083" t="s">
        <v>3046</v>
      </c>
      <c r="B3" s="3095" t="s">
        <v>3047</v>
      </c>
      <c r="C3" s="3096" t="s">
        <v>3048</v>
      </c>
      <c r="D3" s="3097"/>
      <c r="E3" s="3097"/>
      <c r="F3" s="3098"/>
    </row>
    <row r="4" spans="1:6">
      <c r="A4" s="3084"/>
      <c r="B4" s="3095"/>
      <c r="C4" s="2957" t="s">
        <v>3049</v>
      </c>
      <c r="D4" s="2958" t="s">
        <v>3050</v>
      </c>
      <c r="E4" s="2958" t="s">
        <v>3051</v>
      </c>
      <c r="F4" s="2959" t="s">
        <v>3052</v>
      </c>
    </row>
    <row r="5" spans="1:6">
      <c r="A5" s="2960">
        <v>1</v>
      </c>
      <c r="B5" s="2961" t="s">
        <v>3053</v>
      </c>
      <c r="C5" s="3077">
        <v>578224.96900000004</v>
      </c>
      <c r="D5" s="3078"/>
      <c r="E5" s="3078"/>
      <c r="F5" s="3079"/>
    </row>
    <row r="6" spans="1:6">
      <c r="A6" s="2960">
        <v>2</v>
      </c>
      <c r="B6" s="2961" t="s">
        <v>3054</v>
      </c>
      <c r="C6" s="3077">
        <v>152937.42199999999</v>
      </c>
      <c r="D6" s="3078"/>
      <c r="E6" s="3078"/>
      <c r="F6" s="3079"/>
    </row>
    <row r="7" spans="1:6">
      <c r="A7" s="2960">
        <v>3</v>
      </c>
      <c r="B7" s="2961" t="s">
        <v>3055</v>
      </c>
      <c r="C7" s="2962">
        <v>10100</v>
      </c>
      <c r="D7" s="2960">
        <v>7105.5150000000003</v>
      </c>
      <c r="E7" s="2960">
        <v>53381.906999999999</v>
      </c>
      <c r="F7" s="2963">
        <v>82350</v>
      </c>
    </row>
    <row r="8" spans="1:6">
      <c r="A8" s="2960">
        <v>4</v>
      </c>
      <c r="B8" s="2964" t="s">
        <v>3056</v>
      </c>
      <c r="C8" s="3080">
        <v>329800</v>
      </c>
      <c r="D8" s="3081"/>
      <c r="E8" s="3081"/>
      <c r="F8" s="3082"/>
    </row>
    <row r="9" spans="1:6">
      <c r="A9" s="2960">
        <v>5</v>
      </c>
      <c r="B9" s="2961" t="s">
        <v>3057</v>
      </c>
      <c r="C9" s="3077">
        <v>142837</v>
      </c>
      <c r="D9" s="3078"/>
      <c r="E9" s="3078"/>
      <c r="F9" s="3079"/>
    </row>
    <row r="10" spans="1:6">
      <c r="A10" s="2960">
        <v>6</v>
      </c>
      <c r="B10" s="2965" t="s">
        <v>3058</v>
      </c>
      <c r="C10" s="3077">
        <v>186963</v>
      </c>
      <c r="D10" s="3078"/>
      <c r="E10" s="3078"/>
      <c r="F10" s="3079"/>
    </row>
    <row r="11" spans="1:6">
      <c r="A11" s="2960">
        <v>7</v>
      </c>
      <c r="B11" s="2966" t="s">
        <v>3059</v>
      </c>
      <c r="C11" s="2967">
        <v>11700</v>
      </c>
      <c r="D11" s="2968">
        <v>8505</v>
      </c>
      <c r="E11" s="2968">
        <v>174008</v>
      </c>
      <c r="F11" s="2969">
        <v>135587</v>
      </c>
    </row>
    <row r="12" spans="1:6">
      <c r="A12" s="2960">
        <v>8</v>
      </c>
      <c r="B12" s="2966" t="s">
        <v>3060</v>
      </c>
      <c r="C12" s="2970">
        <v>0</v>
      </c>
      <c r="D12" s="2968">
        <v>7105</v>
      </c>
      <c r="E12" s="2968">
        <v>95921</v>
      </c>
      <c r="F12" s="2971">
        <v>39811</v>
      </c>
    </row>
    <row r="13" spans="1:6">
      <c r="A13" s="2960">
        <v>9</v>
      </c>
      <c r="B13" s="2966" t="s">
        <v>3061</v>
      </c>
      <c r="C13" s="2970">
        <v>11700</v>
      </c>
      <c r="D13" s="2968">
        <v>1400</v>
      </c>
      <c r="E13" s="2968">
        <v>78087</v>
      </c>
      <c r="F13" s="2971">
        <v>95776</v>
      </c>
    </row>
    <row r="14" spans="1:6">
      <c r="A14" s="3083">
        <v>10</v>
      </c>
      <c r="B14" s="2965" t="s">
        <v>3062</v>
      </c>
      <c r="C14" s="2972"/>
      <c r="D14" s="2973" t="s">
        <v>3063</v>
      </c>
      <c r="E14" s="2973" t="s">
        <v>3064</v>
      </c>
      <c r="F14" s="2974" t="s">
        <v>3064</v>
      </c>
    </row>
    <row r="15" spans="1:6">
      <c r="A15" s="3084"/>
      <c r="B15" s="2965" t="s">
        <v>3065</v>
      </c>
      <c r="C15" s="2975" t="s">
        <v>3066</v>
      </c>
      <c r="D15" s="2973" t="s">
        <v>3066</v>
      </c>
      <c r="E15" s="2973" t="s">
        <v>3066</v>
      </c>
      <c r="F15" s="2976" t="s">
        <v>3066</v>
      </c>
    </row>
    <row r="16" spans="1:6">
      <c r="A16" s="2960">
        <v>11</v>
      </c>
      <c r="B16" s="2977" t="s">
        <v>3067</v>
      </c>
      <c r="C16" s="3085">
        <v>18482</v>
      </c>
      <c r="D16" s="3086"/>
      <c r="E16" s="3086"/>
      <c r="F16" s="3087"/>
    </row>
    <row r="17" spans="1:8" ht="26.1" customHeight="1">
      <c r="A17" s="2960">
        <v>12</v>
      </c>
      <c r="B17" s="2978" t="s">
        <v>3068</v>
      </c>
      <c r="C17" s="3074">
        <v>191</v>
      </c>
      <c r="D17" s="3075"/>
      <c r="E17" s="3075"/>
      <c r="F17" s="3076"/>
    </row>
    <row r="18" spans="1:8" ht="26.1" customHeight="1">
      <c r="A18" s="2960">
        <v>13</v>
      </c>
      <c r="B18" s="2979" t="s">
        <v>3069</v>
      </c>
      <c r="C18" s="3074">
        <v>18239</v>
      </c>
      <c r="D18" s="3075"/>
      <c r="E18" s="3075"/>
      <c r="F18" s="3076"/>
    </row>
    <row r="19" spans="1:8" ht="26.1" customHeight="1">
      <c r="A19" s="2960">
        <v>14</v>
      </c>
      <c r="B19" s="2979" t="s">
        <v>3070</v>
      </c>
      <c r="C19" s="2980">
        <v>5570</v>
      </c>
      <c r="D19" s="2981">
        <v>0</v>
      </c>
      <c r="E19" s="2981">
        <v>7048</v>
      </c>
      <c r="F19" s="2982">
        <v>5812</v>
      </c>
    </row>
    <row r="20" spans="1:8" ht="26.1" customHeight="1">
      <c r="A20" s="2960">
        <v>15</v>
      </c>
      <c r="B20" s="2978" t="s">
        <v>3068</v>
      </c>
      <c r="C20" s="2980">
        <v>0</v>
      </c>
      <c r="D20" s="2981">
        <v>0</v>
      </c>
      <c r="E20" s="2981">
        <v>105</v>
      </c>
      <c r="F20" s="2982">
        <v>86</v>
      </c>
    </row>
    <row r="21" spans="1:8" ht="26.1" customHeight="1">
      <c r="A21" s="2960">
        <v>16</v>
      </c>
      <c r="B21" s="2979" t="s">
        <v>3069</v>
      </c>
      <c r="C21" s="2980">
        <v>5570</v>
      </c>
      <c r="D21" s="2981">
        <v>0</v>
      </c>
      <c r="E21" s="2981">
        <v>6943</v>
      </c>
      <c r="F21" s="2982">
        <v>5726</v>
      </c>
    </row>
    <row r="22" spans="1:8" ht="26.1" customHeight="1">
      <c r="A22" s="2960">
        <v>17</v>
      </c>
      <c r="B22" s="2983" t="s">
        <v>3071</v>
      </c>
      <c r="C22" s="2984">
        <v>6078</v>
      </c>
      <c r="D22" s="2985">
        <v>8505</v>
      </c>
      <c r="E22" s="2985">
        <v>166960</v>
      </c>
      <c r="F22" s="2986">
        <v>129775</v>
      </c>
    </row>
    <row r="23" spans="1:8" ht="26.1" customHeight="1">
      <c r="A23" s="2960">
        <v>18</v>
      </c>
      <c r="B23" s="2983" t="s">
        <v>3072</v>
      </c>
      <c r="C23" s="2984">
        <v>0</v>
      </c>
      <c r="D23" s="2985">
        <v>7105</v>
      </c>
      <c r="E23" s="2985">
        <v>37575</v>
      </c>
      <c r="F23" s="2986">
        <v>20451</v>
      </c>
      <c r="H23" s="2987"/>
    </row>
    <row r="24" spans="1:8" ht="26.1" customHeight="1">
      <c r="A24" s="2960">
        <v>19</v>
      </c>
      <c r="B24" s="2983" t="s">
        <v>3073</v>
      </c>
      <c r="C24" s="2984">
        <v>0</v>
      </c>
      <c r="D24" s="2985">
        <v>0</v>
      </c>
      <c r="E24" s="2985">
        <v>58241</v>
      </c>
      <c r="F24" s="2986">
        <v>19274</v>
      </c>
    </row>
    <row r="25" spans="1:8" ht="26.1" customHeight="1">
      <c r="A25" s="2960">
        <v>20</v>
      </c>
      <c r="B25" s="2983" t="s">
        <v>3074</v>
      </c>
      <c r="C25" s="2984">
        <v>6078</v>
      </c>
      <c r="D25" s="2985">
        <v>1400</v>
      </c>
      <c r="E25" s="2985">
        <v>71144</v>
      </c>
      <c r="F25" s="2986">
        <v>90050</v>
      </c>
    </row>
    <row r="26" spans="1:8" ht="26.1" customHeight="1">
      <c r="A26" s="2960">
        <v>21</v>
      </c>
      <c r="B26" s="2961" t="s">
        <v>3075</v>
      </c>
      <c r="C26" s="2962">
        <v>0</v>
      </c>
      <c r="D26" s="2960">
        <v>1</v>
      </c>
      <c r="E26" s="2960">
        <v>1.8</v>
      </c>
      <c r="F26" s="2963">
        <v>0.48</v>
      </c>
    </row>
    <row r="27" spans="1:8" ht="26.1" customHeight="1">
      <c r="A27" s="2960">
        <v>22</v>
      </c>
      <c r="B27" s="2961" t="s">
        <v>3076</v>
      </c>
      <c r="C27" s="2962">
        <v>0</v>
      </c>
      <c r="D27" s="2988">
        <v>0.19500000000000001</v>
      </c>
      <c r="E27" s="2989">
        <v>0.5151</v>
      </c>
      <c r="F27" s="2990">
        <v>0.2145</v>
      </c>
    </row>
    <row r="28" spans="1:8" ht="26.1" customHeight="1">
      <c r="A28" s="2960">
        <v>23</v>
      </c>
      <c r="B28" s="2961" t="s">
        <v>3077</v>
      </c>
      <c r="C28" s="2962">
        <v>0</v>
      </c>
      <c r="D28" s="2960">
        <v>31.5</v>
      </c>
      <c r="E28" s="2960">
        <v>23.95</v>
      </c>
      <c r="F28" s="2991">
        <v>17.95</v>
      </c>
    </row>
    <row r="29" spans="1:8" ht="36.75" customHeight="1">
      <c r="A29" s="2960">
        <v>24</v>
      </c>
      <c r="B29" s="2961" t="s">
        <v>3078</v>
      </c>
      <c r="C29" s="2962" t="s">
        <v>3079</v>
      </c>
      <c r="D29" s="2960" t="s">
        <v>3080</v>
      </c>
      <c r="E29" s="2960" t="s">
        <v>3081</v>
      </c>
      <c r="F29" s="2992" t="s">
        <v>3082</v>
      </c>
    </row>
    <row r="30" spans="1:8" ht="26.1" customHeight="1" thickBot="1">
      <c r="A30" s="2960">
        <v>25</v>
      </c>
      <c r="B30" s="2961" t="s">
        <v>3083</v>
      </c>
      <c r="C30" s="2993">
        <v>0</v>
      </c>
      <c r="D30" s="2994" t="s">
        <v>3084</v>
      </c>
      <c r="E30" s="2994">
        <v>0</v>
      </c>
      <c r="F30" s="2995">
        <v>0</v>
      </c>
    </row>
    <row r="50" spans="7:7">
      <c r="G50">
        <f>G25</f>
        <v>0</v>
      </c>
    </row>
  </sheetData>
  <mergeCells count="14">
    <mergeCell ref="A14:A15"/>
    <mergeCell ref="C16:F16"/>
    <mergeCell ref="A1:F1"/>
    <mergeCell ref="A2:F2"/>
    <mergeCell ref="A3:A4"/>
    <mergeCell ref="B3:B4"/>
    <mergeCell ref="C3:F3"/>
    <mergeCell ref="C5:F5"/>
    <mergeCell ref="C17:F17"/>
    <mergeCell ref="C18:F18"/>
    <mergeCell ref="C6:F6"/>
    <mergeCell ref="C8:F8"/>
    <mergeCell ref="C9:F9"/>
    <mergeCell ref="C10:F10"/>
  </mergeCells>
  <phoneticPr fontId="14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58" zoomScaleNormal="100" zoomScaleSheetLayoutView="10" workbookViewId="0">
      <pane xSplit="4" ySplit="12" topLeftCell="E13" activePane="bottomRight" state="frozen"/>
      <selection activeCell="C50" sqref="C50"/>
      <selection pane="topRight" activeCell="C50" sqref="C50"/>
      <selection pane="bottomLeft" activeCell="C50" sqref="C50"/>
      <selection pane="bottomRight" activeCell="BB5" sqref="BB5"/>
    </sheetView>
  </sheetViews>
  <sheetFormatPr defaultColWidth="8.86328125" defaultRowHeight="13.5"/>
  <cols>
    <col min="1" max="1" width="10.59765625" style="2158" customWidth="1"/>
    <col min="2" max="2" width="11" style="2158" customWidth="1"/>
    <col min="3" max="3" width="10.3984375" style="2158" customWidth="1"/>
    <col min="4" max="4" width="9.1328125" style="2158" customWidth="1"/>
    <col min="5" max="6" width="10" style="2221" customWidth="1"/>
    <col min="7" max="8" width="10" style="2158" customWidth="1"/>
    <col min="9" max="9" width="10.59765625" style="2158" customWidth="1"/>
    <col min="10" max="10" width="9.46484375" style="2158" customWidth="1"/>
    <col min="11" max="11" width="11" style="2158" customWidth="1"/>
    <col min="12" max="14" width="9.46484375" style="2158" customWidth="1"/>
    <col min="15" max="15" width="9.86328125" style="2158" hidden="1" customWidth="1"/>
    <col min="16" max="16" width="9.73046875" style="2158" hidden="1" customWidth="1"/>
    <col min="17" max="17" width="9.3984375" style="2158" hidden="1" customWidth="1"/>
    <col min="18" max="18" width="9.265625" style="2158" hidden="1" customWidth="1"/>
    <col min="19" max="19" width="10.86328125" style="2158" hidden="1" customWidth="1"/>
    <col min="20" max="21" width="10.73046875" style="2158" hidden="1" customWidth="1"/>
    <col min="22" max="22" width="10.86328125" style="2158" hidden="1" customWidth="1"/>
    <col min="23" max="27" width="10.73046875" style="2158" hidden="1" customWidth="1"/>
    <col min="28" max="28" width="10.86328125" style="2158" hidden="1" customWidth="1"/>
    <col min="29" max="29" width="11" style="2158" bestFit="1" customWidth="1"/>
    <col min="30" max="30" width="10" style="2158" hidden="1" customWidth="1"/>
    <col min="31" max="31" width="9.73046875" style="2158" hidden="1" customWidth="1"/>
    <col min="32" max="45" width="9.46484375" style="2158" hidden="1" customWidth="1"/>
    <col min="46" max="46" width="9.46484375" style="2158" customWidth="1"/>
    <col min="47" max="47" width="18.1328125" style="2158" customWidth="1"/>
    <col min="48" max="50" width="9.73046875" style="2158" customWidth="1"/>
    <col min="51" max="55" width="10.46484375" style="2158" bestFit="1" customWidth="1"/>
    <col min="56" max="56" width="9.46484375" style="2158" bestFit="1" customWidth="1"/>
    <col min="57" max="63" width="9.1328125" style="2158" hidden="1" customWidth="1"/>
    <col min="64" max="64" width="9.46484375" style="2158" bestFit="1" customWidth="1"/>
    <col min="65" max="65" width="9.1328125" style="2158" bestFit="1" customWidth="1"/>
    <col min="66" max="66" width="9.46484375" style="2158" bestFit="1" customWidth="1"/>
    <col min="67" max="69" width="9.1328125" style="2158" bestFit="1" customWidth="1"/>
    <col min="70" max="70" width="9.46484375" style="2158" bestFit="1" customWidth="1"/>
    <col min="71" max="71" width="9" style="2158" customWidth="1"/>
    <col min="72" max="72" width="9.1328125" style="2158" bestFit="1" customWidth="1"/>
    <col min="73" max="16384" width="8.86328125" style="2158"/>
  </cols>
  <sheetData>
    <row r="1" spans="1:72" ht="20.65">
      <c r="A1" s="2161" t="s">
        <v>1862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5.5">
      <c r="A2" s="11" t="s">
        <v>1864</v>
      </c>
      <c r="B2" s="11" t="s">
        <v>1865</v>
      </c>
      <c r="C2" s="11" t="s">
        <v>1866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1867</v>
      </c>
      <c r="AZ2" s="1273" t="s">
        <v>1868</v>
      </c>
      <c r="BA2" s="11" t="s">
        <v>1869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53381.91</v>
      </c>
      <c r="B3" s="14">
        <f>IF(C3="否",G5-AT5,G5)</f>
        <v>174008</v>
      </c>
      <c r="C3" s="2167" t="s">
        <v>3088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1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1870</v>
      </c>
      <c r="B5" s="1806"/>
      <c r="C5" s="1806"/>
      <c r="D5" s="1809"/>
      <c r="E5" s="16" t="s">
        <v>1</v>
      </c>
      <c r="F5" s="16">
        <f>SUM(F13:F587)</f>
        <v>0</v>
      </c>
      <c r="G5" s="16">
        <f>SUM(G13:G587)</f>
        <v>174008</v>
      </c>
      <c r="H5" s="16">
        <f t="shared" ref="H5:AT5" si="0">SUM(H13:H656)</f>
        <v>166960</v>
      </c>
      <c r="I5" s="16">
        <f t="shared" si="0"/>
        <v>37575</v>
      </c>
      <c r="J5" s="16">
        <f t="shared" si="0"/>
        <v>0</v>
      </c>
      <c r="K5" s="16">
        <f t="shared" si="0"/>
        <v>58241</v>
      </c>
      <c r="L5" s="16">
        <f t="shared" si="0"/>
        <v>0</v>
      </c>
      <c r="M5" s="16">
        <f t="shared" si="0"/>
        <v>71144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7048</v>
      </c>
      <c r="AU5" s="1805"/>
      <c r="AV5" s="15" t="s">
        <v>1870</v>
      </c>
      <c r="AW5" s="1806"/>
      <c r="AX5" s="1806"/>
      <c r="AY5" s="17" t="s">
        <v>3</v>
      </c>
      <c r="AZ5" s="18">
        <f t="shared" ref="AZ5:BT5" si="1">SUM(AZ13:AZ656)</f>
        <v>166960</v>
      </c>
      <c r="BA5" s="18">
        <f t="shared" si="1"/>
        <v>166960</v>
      </c>
      <c r="BB5" s="18">
        <f t="shared" si="1"/>
        <v>37575</v>
      </c>
      <c r="BC5" s="18">
        <f t="shared" si="1"/>
        <v>58241</v>
      </c>
      <c r="BD5" s="18">
        <f t="shared" si="1"/>
        <v>71144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1871</v>
      </c>
      <c r="B6" s="2173"/>
      <c r="C6" s="2173"/>
      <c r="D6" s="2174"/>
      <c r="E6" s="16">
        <f>H6+AC6+AT6</f>
        <v>53381.91</v>
      </c>
      <c r="F6" s="16" t="s">
        <v>1</v>
      </c>
      <c r="G6" s="16" t="s">
        <v>2</v>
      </c>
      <c r="H6" s="20">
        <f>SUMIF(I$12:AB$12,"总值",I6:AB6)</f>
        <v>51219.740000000005</v>
      </c>
      <c r="I6" s="16">
        <f t="shared" ref="I6:AB6" si="2">ROUND($A$3*I5/$B$3,2)</f>
        <v>11527.2</v>
      </c>
      <c r="J6" s="16">
        <f t="shared" si="2"/>
        <v>0</v>
      </c>
      <c r="K6" s="16">
        <f t="shared" si="2"/>
        <v>17867.09</v>
      </c>
      <c r="L6" s="16">
        <f t="shared" si="2"/>
        <v>0</v>
      </c>
      <c r="M6" s="16">
        <f t="shared" si="2"/>
        <v>21825.45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2162.17</v>
      </c>
      <c r="AU6" s="2175"/>
      <c r="AV6" s="15" t="s">
        <v>1871</v>
      </c>
      <c r="AW6" s="2173"/>
      <c r="AX6" s="2173"/>
      <c r="AY6" s="21">
        <f>IF(AY3&gt;0,AY3,ROUND($A$3*AZ5/$B$3,2))</f>
        <v>51219.74</v>
      </c>
      <c r="AZ6" s="16" t="s">
        <v>3</v>
      </c>
      <c r="BA6" s="16">
        <f>ROUND($AY$6*BA5/$AZ$5,2)</f>
        <v>51219.74</v>
      </c>
      <c r="BB6" s="16">
        <f>ROUND($AY$6*BB5/$AZ$5,2)</f>
        <v>11527.2</v>
      </c>
      <c r="BC6" s="16">
        <f t="shared" ref="BC6:BH6" si="4">ROUND($AY$6*BC5/$AZ$5,2)</f>
        <v>17867.09</v>
      </c>
      <c r="BD6" s="16">
        <f t="shared" si="4"/>
        <v>21825.45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5.9">
      <c r="A7" s="2109" t="s">
        <v>1872</v>
      </c>
      <c r="B7" s="2109" t="s">
        <v>1873</v>
      </c>
      <c r="C7" s="2109" t="s">
        <v>1874</v>
      </c>
      <c r="D7" s="2109" t="s">
        <v>1875</v>
      </c>
      <c r="E7" s="2109" t="s">
        <v>1876</v>
      </c>
      <c r="F7" s="2109" t="s">
        <v>1877</v>
      </c>
      <c r="G7" s="2177" t="s">
        <v>1878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1879</v>
      </c>
      <c r="AV7" s="23" t="s">
        <v>1880</v>
      </c>
      <c r="AW7" s="2165" t="s">
        <v>1881</v>
      </c>
      <c r="AX7" s="23" t="s">
        <v>1874</v>
      </c>
      <c r="AY7" s="1806" t="s">
        <v>1882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5.5">
      <c r="A8" s="2181"/>
      <c r="B8" s="2181"/>
      <c r="C8" s="2181"/>
      <c r="D8" s="2181"/>
      <c r="E8" s="2181"/>
      <c r="F8" s="2181"/>
      <c r="G8" s="2182" t="s">
        <v>1883</v>
      </c>
      <c r="H8" s="2183" t="s">
        <v>1884</v>
      </c>
      <c r="I8" s="2184"/>
      <c r="J8" s="1821"/>
      <c r="K8" s="1821"/>
      <c r="L8" s="1821"/>
      <c r="M8" s="1821"/>
      <c r="N8" s="1821"/>
      <c r="O8" s="1821"/>
      <c r="P8" s="1821"/>
      <c r="Q8" s="1821"/>
      <c r="R8" s="1821"/>
      <c r="S8" s="1821"/>
      <c r="T8" s="1821"/>
      <c r="U8" s="1821"/>
      <c r="V8" s="2185"/>
      <c r="W8" s="1821"/>
      <c r="X8" s="1821"/>
      <c r="Y8" s="1821"/>
      <c r="Z8" s="1821"/>
      <c r="AA8" s="2185"/>
      <c r="AB8" s="2186"/>
      <c r="AC8" s="984" t="s">
        <v>1885</v>
      </c>
      <c r="AD8" s="2187"/>
      <c r="AE8" s="2179"/>
      <c r="AF8" s="1821"/>
      <c r="AG8" s="1821"/>
      <c r="AH8" s="1821"/>
      <c r="AI8" s="1821"/>
      <c r="AJ8" s="1821"/>
      <c r="AK8" s="1821"/>
      <c r="AL8" s="1821"/>
      <c r="AM8" s="1821"/>
      <c r="AN8" s="1821"/>
      <c r="AO8" s="1821"/>
      <c r="AP8" s="1821"/>
      <c r="AQ8" s="1821"/>
      <c r="AR8" s="1821"/>
      <c r="AS8" s="1821"/>
      <c r="AT8" s="1295" t="s">
        <v>1886</v>
      </c>
      <c r="AU8" s="2181" t="s">
        <v>1887</v>
      </c>
      <c r="AV8" s="1295"/>
      <c r="AW8" s="2164"/>
      <c r="AX8" s="1295"/>
      <c r="AY8" s="2165"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1890</v>
      </c>
      <c r="I9" s="2190" t="s">
        <v>3085</v>
      </c>
      <c r="J9" s="984"/>
      <c r="K9" s="2190" t="s">
        <v>3085</v>
      </c>
      <c r="L9" s="984"/>
      <c r="M9" s="2190" t="s">
        <v>3089</v>
      </c>
      <c r="N9" s="984"/>
      <c r="O9" s="2190"/>
      <c r="P9" s="984"/>
      <c r="Q9" s="2190"/>
      <c r="R9" s="984"/>
      <c r="S9" s="2190"/>
      <c r="T9" s="984"/>
      <c r="U9" s="2190"/>
      <c r="V9" s="984"/>
      <c r="W9" s="2190"/>
      <c r="X9" s="2191"/>
      <c r="Y9" s="2190"/>
      <c r="Z9" s="984"/>
      <c r="AA9" s="2190"/>
      <c r="AB9" s="984"/>
      <c r="AC9" s="2182"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2"/>
      <c r="AT9" s="2181"/>
      <c r="AU9" s="2181" t="s">
        <v>1893</v>
      </c>
      <c r="AV9" s="1295"/>
      <c r="AW9" s="2164"/>
      <c r="AX9" s="1295"/>
      <c r="AY9" s="28"/>
      <c r="AZ9" s="28" t="s">
        <v>1883</v>
      </c>
      <c r="BA9" s="2193" t="s">
        <v>1894</v>
      </c>
      <c r="BB9" s="2194"/>
      <c r="BC9" s="1341"/>
      <c r="BD9" s="1341"/>
      <c r="BE9" s="1341"/>
      <c r="BF9" s="1341"/>
      <c r="BG9" s="1341"/>
      <c r="BH9" s="1341"/>
      <c r="BI9" s="1341"/>
      <c r="BJ9" s="1341"/>
      <c r="BK9" s="2195"/>
      <c r="BL9" s="15" t="s">
        <v>1895</v>
      </c>
      <c r="BM9" s="1821"/>
      <c r="BN9" s="2184"/>
      <c r="BO9" s="1821"/>
      <c r="BP9" s="1821"/>
      <c r="BQ9" s="1821"/>
      <c r="BR9" s="1821"/>
      <c r="BS9" s="1821"/>
      <c r="BT9" s="26"/>
    </row>
    <row r="10" spans="1:72" s="2188" customFormat="1" ht="12.75">
      <c r="A10" s="2181"/>
      <c r="B10" s="2181"/>
      <c r="C10" s="2181"/>
      <c r="D10" s="2181"/>
      <c r="E10" s="2181"/>
      <c r="F10" s="2181"/>
      <c r="G10" s="1295"/>
      <c r="H10" s="28"/>
      <c r="I10" s="2190" t="s">
        <v>1377</v>
      </c>
      <c r="J10" s="984"/>
      <c r="K10" s="2196" t="s">
        <v>3087</v>
      </c>
      <c r="L10" s="984"/>
      <c r="M10" s="2196" t="s">
        <v>3087</v>
      </c>
      <c r="N10" s="984"/>
      <c r="O10" s="2196"/>
      <c r="P10" s="984"/>
      <c r="Q10" s="2196"/>
      <c r="R10" s="984"/>
      <c r="S10" s="2196"/>
      <c r="T10" s="984"/>
      <c r="U10" s="2196"/>
      <c r="V10" s="984"/>
      <c r="W10" s="2196"/>
      <c r="X10" s="984"/>
      <c r="Y10" s="2196"/>
      <c r="Z10" s="984"/>
      <c r="AA10" s="2196"/>
      <c r="AB10" s="984"/>
      <c r="AC10" s="1295"/>
      <c r="AD10" s="15" t="s">
        <v>1896</v>
      </c>
      <c r="AE10" s="2197"/>
      <c r="AF10" s="15" t="s">
        <v>1896</v>
      </c>
      <c r="AG10" s="2197"/>
      <c r="AH10" s="15" t="s">
        <v>1897</v>
      </c>
      <c r="AI10" s="2197"/>
      <c r="AJ10" s="15" t="s">
        <v>1897</v>
      </c>
      <c r="AK10" s="2197"/>
      <c r="AL10" s="15" t="s">
        <v>1898</v>
      </c>
      <c r="AM10" s="1301"/>
      <c r="AN10" s="15" t="s">
        <v>1898</v>
      </c>
      <c r="AO10" s="1301"/>
      <c r="AP10" s="15" t="s">
        <v>1899</v>
      </c>
      <c r="AQ10" s="1301"/>
      <c r="AR10" s="15" t="s">
        <v>1899</v>
      </c>
      <c r="AS10" s="1301"/>
      <c r="AT10" s="2181"/>
      <c r="AU10" s="2181"/>
      <c r="AV10" s="1295"/>
      <c r="AW10" s="2164"/>
      <c r="AX10" s="1295"/>
      <c r="AY10" s="28"/>
      <c r="AZ10" s="28"/>
      <c r="BA10" s="2198" t="s">
        <v>1890</v>
      </c>
      <c r="BB10" s="2199" t="str">
        <f>I9</f>
        <v>地上</v>
      </c>
      <c r="BC10" s="29" t="str">
        <f>K9</f>
        <v>地上</v>
      </c>
      <c r="BD10" s="29" t="str">
        <f>M9</f>
        <v>地下</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3086</v>
      </c>
      <c r="J11" s="2202"/>
      <c r="K11" s="2201" t="s">
        <v>3087</v>
      </c>
      <c r="L11" s="2202"/>
      <c r="M11" s="2201" t="s">
        <v>3087</v>
      </c>
      <c r="N11" s="2202"/>
      <c r="O11" s="2201"/>
      <c r="P11" s="2202"/>
      <c r="Q11" s="2201"/>
      <c r="R11" s="2202"/>
      <c r="S11" s="2201"/>
      <c r="T11" s="2202"/>
      <c r="U11" s="2201"/>
      <c r="V11" s="2202"/>
      <c r="W11" s="2201"/>
      <c r="X11" s="2202"/>
      <c r="Y11" s="2201"/>
      <c r="Z11" s="2202"/>
      <c r="AA11" s="2201"/>
      <c r="AB11" s="2202"/>
      <c r="AC11" s="1295"/>
      <c r="AD11" s="2203" t="s">
        <v>1900</v>
      </c>
      <c r="AE11" s="1822"/>
      <c r="AF11" s="2203" t="s">
        <v>1900</v>
      </c>
      <c r="AG11" s="1822"/>
      <c r="AH11" s="2203" t="s">
        <v>1901</v>
      </c>
      <c r="AI11" s="2204"/>
      <c r="AJ11" s="2203" t="s">
        <v>1901</v>
      </c>
      <c r="AK11" s="1822"/>
      <c r="AL11" s="1820"/>
      <c r="AM11" s="1822"/>
      <c r="AN11" s="1820"/>
      <c r="AO11" s="1822"/>
      <c r="AP11" s="1820"/>
      <c r="AQ11" s="1822"/>
      <c r="AR11" s="1820"/>
      <c r="AS11" s="1822"/>
      <c r="AT11" s="2164"/>
      <c r="AU11" s="2181"/>
      <c r="AV11" s="1295"/>
      <c r="AW11" s="2164"/>
      <c r="AX11" s="1295"/>
      <c r="AY11" s="28"/>
      <c r="AZ11" s="28"/>
      <c r="BA11" s="28"/>
      <c r="BB11" s="2186" t="str">
        <f>I10</f>
        <v>商业</v>
      </c>
      <c r="BC11" s="2186" t="str">
        <f>K10</f>
        <v>车库</v>
      </c>
      <c r="BD11" s="2186" t="str">
        <f>M10</f>
        <v>车库</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8"/>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6" t="s">
        <v>1903</v>
      </c>
      <c r="AT12" s="2209"/>
      <c r="AU12" s="2206"/>
      <c r="AV12" s="31"/>
      <c r="AW12" s="2165"/>
      <c r="AX12" s="31"/>
      <c r="AY12" s="2210"/>
      <c r="AZ12" s="28"/>
      <c r="BA12" s="2198"/>
      <c r="BB12" s="24" t="str">
        <f>I11</f>
        <v>独立商业</v>
      </c>
      <c r="BC12" s="2211" t="str">
        <f>K11</f>
        <v>车库</v>
      </c>
      <c r="BD12" s="2211" t="str">
        <f>M11</f>
        <v>车库</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3088</v>
      </c>
      <c r="E13" s="16">
        <f>IF($C$3="是",ROUND($A$3*G13/$B$3,2),ROUND($A$3*(G13-AT13)/$B$3,2))</f>
        <v>53381.91</v>
      </c>
      <c r="F13" s="32"/>
      <c r="G13" s="33">
        <f>H13+AC13+AT13</f>
        <v>174008</v>
      </c>
      <c r="H13" s="20">
        <f>SUMIF(I$12:AB$12,"总值",I13:AB13)</f>
        <v>166960</v>
      </c>
      <c r="I13" s="2213">
        <f>面积表!E23</f>
        <v>37575</v>
      </c>
      <c r="J13" s="2213">
        <v>0</v>
      </c>
      <c r="K13" s="2213">
        <f>面积表!E24</f>
        <v>58241</v>
      </c>
      <c r="L13" s="2213">
        <v>0</v>
      </c>
      <c r="M13" s="2213">
        <f>面积表!E25</f>
        <v>71144</v>
      </c>
      <c r="N13" s="2213">
        <v>0</v>
      </c>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f>面积表!E19</f>
        <v>7048</v>
      </c>
      <c r="AU13" s="2216"/>
      <c r="AV13" s="11">
        <f t="shared" ref="AV13:AX17" si="6">A13</f>
        <v>0</v>
      </c>
      <c r="AW13" s="11">
        <f t="shared" si="6"/>
        <v>0</v>
      </c>
      <c r="AX13" s="11">
        <f t="shared" si="6"/>
        <v>0</v>
      </c>
      <c r="AY13" s="1809">
        <f>ROUND($AY$6*AZ13/$AZ$5,2)</f>
        <v>51219.74</v>
      </c>
      <c r="AZ13" s="16">
        <f>BA13+BL13</f>
        <v>166960</v>
      </c>
      <c r="BA13" s="16">
        <f>SUM(BB13:BK13)</f>
        <v>166960</v>
      </c>
      <c r="BB13" s="16">
        <f>IF($D13="是",I13-J13,0)</f>
        <v>37575</v>
      </c>
      <c r="BC13" s="16">
        <f>IF($D13="是",K13-L13,0)</f>
        <v>58241</v>
      </c>
      <c r="BD13" s="16">
        <f>IF($D13="是",M13-N13,0)</f>
        <v>71144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idden="1">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idden="1">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idden="1">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idden="1">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idden="1">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idden="1">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idden="1">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idden="1">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idden="1">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idden="1">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idden="1">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idden="1">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idden="1">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idden="1">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idden="1">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idden="1">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idden="1">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idden="1">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idden="1">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idden="1">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idden="1">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idden="1">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idden="1">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idden="1">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idden="1">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idden="1">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idden="1">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idden="1">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idden="1">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idden="1">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idden="1">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idden="1">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idden="1">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idden="1">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idden="1">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idden="1">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idden="1">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idden="1">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idden="1">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idden="1">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idden="1">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idden="1">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idden="1">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idden="1">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idden="1">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idden="1">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idden="1">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idden="1">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idden="1">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idden="1">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idden="1">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idden="1">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idden="1">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idden="1">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idden="1">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idden="1">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idden="1">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idden="1">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idden="1">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idden="1">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idden="1">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idden="1">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idden="1">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idden="1">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idden="1">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idden="1">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idden="1">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idden="1">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idden="1">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idden="1">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idden="1">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idden="1">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idden="1">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idden="1">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idden="1">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hidden="1">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hidden="1">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hidden="1">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hidden="1">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hidden="1">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hidden="1">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hidden="1">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hidden="1">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hidden="1">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hidden="1">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hidden="1">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hidden="1">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hidden="1">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hidden="1">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hidden="1">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hidden="1">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hidden="1">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hidden="1">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hidden="1">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hidden="1">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hidden="1">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hidden="1">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hidden="1">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hidden="1">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hidden="1">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hidden="1">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hidden="1">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hidden="1">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hidden="1">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hidden="1">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hidden="1">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hidden="1">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hidden="1">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hidden="1">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hidden="1">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hidden="1">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hidden="1">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hidden="1">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hidden="1">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hidden="1">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hidden="1">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hidden="1">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hidden="1">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hidden="1">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hidden="1">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hidden="1">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hidden="1">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hidden="1">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hidden="1">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hidden="1">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hidden="1">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hidden="1">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hidden="1">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hidden="1">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hidden="1">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hidden="1">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hidden="1">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hidden="1">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hidden="1">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hidden="1">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hidden="1">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hidden="1">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hidden="1">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hidden="1">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hidden="1">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hidden="1">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hidden="1">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hidden="1">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hidden="1">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hidden="1">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hidden="1">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hidden="1">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hidden="1">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hidden="1">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hidden="1">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hidden="1">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hidden="1">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hidden="1">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hidden="1">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hidden="1">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hidden="1">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hidden="1">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hidden="1">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hidden="1">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hidden="1">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hidden="1">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hidden="1">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hidden="1">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hidden="1">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hidden="1">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hidden="1">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hidden="1">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hidden="1">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hidden="1">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hidden="1">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hidden="1">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hidden="1">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hidden="1">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hidden="1">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hidden="1">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hidden="1">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hidden="1">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hidden="1">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hidden="1">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hidden="1">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hidden="1">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hidden="1">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hidden="1">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hidden="1">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hidden="1">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hidden="1">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hidden="1">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hidden="1">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hidden="1">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hidden="1">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hidden="1">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hidden="1">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hidden="1">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hidden="1">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hidden="1">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hidden="1">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hidden="1">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hidden="1">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hidden="1">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hidden="1">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hidden="1">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hidden="1">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hidden="1">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hidden="1">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hidden="1">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hidden="1">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hidden="1">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hidden="1">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hidden="1">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hidden="1">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hidden="1">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hidden="1">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hidden="1">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hidden="1">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hidden="1">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hidden="1">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hidden="1">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hidden="1">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hidden="1">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hidden="1">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hidden="1">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hidden="1">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hidden="1">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hidden="1">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hidden="1">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hidden="1">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hidden="1">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hidden="1">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hidden="1">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hidden="1">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hidden="1">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hidden="1">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hidden="1">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hidden="1">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hidden="1">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hidden="1">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hidden="1">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hidden="1">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hidden="1">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hidden="1">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hidden="1">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hidden="1">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hidden="1">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hidden="1">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hidden="1">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hidden="1">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hidden="1">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hidden="1">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hidden="1">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hidden="1">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hidden="1">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hidden="1">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hidden="1">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hidden="1">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hidden="1">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hidden="1">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hidden="1">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hidden="1">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hidden="1">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hidden="1">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hidden="1">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hidden="1">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hidden="1">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hidden="1">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hidden="1">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hidden="1">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hidden="1">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hidden="1">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hidden="1">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hidden="1">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hidden="1">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hidden="1">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hidden="1">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hidden="1">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hidden="1">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hidden="1">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hidden="1">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hidden="1">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hidden="1">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hidden="1">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hidden="1">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hidden="1">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hidden="1">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hidden="1">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hidden="1">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hidden="1">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hidden="1">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hidden="1">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hidden="1">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hidden="1">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hidden="1">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hidden="1">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hidden="1">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hidden="1">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hidden="1">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hidden="1">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328125" style="3" customWidth="1"/>
    <col min="2" max="2" width="10.59765625" style="3" customWidth="1"/>
    <col min="3" max="3" width="15.73046875" style="3" customWidth="1"/>
    <col min="4" max="7" width="9.46484375" style="3" bestFit="1" customWidth="1"/>
    <col min="8" max="13" width="9.1328125" style="3" bestFit="1" customWidth="1"/>
    <col min="14" max="16384" width="9" style="3"/>
  </cols>
  <sheetData>
    <row r="1" spans="1:13" ht="15.7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31.5">
      <c r="A3" s="3099"/>
      <c r="B3" s="3099"/>
      <c r="C3" s="3099"/>
      <c r="D3" s="3100"/>
      <c r="E3" s="3100"/>
      <c r="F3" s="4" t="s">
        <v>40</v>
      </c>
      <c r="G3" s="4" t="s">
        <v>35</v>
      </c>
      <c r="H3" s="4" t="s">
        <v>36</v>
      </c>
      <c r="I3" s="4" t="s">
        <v>49</v>
      </c>
      <c r="J3" s="4" t="s">
        <v>40</v>
      </c>
      <c r="K3" s="4" t="s">
        <v>51</v>
      </c>
      <c r="L3" s="4" t="s">
        <v>50</v>
      </c>
      <c r="M3" s="4" t="s">
        <v>52</v>
      </c>
    </row>
    <row r="4" spans="1:13" ht="47.2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7.25">
      <c r="A5" s="4" t="s">
        <v>41</v>
      </c>
      <c r="B5" s="4" t="s">
        <v>44</v>
      </c>
      <c r="C5" s="4" t="s">
        <v>45</v>
      </c>
      <c r="D5" s="5">
        <v>3667.86</v>
      </c>
      <c r="E5" s="5">
        <v>19906.61</v>
      </c>
      <c r="F5" s="5">
        <v>18792.87</v>
      </c>
      <c r="G5" s="5">
        <v>18792.87</v>
      </c>
      <c r="H5" s="5">
        <v>0</v>
      </c>
      <c r="I5" s="5">
        <v>0</v>
      </c>
      <c r="J5" s="5">
        <v>1113.74</v>
      </c>
      <c r="K5" s="5">
        <v>55.59</v>
      </c>
      <c r="L5" s="5">
        <v>0</v>
      </c>
      <c r="M5" s="5">
        <v>1058.1500000000001</v>
      </c>
    </row>
    <row r="6" spans="1:13" ht="47.2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7.25">
      <c r="A7" s="4" t="s">
        <v>41</v>
      </c>
      <c r="B7" s="4" t="s">
        <v>44</v>
      </c>
      <c r="C7" s="4" t="s">
        <v>47</v>
      </c>
      <c r="D7" s="5">
        <v>8.18</v>
      </c>
      <c r="E7" s="5">
        <v>44.41</v>
      </c>
      <c r="F7" s="5">
        <v>0</v>
      </c>
      <c r="G7" s="5">
        <v>0</v>
      </c>
      <c r="H7" s="5">
        <v>0</v>
      </c>
      <c r="I7" s="5">
        <v>0</v>
      </c>
      <c r="J7" s="5">
        <v>44.41</v>
      </c>
      <c r="K7" s="5">
        <v>44.41</v>
      </c>
      <c r="L7" s="5">
        <v>0</v>
      </c>
      <c r="M7" s="5">
        <v>0</v>
      </c>
    </row>
    <row r="8" spans="1:13" ht="47.2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0" sqref="E20"/>
    </sheetView>
  </sheetViews>
  <sheetFormatPr defaultColWidth="9.265625" defaultRowHeight="13.5"/>
  <cols>
    <col min="1" max="1" width="12.1328125" style="2225" customWidth="1"/>
    <col min="2" max="2" width="10.265625" style="2225" customWidth="1"/>
    <col min="3" max="3" width="18.46484375" style="2225" customWidth="1"/>
    <col min="4" max="4" width="11.59765625" style="2225" customWidth="1"/>
    <col min="5" max="5" width="13.3984375" style="2225" customWidth="1"/>
    <col min="6" max="8" width="11.46484375" style="2225" customWidth="1"/>
    <col min="9" max="9" width="11.1328125" style="2225" customWidth="1"/>
    <col min="10" max="10" width="3.1328125" style="2225" customWidth="1"/>
    <col min="11" max="16" width="10" style="2225" customWidth="1"/>
    <col min="17" max="17" width="2.59765625" style="2225" customWidth="1"/>
    <col min="18" max="18" width="9.3984375" style="2225" bestFit="1" customWidth="1"/>
    <col min="19" max="19" width="10.46484375" style="2225" bestFit="1" customWidth="1"/>
    <col min="20" max="16384" width="9.265625" style="2225"/>
  </cols>
  <sheetData>
    <row r="1" spans="1:16" ht="17.649999999999999">
      <c r="A1" s="2224" t="s">
        <v>1929</v>
      </c>
      <c r="B1" s="1395"/>
      <c r="C1" s="1395"/>
      <c r="D1" s="1395"/>
      <c r="E1" s="1395"/>
      <c r="F1" s="1395"/>
      <c r="G1" s="1395"/>
      <c r="H1" s="1395"/>
      <c r="I1" s="1395"/>
      <c r="J1" s="1395"/>
      <c r="K1" s="1395"/>
      <c r="L1" s="1395"/>
      <c r="M1" s="1395"/>
      <c r="N1" s="1395"/>
      <c r="O1" s="1395"/>
      <c r="P1" s="1395"/>
    </row>
    <row r="2" spans="1:16" ht="13.9">
      <c r="A2" s="3110" t="s">
        <v>1930</v>
      </c>
      <c r="B2" s="3110"/>
      <c r="C2" s="3110"/>
      <c r="D2" s="970" t="s">
        <v>1906</v>
      </c>
      <c r="E2" s="2226" t="s">
        <v>1907</v>
      </c>
      <c r="F2" s="1395"/>
      <c r="G2" s="2227"/>
      <c r="H2" s="2228"/>
      <c r="I2" s="2229" t="s">
        <v>1931</v>
      </c>
      <c r="J2" s="1395"/>
      <c r="K2" s="1395"/>
      <c r="L2" s="1395"/>
      <c r="M2" s="1395"/>
      <c r="N2" s="1430"/>
      <c r="O2" s="1395"/>
      <c r="P2" s="1395"/>
    </row>
    <row r="3" spans="1:16" ht="14.25" thickBot="1">
      <c r="A3" s="3111" t="s">
        <v>1904</v>
      </c>
      <c r="B3" s="3111"/>
      <c r="C3" s="3111"/>
      <c r="D3" s="46">
        <f>'数据-基础表'!AY6</f>
        <v>51219.74</v>
      </c>
      <c r="E3" s="46">
        <f>'数据-基础表'!AZ5</f>
        <v>166960</v>
      </c>
      <c r="F3" s="1395"/>
      <c r="G3" s="1402"/>
      <c r="H3" s="1250" t="s">
        <v>1905</v>
      </c>
      <c r="I3" s="55">
        <f>ROUND('数据-基础表'!B3/'数据-基础表'!A3,2)</f>
        <v>3.26</v>
      </c>
      <c r="J3" s="1395"/>
      <c r="K3" s="1395"/>
      <c r="L3" s="1395"/>
      <c r="M3" s="1395"/>
      <c r="N3" s="1430"/>
      <c r="O3" s="1395"/>
      <c r="P3" s="1395"/>
    </row>
    <row r="4" spans="1:16" ht="13.9">
      <c r="A4" s="3112"/>
      <c r="B4" s="3113"/>
      <c r="C4" s="3114"/>
      <c r="D4" s="2230" t="s">
        <v>1906</v>
      </c>
      <c r="E4" s="2231" t="s">
        <v>1907</v>
      </c>
      <c r="F4" s="1395"/>
      <c r="G4" s="2232" t="s">
        <v>1932</v>
      </c>
      <c r="H4" s="1250" t="s">
        <v>1912</v>
      </c>
      <c r="I4" s="55">
        <f>ROUND(SUMIF('数据-基础表'!I9:AS9,"地上",'数据-基础表'!I5:AS5)/'数据-基础表'!A3,2)</f>
        <v>1.79</v>
      </c>
      <c r="J4" s="1395"/>
      <c r="K4" s="1395"/>
      <c r="L4" s="1395"/>
      <c r="M4" s="1395"/>
      <c r="N4" s="1430"/>
      <c r="O4" s="1395"/>
      <c r="P4" s="1395"/>
    </row>
    <row r="5" spans="1:16">
      <c r="A5" s="47" t="s">
        <v>1908</v>
      </c>
      <c r="B5" s="3115" t="s">
        <v>1909</v>
      </c>
      <c r="C5" s="3115"/>
      <c r="D5" s="48">
        <f>ROUND($D$3*E5/$E$3,2)</f>
        <v>0</v>
      </c>
      <c r="E5" s="49">
        <f>SUMIF('数据-基础表'!$11:$11,"住宅",'数据-基础表'!$5:$5)</f>
        <v>0</v>
      </c>
      <c r="F5" s="1395"/>
      <c r="G5" s="1402"/>
      <c r="H5" s="1250" t="s">
        <v>1905</v>
      </c>
      <c r="I5" s="55">
        <f>ROUND(E31/D31,2)</f>
        <v>3.26</v>
      </c>
      <c r="J5" s="1395"/>
      <c r="K5" s="1395"/>
      <c r="L5" s="1395"/>
      <c r="M5" s="1395"/>
      <c r="N5" s="1395"/>
      <c r="O5" s="1395"/>
      <c r="P5" s="1395"/>
    </row>
    <row r="6" spans="1:16" ht="13.9" thickBot="1">
      <c r="A6" s="2233"/>
      <c r="B6" s="3115" t="s">
        <v>1910</v>
      </c>
      <c r="C6" s="3115"/>
      <c r="D6" s="48">
        <f>ROUND($D$3*E6/$E$3,2)</f>
        <v>51219.74</v>
      </c>
      <c r="E6" s="49">
        <f>E3-E5</f>
        <v>166960</v>
      </c>
      <c r="F6" s="1395"/>
      <c r="G6" s="2234" t="s">
        <v>1911</v>
      </c>
      <c r="H6" s="1402" t="s">
        <v>1912</v>
      </c>
      <c r="I6" s="942">
        <f>ROUND(F31/D31,2)</f>
        <v>1.87</v>
      </c>
      <c r="J6" s="1395"/>
      <c r="K6" s="1395"/>
      <c r="L6" s="1395"/>
      <c r="M6" s="1395"/>
      <c r="N6" s="1395"/>
      <c r="O6" s="1395"/>
      <c r="P6" s="1395"/>
    </row>
    <row r="7" spans="1:16" ht="13.9">
      <c r="A7" s="3107"/>
      <c r="B7" s="3108"/>
      <c r="C7" s="3109"/>
      <c r="D7" s="2230" t="s">
        <v>1906</v>
      </c>
      <c r="E7" s="2235" t="s">
        <v>1913</v>
      </c>
      <c r="F7" s="1395"/>
      <c r="G7" s="2227" t="s">
        <v>1914</v>
      </c>
      <c r="H7" s="64"/>
      <c r="I7" s="420"/>
      <c r="J7" s="1395"/>
      <c r="K7" s="1395"/>
      <c r="L7" s="1395"/>
      <c r="M7" s="1395"/>
      <c r="N7" s="1395"/>
      <c r="O7" s="1395"/>
      <c r="P7" s="1395"/>
    </row>
    <row r="8" spans="1:16">
      <c r="A8" s="47" t="s">
        <v>1915</v>
      </c>
      <c r="B8" s="50" t="s">
        <v>1916</v>
      </c>
      <c r="C8" s="48" t="s">
        <v>1917</v>
      </c>
      <c r="D8" s="48">
        <f t="shared" ref="D8:D15" si="0">ROUND($D$3*E8/$E$3,2)</f>
        <v>29394.29</v>
      </c>
      <c r="E8" s="51">
        <f>SUMIF('数据-基础表'!BB10:BK10,"地上",'数据-基础表'!BB5:BK5)</f>
        <v>95816</v>
      </c>
      <c r="F8" s="1395"/>
      <c r="G8" s="2236"/>
      <c r="H8" s="2236"/>
      <c r="I8" s="1395"/>
      <c r="J8" s="1395"/>
      <c r="K8" s="1395"/>
      <c r="L8" s="1395"/>
      <c r="M8" s="1395"/>
      <c r="N8" s="1395"/>
      <c r="O8" s="1395"/>
      <c r="P8" s="1395"/>
    </row>
    <row r="9" spans="1:16" hidden="1">
      <c r="A9" s="2237"/>
      <c r="B9" s="2238"/>
      <c r="C9" s="48" t="s">
        <v>1918</v>
      </c>
      <c r="D9" s="48">
        <f t="shared" si="0"/>
        <v>0</v>
      </c>
      <c r="E9" s="52">
        <v>0</v>
      </c>
      <c r="F9" s="1395"/>
      <c r="G9" s="2236"/>
      <c r="H9" s="2236"/>
      <c r="I9" s="1395"/>
      <c r="J9" s="1395"/>
      <c r="K9" s="1395"/>
      <c r="L9" s="1395"/>
      <c r="M9" s="1395"/>
      <c r="N9" s="1395"/>
      <c r="O9" s="1395"/>
      <c r="P9" s="1395"/>
    </row>
    <row r="10" spans="1:16" hidden="1">
      <c r="A10" s="2237"/>
      <c r="B10" s="2238"/>
      <c r="C10" s="48" t="s">
        <v>1927</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hidden="1">
      <c r="A11" s="2237"/>
      <c r="B11" s="2238"/>
      <c r="C11" s="48" t="s">
        <v>1919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hidden="1">
      <c r="A12" s="2237"/>
      <c r="B12" s="2238"/>
      <c r="C12" s="48" t="s">
        <v>1920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1921</v>
      </c>
      <c r="D13" s="48">
        <f t="shared" si="0"/>
        <v>21825.45</v>
      </c>
      <c r="E13" s="51">
        <f>SUMPRODUCT(('数据-基础表'!BB10:BK10="地下")*('数据-基础表'!BB11:BK11="车库")*('数据-基础表'!BB5:BK5))</f>
        <v>71144</v>
      </c>
      <c r="F13" s="1395"/>
      <c r="G13" s="2236"/>
      <c r="H13" s="2236"/>
      <c r="I13" s="1395"/>
      <c r="J13" s="1395"/>
      <c r="K13" s="1395"/>
      <c r="L13" s="1395"/>
      <c r="M13" s="1395"/>
      <c r="N13" s="1395"/>
      <c r="O13" s="1395"/>
      <c r="P13" s="1395"/>
    </row>
    <row r="14" spans="1:16">
      <c r="A14" s="2237"/>
      <c r="B14" s="2238"/>
      <c r="C14" s="48" t="s">
        <v>1933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3.9" thickBot="1">
      <c r="A15" s="2237"/>
      <c r="B15" s="2238"/>
      <c r="C15" s="48" t="s">
        <v>1928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4.25" thickBot="1">
      <c r="A16" s="2233"/>
      <c r="B16" s="2238"/>
      <c r="C16" s="50" t="s">
        <v>1922</v>
      </c>
      <c r="D16" s="50">
        <f>SUM(D8:D15)</f>
        <v>51219.740000000005</v>
      </c>
      <c r="E16" s="53">
        <f>SUM(E8:E15)</f>
        <v>166960</v>
      </c>
      <c r="F16" s="1395"/>
      <c r="G16" s="2236"/>
      <c r="H16" s="2239" t="s">
        <v>1934</v>
      </c>
      <c r="I16" s="2240"/>
      <c r="J16" s="1395"/>
      <c r="K16" s="3104" t="s">
        <v>1934</v>
      </c>
      <c r="L16" s="3105"/>
      <c r="M16" s="3105"/>
      <c r="N16" s="3105"/>
      <c r="O16" s="3105"/>
      <c r="P16" s="3106"/>
    </row>
    <row r="17" spans="1:19" ht="13.9">
      <c r="A17" s="2241" t="s">
        <v>1935</v>
      </c>
      <c r="B17" s="2242" t="s">
        <v>1936</v>
      </c>
      <c r="C17" s="2243" t="s">
        <v>1937</v>
      </c>
      <c r="D17" s="2244" t="s">
        <v>1925</v>
      </c>
      <c r="E17" s="2245" t="s">
        <v>1926</v>
      </c>
      <c r="F17" s="2246"/>
      <c r="G17" s="2247"/>
      <c r="H17" s="2248" t="s">
        <v>1938</v>
      </c>
      <c r="I17" s="2249" t="s">
        <v>1923</v>
      </c>
      <c r="J17" s="1395"/>
      <c r="K17" s="3101" t="s">
        <v>1939</v>
      </c>
      <c r="L17" s="3102"/>
      <c r="M17" s="3103"/>
      <c r="N17" s="3101" t="s">
        <v>1940</v>
      </c>
      <c r="O17" s="3102"/>
      <c r="P17" s="3103"/>
      <c r="R17" s="2227" t="s">
        <v>1941</v>
      </c>
      <c r="S17" s="64"/>
    </row>
    <row r="18" spans="1:19" ht="13.9">
      <c r="A18" s="2237"/>
      <c r="B18" s="2250"/>
      <c r="C18" s="2251"/>
      <c r="D18" s="2252"/>
      <c r="E18" s="2253" t="s">
        <v>1942</v>
      </c>
      <c r="F18" s="2254" t="s">
        <v>1943</v>
      </c>
      <c r="G18" s="2255" t="s">
        <v>1944</v>
      </c>
      <c r="H18" s="1265" t="s">
        <v>1945</v>
      </c>
      <c r="I18" s="2256" t="s">
        <v>1946</v>
      </c>
      <c r="J18" s="1395"/>
      <c r="K18" s="1265" t="s">
        <v>1947</v>
      </c>
      <c r="L18" s="2257" t="s">
        <v>1948</v>
      </c>
      <c r="M18" s="1049" t="s">
        <v>1949</v>
      </c>
      <c r="N18" s="1265" t="s">
        <v>1947</v>
      </c>
      <c r="O18" s="2257" t="s">
        <v>1948</v>
      </c>
      <c r="P18" s="1049" t="s">
        <v>1949</v>
      </c>
      <c r="R18" s="1250" t="s">
        <v>1950</v>
      </c>
      <c r="S18" s="1250" t="s">
        <v>1951</v>
      </c>
    </row>
    <row r="19" spans="1:19">
      <c r="A19" s="2258"/>
      <c r="B19" s="50" t="s">
        <v>1924</v>
      </c>
      <c r="C19" s="2996" t="s">
        <v>3090</v>
      </c>
      <c r="D19" s="48">
        <f>ROUND($D$3*E19/$E$3,2)</f>
        <v>11527.2</v>
      </c>
      <c r="E19" s="56">
        <f t="shared" ref="E19:E26" si="1">SUM(F19:G19)</f>
        <v>37575</v>
      </c>
      <c r="F19" s="57">
        <f>'数据-基础表'!BB5</f>
        <v>37575</v>
      </c>
      <c r="G19" s="58">
        <v>0</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11527.2</v>
      </c>
      <c r="S19" s="1251">
        <f t="shared" si="5"/>
        <v>37575</v>
      </c>
    </row>
    <row r="20" spans="1:19">
      <c r="A20" s="2262"/>
      <c r="B20" s="50" t="s">
        <v>1952</v>
      </c>
      <c r="C20" s="2996" t="s">
        <v>3091</v>
      </c>
      <c r="D20" s="48">
        <f t="shared" ref="D20:D26" si="6">ROUND($D$3*E20/$E$3,2)</f>
        <v>39692.54</v>
      </c>
      <c r="E20" s="56">
        <f t="shared" si="1"/>
        <v>129385</v>
      </c>
      <c r="F20" s="57">
        <f>'数据-基础表'!BC5</f>
        <v>58241</v>
      </c>
      <c r="G20" s="58">
        <f>'数据-基础表'!BD5</f>
        <v>71144</v>
      </c>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39692.54</v>
      </c>
      <c r="S20" s="1251">
        <f t="shared" si="5"/>
        <v>129385</v>
      </c>
    </row>
    <row r="21" spans="1:19" hidden="1">
      <c r="A21" s="2262"/>
      <c r="B21" s="50" t="s">
        <v>1952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hidden="1">
      <c r="A22" s="2262"/>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hidden="1">
      <c r="A23" s="2262"/>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hidden="1">
      <c r="A24" s="2262"/>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hidden="1">
      <c r="A25" s="2262"/>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hidden="1">
      <c r="A26" s="2262"/>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4.25" thickBot="1">
      <c r="A27" s="2262"/>
      <c r="B27" s="48"/>
      <c r="C27" s="2265" t="s">
        <v>1953</v>
      </c>
      <c r="D27" s="1396">
        <f>SUM(D19:D26)</f>
        <v>51219.740000000005</v>
      </c>
      <c r="E27" s="1397">
        <f>IF(SUM(E19:E26)='数据-基础表'!BA5,SUM(E19:E26),IF(F27="地上面积有误","面积有误","地下面积有误"))</f>
        <v>166960</v>
      </c>
      <c r="F27" s="1396">
        <f>IF(SUM(F19:F26)=E8,SUM(F19:F26),"地上面积有误")</f>
        <v>95816</v>
      </c>
      <c r="G27" s="1398">
        <f>SUM(G19:G26)</f>
        <v>71144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51219.740000000005</v>
      </c>
      <c r="S27" s="1250">
        <f>IF(SUM(S19:S26)=$E$3,SUM(S19:S26),SUM(S19:S26)&amp;"误差"&amp;ROUND(SUM(S19:S26)-E3,2))</f>
        <v>166960</v>
      </c>
    </row>
    <row r="28" spans="1:19">
      <c r="A28" s="2262"/>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1954</v>
      </c>
      <c r="C29" s="2266"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3.9">
      <c r="A30" s="2262"/>
      <c r="B30" s="50"/>
      <c r="C30" s="2267" t="s">
        <v>1953</v>
      </c>
      <c r="D30" s="1396">
        <f>SUM(D28:D29)</f>
        <v>0</v>
      </c>
      <c r="E30" s="1396">
        <f>SUM(E28:E29)</f>
        <v>0</v>
      </c>
      <c r="F30" s="1396">
        <f>SUM(F28:F29)</f>
        <v>0</v>
      </c>
      <c r="G30" s="1398">
        <f>SUM(G28:G29)</f>
        <v>0</v>
      </c>
      <c r="H30" s="1395"/>
      <c r="I30" s="1395"/>
      <c r="J30" s="1395"/>
      <c r="K30" s="1395"/>
      <c r="L30" s="1395"/>
      <c r="M30" s="1395"/>
      <c r="N30" s="1395"/>
      <c r="O30" s="1395"/>
      <c r="P30" s="1395"/>
    </row>
    <row r="31" spans="1:19" ht="14.25" thickBot="1">
      <c r="A31" s="2268"/>
      <c r="B31" s="2269"/>
      <c r="C31" s="1010" t="s">
        <v>1957</v>
      </c>
      <c r="D31" s="729">
        <f>D27+D30</f>
        <v>51219.740000000005</v>
      </c>
      <c r="E31" s="729">
        <f>E27+E30</f>
        <v>166960</v>
      </c>
      <c r="F31" s="730">
        <f>F27+F30</f>
        <v>95816</v>
      </c>
      <c r="G31" s="731">
        <f>G27+G30</f>
        <v>71144</v>
      </c>
      <c r="H31" s="1395"/>
      <c r="I31" s="1395"/>
      <c r="J31" s="1395"/>
      <c r="K31" s="1395"/>
      <c r="L31" s="1395"/>
      <c r="M31" s="1395"/>
      <c r="N31" s="1395"/>
      <c r="O31" s="1395"/>
      <c r="P31" s="1395"/>
    </row>
    <row r="32" spans="1:19">
      <c r="A32" s="2232"/>
      <c r="B32" s="2232" t="s">
        <v>1958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view="pageBreakPreview" zoomScaleNormal="90" zoomScaleSheetLayoutView="100" workbookViewId="0">
      <pane xSplit="3" ySplit="5" topLeftCell="Y6" activePane="bottomRight" state="frozen"/>
      <selection activeCell="C50" sqref="C50"/>
      <selection pane="topRight" activeCell="C50" sqref="C50"/>
      <selection pane="bottomLeft" activeCell="C50" sqref="C50"/>
      <selection pane="bottomRight" activeCell="AI20" sqref="AI20"/>
    </sheetView>
  </sheetViews>
  <sheetFormatPr defaultColWidth="13.73046875" defaultRowHeight="12.75"/>
  <cols>
    <col min="1" max="1" width="20.86328125" style="2344" customWidth="1"/>
    <col min="2" max="2" width="12" style="2274" customWidth="1"/>
    <col min="3" max="3" width="10.73046875" style="2274" customWidth="1"/>
    <col min="4" max="4" width="9.1328125" style="2345" customWidth="1"/>
    <col min="5" max="5" width="15" style="2274" bestFit="1" customWidth="1"/>
    <col min="6" max="10" width="8.86328125" style="2274" customWidth="1"/>
    <col min="11" max="12" width="12.3984375" style="2188" customWidth="1"/>
    <col min="13" max="13" width="8.59765625" style="2274" customWidth="1"/>
    <col min="14" max="14" width="11.86328125" style="2274" customWidth="1"/>
    <col min="15" max="15" width="8.46484375" style="2274" customWidth="1"/>
    <col min="16" max="17" width="10.86328125" style="2274" customWidth="1"/>
    <col min="18" max="19" width="12.46484375" style="2274" customWidth="1"/>
    <col min="20" max="20" width="12.1328125" style="2274" customWidth="1"/>
    <col min="21" max="21" width="7.46484375" style="2274" customWidth="1"/>
    <col min="22" max="22" width="6.3984375" style="2274" customWidth="1"/>
    <col min="23" max="24" width="6.73046875" style="2274" customWidth="1"/>
    <col min="25" max="25" width="7.59765625" style="2274" bestFit="1" customWidth="1"/>
    <col min="26" max="29" width="6.73046875" style="2274" hidden="1" customWidth="1"/>
    <col min="30" max="30" width="7.59765625" style="2274" hidden="1" customWidth="1"/>
    <col min="31" max="31" width="8" style="2274" customWidth="1"/>
    <col min="32" max="34" width="7.265625" style="2274" customWidth="1"/>
    <col min="35" max="39" width="8" style="2274" customWidth="1"/>
    <col min="40" max="40" width="13.73046875" style="2273"/>
    <col min="41" max="41" width="11.59765625" style="2273" customWidth="1"/>
    <col min="42" max="42" width="9.73046875" style="2273" customWidth="1"/>
    <col min="43" max="67" width="13.73046875" style="2273"/>
    <col min="68" max="16384" width="13.73046875" style="2274"/>
  </cols>
  <sheetData>
    <row r="1" spans="1:67" ht="18" thickBot="1">
      <c r="A1" s="2271" t="s">
        <v>1959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4.65" thickBot="1">
      <c r="A2" s="2275" t="s">
        <v>1960</v>
      </c>
      <c r="B2" s="1269">
        <f>项目基本情况!D3</f>
        <v>43215</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3.9"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3.9" thickBot="1">
      <c r="A4" s="68" t="s">
        <v>1961</v>
      </c>
      <c r="B4" s="2280"/>
      <c r="C4" s="2281"/>
      <c r="D4" s="2282"/>
      <c r="E4" s="2281" t="s">
        <v>1962</v>
      </c>
      <c r="F4" s="2281"/>
      <c r="G4" s="2281"/>
      <c r="H4" s="2281"/>
      <c r="I4" s="2281"/>
      <c r="J4" s="2283"/>
      <c r="K4" s="2284"/>
      <c r="L4" s="2285"/>
      <c r="M4" s="2281"/>
      <c r="N4" s="2281" t="s">
        <v>1963</v>
      </c>
      <c r="O4" s="2281"/>
      <c r="P4" s="2281"/>
      <c r="Q4" s="2281"/>
      <c r="R4" s="2281"/>
      <c r="S4" s="2283"/>
      <c r="T4" s="2286" t="str">
        <f>'数据-汇总表'!I17</f>
        <v>按面积比例</v>
      </c>
      <c r="U4" s="2280" t="s">
        <v>1964</v>
      </c>
      <c r="V4" s="2281"/>
      <c r="W4" s="2281"/>
      <c r="X4" s="2281"/>
      <c r="Y4" s="2283"/>
      <c r="Z4" s="2243" t="s">
        <v>1965</v>
      </c>
      <c r="AA4" s="2243"/>
      <c r="AB4" s="2243"/>
      <c r="AC4" s="2243"/>
      <c r="AD4" s="2243"/>
      <c r="AE4" s="2241" t="s">
        <v>1966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1.25">
      <c r="A5" s="2288" t="s">
        <v>1967</v>
      </c>
      <c r="B5" s="2289" t="s">
        <v>1968</v>
      </c>
      <c r="C5" s="2290" t="s">
        <v>1969</v>
      </c>
      <c r="D5" s="2291" t="s">
        <v>1970</v>
      </c>
      <c r="E5" s="1271" t="s">
        <v>1971</v>
      </c>
      <c r="F5" s="2292" t="s">
        <v>1972</v>
      </c>
      <c r="G5" s="1271" t="s">
        <v>1973</v>
      </c>
      <c r="H5" s="1271" t="s">
        <v>1974</v>
      </c>
      <c r="I5" s="1271" t="s">
        <v>1975</v>
      </c>
      <c r="J5" s="2293" t="s">
        <v>1976</v>
      </c>
      <c r="K5" s="2294" t="s">
        <v>1977</v>
      </c>
      <c r="L5" s="2295" t="s">
        <v>1978</v>
      </c>
      <c r="M5" s="2296" t="s">
        <v>1979</v>
      </c>
      <c r="N5" s="2297" t="s">
        <v>1980</v>
      </c>
      <c r="O5" s="2295" t="s">
        <v>1981</v>
      </c>
      <c r="P5" s="2298" t="s">
        <v>1982</v>
      </c>
      <c r="Q5" s="69" t="s">
        <v>1983</v>
      </c>
      <c r="R5" s="2299" t="s">
        <v>1984</v>
      </c>
      <c r="S5" s="2300" t="s">
        <v>1985</v>
      </c>
      <c r="T5" s="2301" t="s">
        <v>1986</v>
      </c>
      <c r="U5" s="1270" t="s">
        <v>1987</v>
      </c>
      <c r="V5" s="1271" t="s">
        <v>1988</v>
      </c>
      <c r="W5" s="1271" t="s">
        <v>1989</v>
      </c>
      <c r="X5" s="71"/>
      <c r="Y5" s="70" t="s">
        <v>1990</v>
      </c>
      <c r="Z5" s="2302" t="s">
        <v>1987</v>
      </c>
      <c r="AA5" s="1271" t="s">
        <v>1988</v>
      </c>
      <c r="AB5" s="1271" t="s">
        <v>1989</v>
      </c>
      <c r="AC5" s="71"/>
      <c r="AD5" s="71" t="s">
        <v>1990</v>
      </c>
      <c r="AE5" s="1270" t="s">
        <v>1991</v>
      </c>
      <c r="AF5" s="1271" t="s">
        <v>1992</v>
      </c>
      <c r="AG5" s="70" t="s">
        <v>1993</v>
      </c>
      <c r="AH5" s="1270" t="s">
        <v>1994</v>
      </c>
      <c r="AI5" s="2302" t="s">
        <v>1995</v>
      </c>
      <c r="AJ5" s="2302" t="s">
        <v>1996</v>
      </c>
      <c r="AK5" s="1271" t="s">
        <v>1997</v>
      </c>
      <c r="AL5" s="1271" t="s">
        <v>1998</v>
      </c>
      <c r="AM5" s="70" t="s">
        <v>1999</v>
      </c>
      <c r="AN5" s="2303" t="s">
        <v>2000</v>
      </c>
      <c r="AO5" s="2074" t="s">
        <v>2001</v>
      </c>
      <c r="AP5" s="1252" t="s">
        <v>2002</v>
      </c>
      <c r="AQ5" s="2304" t="s">
        <v>2003</v>
      </c>
      <c r="AR5" s="2304" t="s">
        <v>2004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3.5">
      <c r="A6" s="2305" t="str">
        <f>'数据-汇总表'!C19</f>
        <v>商业</v>
      </c>
      <c r="B6" s="2306" t="str">
        <f>IF(A6=0,"","经营性")</f>
        <v>经营性</v>
      </c>
      <c r="C6" s="2307" t="s">
        <v>1377</v>
      </c>
      <c r="D6" s="1054">
        <f>SUMIF(项目基本情况!D$12:I$12,C6,项目基本情况!D$14:I$14)</f>
        <v>40</v>
      </c>
      <c r="E6" s="1051">
        <f>IF(B6="","",SUMIF(项目基本情况!D$12:I$12,C6,项目基本情况!D$13:I$13))</f>
        <v>54716</v>
      </c>
      <c r="F6" s="72">
        <f>SUMIF(项目基本情况!D$12:I$12,C6,项目基本情况!D$15:I$15)</f>
        <v>31.5</v>
      </c>
      <c r="G6" s="73">
        <f>IF(ISERROR(ROUND(POWER(1+H6,D6-F6)*(POWER(1+H6,F6)-1)/(POWER(1+H6,D6)-1),3)),0,ROUND(POWER(1+H6,D6-F6)*(POWER(1+H6,F6)-1)/(POWER(1+H6,D6)-1),3))</f>
        <v>0.90600000000000003</v>
      </c>
      <c r="H6" s="802">
        <v>4.4999999999999998E-2</v>
      </c>
      <c r="I6" s="802">
        <v>5.5E-2</v>
      </c>
      <c r="J6" s="74">
        <v>8.5000000000000006E-2</v>
      </c>
      <c r="K6" s="1254">
        <f>SUMIF('数据-汇总表'!C$19:C$33,A6,'数据-汇总表'!E$19:E$33)</f>
        <v>37575</v>
      </c>
      <c r="L6" s="803">
        <v>4000</v>
      </c>
      <c r="M6" s="75">
        <f t="shared" ref="M6:M14" si="0">ROUND(K6*L6/10000,0)</f>
        <v>15030</v>
      </c>
      <c r="N6" s="801">
        <v>0.1</v>
      </c>
      <c r="O6" s="75">
        <f>IF($N$5="成新度","——",ROUND(M6*N6,0))</f>
        <v>1503</v>
      </c>
      <c r="P6" s="76">
        <f>IF($N$5="成新度","——",M6-O6)</f>
        <v>13527</v>
      </c>
      <c r="Q6" s="804">
        <v>0.1</v>
      </c>
      <c r="R6" s="77">
        <f ca="1">SUMIF('数据-汇总表'!C$19:C$33,A6,'数据-汇总表'!R$19:R$27)</f>
        <v>11527.2</v>
      </c>
      <c r="S6" s="54">
        <f>IF('数据-汇总表'!$I$17="按面积比例",SUMIF('数据-汇总表'!C$19:C$33,A6,'数据-汇总表'!K$19:K$33),SUMIF('数据-汇总表'!C$19:C$33,A6,'数据-汇总表'!N$19:N$33))</f>
        <v>0</v>
      </c>
      <c r="T6" s="1446">
        <f>ROUND($L$14*S6/10000,0)</f>
        <v>0</v>
      </c>
      <c r="U6" s="2999">
        <v>3.5</v>
      </c>
      <c r="V6" s="3401">
        <v>2.5000000000000001E-2</v>
      </c>
      <c r="W6" s="79">
        <v>0.1</v>
      </c>
      <c r="X6" s="1264"/>
      <c r="Y6" s="80">
        <v>1</v>
      </c>
      <c r="Z6" s="81"/>
      <c r="AA6" s="74"/>
      <c r="AB6" s="74"/>
      <c r="AC6" s="1264"/>
      <c r="AD6" s="82">
        <v>1</v>
      </c>
      <c r="AE6" s="1265">
        <f ca="1">IF(AN6="",0,SUMIF(INDIRECT("'"&amp;AN6&amp;"'"&amp;"!E:E"),$AE$5,INDIRECT("'"&amp;AN6&amp;"'"&amp;"!F:F")))</f>
        <v>30.15</v>
      </c>
      <c r="AF6" s="1807"/>
      <c r="AG6" s="147">
        <f>IF(AF6="",0,AE6-AF6)</f>
        <v>0</v>
      </c>
      <c r="AH6" s="83"/>
      <c r="AI6" s="85">
        <v>365</v>
      </c>
      <c r="AJ6" s="86"/>
      <c r="AK6" s="87">
        <v>1.4999999999999999E-2</v>
      </c>
      <c r="AL6" s="88">
        <v>2E-3</v>
      </c>
      <c r="AM6" s="89">
        <v>1.4999999999999999E-2</v>
      </c>
      <c r="AN6" s="2308" t="s">
        <v>3117</v>
      </c>
      <c r="AO6" s="55">
        <f ca="1">SUMIF(INDIRECT("'"&amp;AN6&amp;"'"&amp;"!A:A"),"总价",INDIRECT("'"&amp;AN6&amp;"'"&amp;"!B:B"))</f>
        <v>314698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3.5">
      <c r="A7" s="2305" t="str">
        <f>'数据-汇总表'!C20</f>
        <v>车库</v>
      </c>
      <c r="B7" s="2306" t="str">
        <f t="shared" ref="B7:B13" si="1">IF(A7=0,"","经营性")</f>
        <v>经营性</v>
      </c>
      <c r="C7" s="2307" t="s">
        <v>3087</v>
      </c>
      <c r="D7" s="1054">
        <f>SUMIF(项目基本情况!D$12:I$12,C7,项目基本情况!D$14:I$14)</f>
        <v>50</v>
      </c>
      <c r="E7" s="1051">
        <f>IF(B7="","",SUMIF(项目基本情况!D$12:I$12,C7,项目基本情况!D$13:I$13))</f>
        <v>58368</v>
      </c>
      <c r="F7" s="72">
        <f>SUMIF(项目基本情况!D$12:I$12,C7,项目基本情况!D$15:I$15)</f>
        <v>41.51</v>
      </c>
      <c r="G7" s="73">
        <f t="shared" ref="G7:G11" si="2">IF(ISERROR(ROUND(POWER(1+H7,D7-F7)*(POWER(1+H7,F7)-1)/(POWER(1+H7,D7)-1),3)),0,ROUND(POWER(1+H7,D7-F7)*(POWER(1+H7,F7)-1)/(POWER(1+H7,D7)-1),3))</f>
        <v>0.94399999999999995</v>
      </c>
      <c r="H7" s="802">
        <v>4.4999999999999998E-2</v>
      </c>
      <c r="I7" s="802">
        <v>5.5E-2</v>
      </c>
      <c r="J7" s="74">
        <v>8.5000000000000006E-2</v>
      </c>
      <c r="K7" s="1254">
        <f>SUMIF('数据-汇总表'!C$19:C$33,A7,'数据-汇总表'!E$19:E$33)</f>
        <v>129385</v>
      </c>
      <c r="L7" s="803">
        <v>4000</v>
      </c>
      <c r="M7" s="75">
        <f t="shared" si="0"/>
        <v>51754</v>
      </c>
      <c r="N7" s="801">
        <v>0.1</v>
      </c>
      <c r="O7" s="75">
        <f t="shared" ref="O7:O14" si="3">IF($N$5="成新度","——",ROUND(M7*N7,0))</f>
        <v>5175</v>
      </c>
      <c r="P7" s="76">
        <f t="shared" ref="P7:P14" si="4">IF($N$5="成新度","——",M7-O7)</f>
        <v>46579</v>
      </c>
      <c r="Q7" s="804">
        <v>0.1</v>
      </c>
      <c r="R7" s="77">
        <f ca="1">SUMIF('数据-汇总表'!C$19:C$33,A7,'数据-汇总表'!R$19:R$27)</f>
        <v>39692.54</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3.5" hidden="1">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3.5" hidden="1">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3.5" hidden="1">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3.5" hidden="1">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3.5" hidden="1">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3.5" hidden="1">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3.5">
      <c r="A14" s="2310" t="s">
        <v>2005</v>
      </c>
      <c r="B14" s="2306" t="s">
        <v>2006</v>
      </c>
      <c r="C14" s="2311" t="s">
        <v>2005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2007</v>
      </c>
      <c r="B15" s="2306" t="s">
        <v>2006</v>
      </c>
      <c r="C15" s="2311" t="s">
        <v>2008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4.25" thickBot="1">
      <c r="A16" s="2312" t="s">
        <v>2009</v>
      </c>
      <c r="B16" s="97"/>
      <c r="C16" s="1008"/>
      <c r="D16" s="2313"/>
      <c r="E16" s="97"/>
      <c r="F16" s="97"/>
      <c r="G16" s="98">
        <f>ROUND(SUMPRODUCT(G6:G13,K6:K13)/SUMPRODUCT((G6:G13&gt;0)*(K6:K13)),3)</f>
        <v>0.93500000000000005</v>
      </c>
      <c r="H16" s="99">
        <f>ROUND(SUMPRODUCT(H6:H13,K6:K13)/SUMPRODUCT((H6:H13&gt;0)*(K6:K13)),3)</f>
        <v>4.4999999999999998E-2</v>
      </c>
      <c r="I16" s="100"/>
      <c r="J16" s="100"/>
      <c r="K16" s="101">
        <f>SUM(K6:K15)</f>
        <v>166960</v>
      </c>
      <c r="L16" s="102">
        <f>ROUND(M16*10000/SUM(K6:K14),0)</f>
        <v>4000</v>
      </c>
      <c r="M16" s="102">
        <f>SUM(M6:M14)</f>
        <v>66784</v>
      </c>
      <c r="N16" s="103">
        <f>ROUND(SUMPRODUCT(M6:M14,N6:N14)/M16,3)</f>
        <v>0.1</v>
      </c>
      <c r="O16" s="102">
        <f>SUM(O6:O14)</f>
        <v>6678</v>
      </c>
      <c r="P16" s="102">
        <f>SUM(P6:P14)</f>
        <v>60106</v>
      </c>
      <c r="Q16" s="104">
        <f>ROUND(SUMPRODUCT(Q6:Q13,K6:K13)/SUMPRODUCT((Q6:Q13&gt;0)*(K6:K13)),2)</f>
        <v>0.1</v>
      </c>
      <c r="R16" s="1258">
        <f ca="1">SUM(R6:R13)</f>
        <v>51219.740000000005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2997" t="s">
        <v>3092</v>
      </c>
      <c r="O17" s="1584"/>
      <c r="P17" s="1584"/>
      <c r="Q17" s="1584"/>
      <c r="R17" s="1584"/>
      <c r="S17" s="1584"/>
      <c r="T17" s="1584">
        <f ca="1">假设开发法!B2</f>
        <v>141677</v>
      </c>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3.9" thickBot="1">
      <c r="A18" s="68" t="s">
        <v>2010</v>
      </c>
      <c r="B18" s="2279"/>
      <c r="C18" s="2276"/>
      <c r="D18" s="2277"/>
      <c r="E18" s="2276"/>
      <c r="F18" s="2276"/>
      <c r="G18" s="2276"/>
      <c r="H18" s="2276"/>
      <c r="I18" s="2276"/>
      <c r="J18" s="2276"/>
      <c r="K18" s="168"/>
      <c r="L18" s="168"/>
      <c r="M18" s="1584"/>
      <c r="N18" s="2997" t="s">
        <v>3093</v>
      </c>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3.5">
      <c r="A19" s="2315" t="s">
        <v>2011</v>
      </c>
      <c r="B19" s="112">
        <v>0</v>
      </c>
      <c r="C19" s="2276" t="s">
        <v>2012</v>
      </c>
      <c r="D19" s="2277"/>
      <c r="E19" s="2276"/>
      <c r="F19" s="2276"/>
      <c r="G19" s="2276"/>
      <c r="H19" s="2276"/>
      <c r="I19" s="2276"/>
      <c r="J19" s="2276"/>
      <c r="K19" s="168"/>
      <c r="L19" s="168"/>
      <c r="M19" s="1584"/>
      <c r="N19" s="2997" t="s">
        <v>3094</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3.5">
      <c r="A20" s="2316" t="s">
        <v>2013</v>
      </c>
      <c r="B20" s="113">
        <v>1.5</v>
      </c>
      <c r="C20" s="2276" t="s">
        <v>2014</v>
      </c>
      <c r="D20" s="2277"/>
      <c r="E20" s="2276"/>
      <c r="F20" s="2276"/>
      <c r="G20" s="2276"/>
      <c r="H20" s="2276"/>
      <c r="I20" s="2276"/>
      <c r="J20" s="2276"/>
      <c r="K20" s="168"/>
      <c r="L20" s="168"/>
      <c r="M20" s="1584"/>
      <c r="N20" s="2998"/>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3.5">
      <c r="A21" s="2317" t="s">
        <v>2015</v>
      </c>
      <c r="B21" s="113">
        <v>0.15</v>
      </c>
      <c r="C21" s="3353">
        <f>ROUND(B21/B20,3)</f>
        <v>0.1</v>
      </c>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3.5">
      <c r="A22" s="2316" t="s">
        <v>2016</v>
      </c>
      <c r="B22" s="114">
        <f>B19+B20</f>
        <v>1.5</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3.5">
      <c r="A23" s="2317" t="s">
        <v>2017</v>
      </c>
      <c r="B23" s="114">
        <f>B19+B21</f>
        <v>0.15</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3.9" thickBot="1">
      <c r="A24" s="2318" t="s">
        <v>2018</v>
      </c>
      <c r="B24" s="115">
        <f>B20-B21</f>
        <v>1.35</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3.9"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3.9" thickBot="1">
      <c r="A26" s="2275" t="s">
        <v>2019</v>
      </c>
      <c r="B26" s="2319" t="s">
        <v>2020</v>
      </c>
      <c r="C26" s="2320" t="s">
        <v>2021</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4">
      <c r="A27" s="2321" t="s">
        <v>2022</v>
      </c>
      <c r="B27" s="116">
        <v>160</v>
      </c>
      <c r="C27" s="1767" t="s">
        <v>2023</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4">
      <c r="A28" s="2324" t="s">
        <v>2024</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7.75" thickBot="1">
      <c r="A29" s="2326" t="s">
        <v>2025</v>
      </c>
      <c r="B29" s="121">
        <v>0</v>
      </c>
      <c r="C29" s="1767" t="s">
        <v>2026</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2027</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2028</v>
      </c>
      <c r="B31" s="120">
        <f>B30-B32</f>
        <v>80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4" thickBot="1">
      <c r="A32" s="2328" t="s">
        <v>2029</v>
      </c>
      <c r="B32" s="725">
        <v>120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3.5">
      <c r="A33" s="2321" t="s">
        <v>2030</v>
      </c>
      <c r="B33" s="726">
        <v>0.05</v>
      </c>
      <c r="C33" s="1766" t="s">
        <v>2031</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3.5">
      <c r="A34" s="2324" t="s">
        <v>2032</v>
      </c>
      <c r="B34" s="122">
        <v>0</v>
      </c>
      <c r="C34" s="1766" t="s">
        <v>2033</v>
      </c>
      <c r="D34" s="2277" t="s">
        <v>2034</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3.5">
      <c r="A35" s="2324" t="s">
        <v>2035</v>
      </c>
      <c r="B35" s="119">
        <v>200</v>
      </c>
      <c r="C35" s="1766" t="s">
        <v>2036</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3.9" thickBot="1">
      <c r="A36" s="2326" t="s">
        <v>2037</v>
      </c>
      <c r="B36" s="123">
        <v>1.4999999999999999E-2</v>
      </c>
      <c r="C36" s="1766" t="s">
        <v>2038</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3.5">
      <c r="A37" s="2327" t="s">
        <v>2039</v>
      </c>
      <c r="B37" s="124">
        <v>0.02</v>
      </c>
      <c r="C37" s="1766" t="s">
        <v>2040</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3.5">
      <c r="A38" s="2324" t="s">
        <v>2041</v>
      </c>
      <c r="B38" s="122">
        <v>0.02</v>
      </c>
      <c r="C38" s="1766" t="s">
        <v>2040</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3.5">
      <c r="A39" s="2328" t="s">
        <v>2042</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3.9" thickBot="1">
      <c r="A40" s="2328" t="s">
        <v>2043</v>
      </c>
      <c r="B40" s="1303">
        <f ca="1">存贷款利率!G1</f>
        <v>4.7500000000000001E-2</v>
      </c>
      <c r="C40" s="1766" t="s">
        <v>2044</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3.9">
      <c r="A41" s="2321" t="s">
        <v>2045</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3.5">
      <c r="A42" s="2329" t="s">
        <v>2046</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3.5">
      <c r="A43" s="2329" t="s">
        <v>2047</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3.5">
      <c r="A44" s="2331" t="s">
        <v>2048</v>
      </c>
      <c r="B44" s="128">
        <v>7.0000000000000007E-2</v>
      </c>
      <c r="C44" s="1766" t="s">
        <v>2049</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3.5">
      <c r="A45" s="2331" t="s">
        <v>2050</v>
      </c>
      <c r="B45" s="126">
        <v>0.03</v>
      </c>
      <c r="C45" s="1767" t="s">
        <v>2051</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3.5">
      <c r="A46" s="2331" t="s">
        <v>2052</v>
      </c>
      <c r="B46" s="126">
        <v>0.02</v>
      </c>
      <c r="C46" s="1767" t="s">
        <v>2053</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3.9" thickBot="1">
      <c r="A47" s="2332" t="s">
        <v>2054</v>
      </c>
      <c r="B47" s="129">
        <v>0</v>
      </c>
      <c r="C47" s="1767" t="s">
        <v>2055</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3.5">
      <c r="A48" s="2333" t="s">
        <v>2056</v>
      </c>
      <c r="B48" s="130">
        <v>0.03</v>
      </c>
      <c r="C48" s="1774" t="s">
        <v>2057</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3.9" thickBot="1">
      <c r="A49" s="2328" t="s">
        <v>2058</v>
      </c>
      <c r="B49" s="126">
        <v>5.0000000000000001E-4</v>
      </c>
      <c r="C49" s="1774" t="s">
        <v>2059</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3.9">
      <c r="A50" s="2334" t="s">
        <v>2060</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4.25" thickBot="1">
      <c r="A51" s="2326" t="s">
        <v>2061</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3.5">
      <c r="A52" s="2334" t="s">
        <v>2062</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2063</v>
      </c>
      <c r="B53" s="2335" t="s">
        <v>56</v>
      </c>
      <c r="C53" s="1430" t="s">
        <v>2064</v>
      </c>
      <c r="D53" s="2336" t="s">
        <v>2065</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3.5">
      <c r="A54" s="2337" t="s">
        <v>2066</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3.5">
      <c r="A55" s="2337" t="s">
        <v>2067</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3.5">
      <c r="A56" s="2337" t="s">
        <v>2068</v>
      </c>
      <c r="B56" s="84">
        <v>18</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3.5">
      <c r="A57" s="2337" t="s">
        <v>2069</v>
      </c>
      <c r="B57" s="84">
        <v>12</v>
      </c>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3.5">
      <c r="A58" s="2337" t="s">
        <v>2070</v>
      </c>
      <c r="B58" s="84">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3.5">
      <c r="A59" s="2337" t="s">
        <v>2071</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3.5">
      <c r="A60" s="2337" t="s">
        <v>2072</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3.5">
      <c r="A61" s="2337" t="s">
        <v>2073</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3.5">
      <c r="A62" s="2337" t="s">
        <v>2074</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3.9" thickBot="1">
      <c r="A63" s="2339" t="s">
        <v>2075</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7"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5"/>
  <cols>
    <col min="1" max="1" width="9.46484375" style="2368" customWidth="1"/>
    <col min="2" max="2" width="24.46484375" style="2416" customWidth="1"/>
    <col min="3" max="3" width="24.46484375" style="2415" customWidth="1"/>
    <col min="4" max="4" width="2.59765625" style="2415" customWidth="1"/>
    <col min="5" max="5" width="5.86328125" style="2415" customWidth="1"/>
    <col min="6" max="6" width="27" style="2416" customWidth="1"/>
    <col min="7" max="7" width="27" style="2417" customWidth="1"/>
    <col min="8" max="8" width="11.86328125" style="2395" customWidth="1"/>
    <col min="9" max="9" width="16.73046875" style="2396" customWidth="1"/>
    <col min="10" max="10" width="2.59765625" style="2395" customWidth="1"/>
    <col min="11" max="11" width="11.86328125" style="2395" customWidth="1"/>
    <col min="12" max="12" width="16.73046875" style="2396" customWidth="1"/>
    <col min="13" max="13" width="2.59765625" style="2395" customWidth="1"/>
    <col min="14" max="14" width="11.86328125" style="2395" customWidth="1"/>
    <col min="15" max="15" width="16.73046875" style="2396" customWidth="1"/>
    <col min="16" max="16" width="2.59765625" style="2395" customWidth="1"/>
    <col min="17" max="17" width="11.86328125" style="2395" customWidth="1"/>
    <col min="18" max="18" width="16.73046875" style="2397" customWidth="1"/>
    <col min="19" max="29" width="9" style="2367"/>
    <col min="30" max="16384" width="9" style="2368"/>
  </cols>
  <sheetData>
    <row r="1" spans="1:29" s="2361" customFormat="1" ht="18" thickBot="1">
      <c r="A1" s="3116" t="s">
        <v>2076</v>
      </c>
      <c r="B1" s="3117"/>
      <c r="C1" s="3117"/>
      <c r="D1" s="3117"/>
      <c r="E1" s="3117"/>
      <c r="F1" s="3117"/>
      <c r="G1" s="311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4.25" thickBot="1">
      <c r="A2" s="2362"/>
      <c r="B2" s="2363"/>
      <c r="C2" s="2364" t="s">
        <v>2077</v>
      </c>
      <c r="D2" s="2365"/>
      <c r="E2" s="2366"/>
      <c r="F2" s="2285"/>
      <c r="G2" s="2364" t="s">
        <v>2078</v>
      </c>
      <c r="H2" s="2367"/>
      <c r="I2" s="2367"/>
      <c r="J2" s="2367"/>
      <c r="K2" s="2367"/>
      <c r="L2" s="2367"/>
      <c r="M2" s="2367"/>
      <c r="N2" s="2367"/>
      <c r="O2" s="2367"/>
      <c r="P2" s="2367"/>
      <c r="Q2" s="2367"/>
      <c r="R2" s="2367"/>
    </row>
    <row r="3" spans="1:29" ht="27">
      <c r="A3" s="415" t="s">
        <v>2079</v>
      </c>
      <c r="B3" s="1271" t="s">
        <v>2080</v>
      </c>
      <c r="C3" s="2369"/>
      <c r="D3" s="2370"/>
      <c r="E3" s="431" t="s">
        <v>2079</v>
      </c>
      <c r="F3" s="2371" t="s">
        <v>2081</v>
      </c>
      <c r="G3" s="2372"/>
      <c r="H3" s="2367"/>
      <c r="I3" s="2367"/>
      <c r="J3" s="2367"/>
      <c r="K3" s="2367"/>
      <c r="L3" s="2367"/>
      <c r="M3" s="2367"/>
      <c r="N3" s="2367"/>
      <c r="O3" s="2367"/>
      <c r="P3" s="2367"/>
      <c r="Q3" s="2367"/>
      <c r="R3" s="2367"/>
    </row>
    <row r="4" spans="1:29" ht="13.9">
      <c r="A4" s="431"/>
      <c r="B4" s="1798" t="s">
        <v>2082</v>
      </c>
      <c r="C4" s="2373"/>
      <c r="D4" s="2370"/>
      <c r="E4" s="2374"/>
      <c r="F4" s="42" t="s">
        <v>2083</v>
      </c>
      <c r="G4" s="2375"/>
      <c r="H4" s="2367"/>
      <c r="I4" s="2367"/>
      <c r="J4" s="2367"/>
      <c r="K4" s="2367"/>
      <c r="L4" s="2367"/>
      <c r="M4" s="2367"/>
      <c r="N4" s="2367"/>
      <c r="O4" s="2367"/>
      <c r="P4" s="2367"/>
      <c r="Q4" s="2367"/>
      <c r="R4" s="2367"/>
    </row>
    <row r="5" spans="1:29" ht="13.9">
      <c r="A5" s="431"/>
      <c r="B5" s="1798" t="s">
        <v>2084</v>
      </c>
      <c r="C5" s="2373"/>
      <c r="D5" s="2370"/>
      <c r="E5" s="2374"/>
      <c r="F5" s="1798" t="s">
        <v>2085</v>
      </c>
      <c r="G5" s="2375"/>
      <c r="H5" s="2367"/>
      <c r="I5" s="2367"/>
      <c r="J5" s="2367"/>
      <c r="K5" s="2367"/>
      <c r="L5" s="2367"/>
      <c r="M5" s="2367"/>
      <c r="N5" s="2367"/>
      <c r="O5" s="2367"/>
      <c r="P5" s="2367"/>
      <c r="Q5" s="2367"/>
      <c r="R5" s="2367"/>
    </row>
    <row r="6" spans="1:29" ht="13.9">
      <c r="A6" s="431"/>
      <c r="B6" s="1798" t="s">
        <v>2086</v>
      </c>
      <c r="C6" s="2375"/>
      <c r="D6" s="2370"/>
      <c r="E6" s="2374"/>
      <c r="F6" s="1798" t="s">
        <v>2087</v>
      </c>
      <c r="G6" s="2375"/>
      <c r="H6" s="2367"/>
      <c r="I6" s="2367"/>
      <c r="J6" s="2367"/>
      <c r="K6" s="2367"/>
      <c r="L6" s="2367"/>
      <c r="M6" s="2367"/>
      <c r="N6" s="2367"/>
      <c r="O6" s="2367"/>
      <c r="P6" s="2367"/>
      <c r="Q6" s="2367"/>
      <c r="R6" s="2367"/>
    </row>
    <row r="7" spans="1:29" ht="14.25" thickBot="1">
      <c r="A7" s="431"/>
      <c r="B7" s="1798" t="s">
        <v>2085</v>
      </c>
      <c r="C7" s="2375"/>
      <c r="D7" s="2376"/>
      <c r="E7" s="2377"/>
      <c r="F7" s="2378" t="s">
        <v>2088</v>
      </c>
      <c r="G7" s="2379"/>
      <c r="H7" s="2367"/>
      <c r="I7" s="2367"/>
      <c r="J7" s="2367"/>
      <c r="K7" s="2367"/>
      <c r="L7" s="2367"/>
      <c r="M7" s="2367"/>
      <c r="N7" s="2367"/>
      <c r="O7" s="2367"/>
      <c r="P7" s="2367"/>
      <c r="Q7" s="2367"/>
      <c r="R7" s="2367"/>
    </row>
    <row r="8" spans="1:29" ht="13.9">
      <c r="A8" s="431"/>
      <c r="B8" s="1798" t="s">
        <v>2087</v>
      </c>
      <c r="C8" s="2375"/>
      <c r="D8" s="2376"/>
      <c r="E8" s="2376"/>
      <c r="F8" s="1136"/>
      <c r="G8" s="1136"/>
      <c r="H8" s="2367"/>
      <c r="I8" s="2367"/>
      <c r="J8" s="2367"/>
      <c r="K8" s="2367"/>
      <c r="L8" s="2367"/>
      <c r="M8" s="2367"/>
      <c r="N8" s="2367"/>
      <c r="O8" s="2367"/>
      <c r="P8" s="2367"/>
      <c r="Q8" s="2367"/>
      <c r="R8" s="2367"/>
    </row>
    <row r="9" spans="1:29" ht="13.9">
      <c r="A9" s="431"/>
      <c r="B9" s="1798" t="s">
        <v>2089</v>
      </c>
      <c r="C9" s="2373"/>
      <c r="D9" s="2370"/>
      <c r="E9" s="2376"/>
      <c r="F9" s="1136"/>
      <c r="G9" s="1136"/>
      <c r="H9" s="2367"/>
      <c r="I9" s="2367"/>
      <c r="J9" s="2367"/>
      <c r="K9" s="2367"/>
      <c r="L9" s="2367"/>
      <c r="M9" s="2367"/>
      <c r="N9" s="2367"/>
      <c r="O9" s="2367"/>
      <c r="P9" s="2367"/>
      <c r="Q9" s="2367"/>
      <c r="R9" s="2367"/>
    </row>
    <row r="10" spans="1:29" s="117" customFormat="1" ht="14.25" thickBot="1">
      <c r="A10" s="2380"/>
      <c r="B10" s="2381" t="s">
        <v>2090</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3.9">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7.649999999999999">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 thickBot="1">
      <c r="A13" s="2393" t="s">
        <v>2091</v>
      </c>
      <c r="B13" s="2387"/>
      <c r="C13" s="2387"/>
      <c r="D13" s="2394"/>
      <c r="E13" s="2387"/>
      <c r="F13" s="2387"/>
      <c r="G13" s="2387"/>
    </row>
    <row r="14" spans="1:29" ht="14.25" thickBot="1">
      <c r="A14" s="2398"/>
      <c r="B14" s="2399"/>
      <c r="C14" s="2400" t="s">
        <v>2092</v>
      </c>
      <c r="D14" s="2370"/>
      <c r="E14" s="2401"/>
      <c r="F14" s="2401"/>
      <c r="G14" s="2364" t="s">
        <v>2093</v>
      </c>
    </row>
    <row r="15" spans="1:29" ht="27">
      <c r="A15" s="68" t="s">
        <v>2094</v>
      </c>
      <c r="B15" s="1270" t="s">
        <v>2080</v>
      </c>
      <c r="C15" s="2402">
        <f>C3</f>
        <v>0</v>
      </c>
      <c r="D15" s="2370"/>
      <c r="E15" s="2403" t="s">
        <v>2095</v>
      </c>
      <c r="F15" s="1270" t="s">
        <v>2096</v>
      </c>
      <c r="G15" s="135">
        <f>G3</f>
        <v>0</v>
      </c>
    </row>
    <row r="16" spans="1:29" ht="13.9">
      <c r="A16" s="645"/>
      <c r="B16" s="2404" t="s">
        <v>2082</v>
      </c>
      <c r="C16" s="2405">
        <f>C4</f>
        <v>0</v>
      </c>
      <c r="D16" s="2370"/>
      <c r="E16" s="2406"/>
      <c r="F16" s="2407" t="s">
        <v>2083</v>
      </c>
      <c r="G16" s="136">
        <f>G4</f>
        <v>0</v>
      </c>
    </row>
    <row r="17" spans="1:18" ht="13.9">
      <c r="A17" s="645"/>
      <c r="B17" s="2404" t="s">
        <v>2084</v>
      </c>
      <c r="C17" s="2405">
        <f>C5</f>
        <v>0</v>
      </c>
      <c r="D17" s="2376"/>
      <c r="E17" s="2406"/>
      <c r="F17" s="2407" t="s">
        <v>2097</v>
      </c>
      <c r="G17" s="1572"/>
    </row>
    <row r="18" spans="1:18" ht="13.9">
      <c r="A18" s="645"/>
      <c r="B18" s="2407" t="s">
        <v>2086</v>
      </c>
      <c r="C18" s="136">
        <f>C6</f>
        <v>0</v>
      </c>
      <c r="D18" s="2376"/>
      <c r="E18" s="2406"/>
      <c r="F18" s="2407" t="s">
        <v>2088</v>
      </c>
      <c r="G18" s="136">
        <f>G7</f>
        <v>0</v>
      </c>
    </row>
    <row r="19" spans="1:18" ht="13.9">
      <c r="A19" s="645"/>
      <c r="B19" s="2407" t="s">
        <v>2098</v>
      </c>
      <c r="C19" s="1572"/>
      <c r="D19" s="2370"/>
      <c r="E19" s="2406"/>
      <c r="F19" s="1798" t="s">
        <v>2085</v>
      </c>
      <c r="G19" s="136">
        <f>G5</f>
        <v>0</v>
      </c>
    </row>
    <row r="20" spans="1:18" ht="13.9">
      <c r="A20" s="645"/>
      <c r="B20" s="2407" t="s">
        <v>2099</v>
      </c>
      <c r="C20" s="2405">
        <f>C9</f>
        <v>0</v>
      </c>
      <c r="D20" s="2376"/>
      <c r="E20" s="2406"/>
      <c r="F20" s="1798" t="s">
        <v>2100</v>
      </c>
      <c r="G20" s="136">
        <f>G6</f>
        <v>0</v>
      </c>
    </row>
    <row r="21" spans="1:18" ht="13.9">
      <c r="A21" s="645"/>
      <c r="B21" s="1798" t="s">
        <v>2085</v>
      </c>
      <c r="C21" s="136">
        <f>C7</f>
        <v>0</v>
      </c>
      <c r="D21" s="2370"/>
      <c r="E21" s="2406"/>
      <c r="F21" s="2407" t="s">
        <v>2101</v>
      </c>
      <c r="G21" s="2408"/>
    </row>
    <row r="22" spans="1:18" ht="13.5" customHeight="1">
      <c r="A22" s="645"/>
      <c r="B22" s="1798" t="s">
        <v>2087</v>
      </c>
      <c r="C22" s="136">
        <f>C8</f>
        <v>0</v>
      </c>
      <c r="D22" s="2370"/>
      <c r="E22" s="2406"/>
      <c r="F22" s="2407" t="s">
        <v>2090</v>
      </c>
      <c r="G22" s="1572"/>
    </row>
    <row r="23" spans="1:18" s="2367" customFormat="1" ht="14.25" thickBot="1">
      <c r="A23" s="645"/>
      <c r="B23" s="2407" t="s">
        <v>2101</v>
      </c>
      <c r="C23" s="2408"/>
      <c r="D23" s="2395"/>
      <c r="E23" s="2409"/>
      <c r="F23" s="2410" t="s">
        <v>2102</v>
      </c>
      <c r="G23" s="2411"/>
      <c r="H23" s="2395"/>
      <c r="I23" s="2396"/>
      <c r="J23" s="2395"/>
      <c r="K23" s="2395"/>
      <c r="L23" s="2396"/>
      <c r="M23" s="2395"/>
      <c r="N23" s="2395"/>
      <c r="O23" s="2396"/>
      <c r="P23" s="2395"/>
      <c r="Q23" s="2395"/>
      <c r="R23" s="2397"/>
    </row>
    <row r="24" spans="1:18" s="2367" customFormat="1" ht="14.25" thickBot="1">
      <c r="A24" s="2412"/>
      <c r="B24" s="2410" t="s">
        <v>2103</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5" sqref="C15"/>
    </sheetView>
  </sheetViews>
  <sheetFormatPr defaultColWidth="9" defaultRowHeight="13.5"/>
  <cols>
    <col min="1" max="1" width="23.3984375" style="1741" customWidth="1"/>
    <col min="2" max="9" width="15.73046875" style="1741" customWidth="1"/>
    <col min="10" max="16384" width="9" style="1741"/>
  </cols>
  <sheetData>
    <row r="1" spans="1:10" ht="15.75">
      <c r="A1" s="1746" t="s">
        <v>1365</v>
      </c>
      <c r="B1" s="1746">
        <f>SUM(B14:B23)</f>
        <v>166960</v>
      </c>
      <c r="C1" s="1745"/>
      <c r="D1" s="1745"/>
      <c r="E1" s="1745"/>
      <c r="F1" s="1745"/>
      <c r="G1" s="1743"/>
    </row>
    <row r="2" spans="1:10" ht="15.75">
      <c r="A2" s="1746" t="s">
        <v>1353</v>
      </c>
      <c r="B2" s="1746">
        <f>SUM(C14:C23)</f>
        <v>51219.74</v>
      </c>
      <c r="C2" s="1745"/>
      <c r="D2" s="1745"/>
      <c r="E2" s="1745"/>
      <c r="F2" s="1745"/>
      <c r="G2" s="1743"/>
    </row>
    <row r="3" spans="1:10" ht="15">
      <c r="A3" s="1746" t="s">
        <v>1362</v>
      </c>
      <c r="B3" s="1747">
        <f>项目基本情况!D3</f>
        <v>43215</v>
      </c>
      <c r="C3" s="1745"/>
      <c r="D3" s="1745"/>
      <c r="E3" s="1745"/>
      <c r="F3" s="1745"/>
      <c r="G3" s="1743"/>
    </row>
    <row r="4" spans="1:10" ht="30">
      <c r="A4" s="1746" t="s">
        <v>1361</v>
      </c>
      <c r="B4" s="1746" t="s">
        <v>1360</v>
      </c>
      <c r="C4" s="1746" t="s">
        <v>1359</v>
      </c>
      <c r="D4" s="1746" t="s">
        <v>1358</v>
      </c>
      <c r="E4" s="1745"/>
      <c r="F4" s="1743"/>
      <c r="G4" s="1743"/>
    </row>
    <row r="5" spans="1:10" ht="15">
      <c r="A5" s="1746" t="s">
        <v>1357</v>
      </c>
      <c r="B5" s="1746">
        <f ca="1">SUM(D14:D23)</f>
        <v>121466</v>
      </c>
      <c r="C5" s="1746">
        <f ca="1">ROUND(B5*10000/$B$1,0)</f>
        <v>7275</v>
      </c>
      <c r="D5" s="1746">
        <f ca="1">ROUND(B5*10000/$B$2,0)</f>
        <v>23715</v>
      </c>
      <c r="E5" s="1745"/>
      <c r="F5" s="1743"/>
      <c r="G5" s="1743"/>
    </row>
    <row r="6" spans="1:10" ht="15">
      <c r="A6" s="1746" t="s">
        <v>1356</v>
      </c>
      <c r="B6" s="1746">
        <f ca="1">SUM(G14:G23)</f>
        <v>121466</v>
      </c>
      <c r="C6" s="1746">
        <f ca="1">ROUND(B6*10000/$B$1,0)</f>
        <v>7275</v>
      </c>
      <c r="D6" s="1746">
        <f ca="1">ROUND(B6*10000/$B$2,0)</f>
        <v>23715</v>
      </c>
      <c r="E6" s="1745"/>
      <c r="F6" s="1743"/>
      <c r="G6" s="1743"/>
    </row>
    <row r="7" spans="1:10" ht="15">
      <c r="A7" s="1746" t="s">
        <v>1364</v>
      </c>
      <c r="B7" s="1746">
        <f>SUM(H14:H23)</f>
        <v>0</v>
      </c>
      <c r="C7" s="1746">
        <f>ROUND(B7*10000/$B$1,0)</f>
        <v>0</v>
      </c>
      <c r="D7" s="1746">
        <f>ROUND(B7*10000/$B$2,0)</f>
        <v>0</v>
      </c>
      <c r="E7" s="1745"/>
      <c r="F7" s="1743"/>
      <c r="G7" s="1743"/>
    </row>
    <row r="8" spans="1:10" ht="15">
      <c r="A8" s="1746" t="s">
        <v>1285</v>
      </c>
      <c r="B8" s="1746">
        <f>SUM(I14:I23)</f>
        <v>0</v>
      </c>
      <c r="C8" s="1746">
        <f>ROUND(B8*10000/$B$1,0)</f>
        <v>0</v>
      </c>
      <c r="D8" s="1746">
        <f>ROUND(B8*10000/$B$2,0)</f>
        <v>0</v>
      </c>
      <c r="E8" s="1745"/>
      <c r="F8" s="1743"/>
      <c r="G8" s="1743"/>
    </row>
    <row r="9" spans="1:10" ht="15">
      <c r="A9" s="1746" t="s">
        <v>1355</v>
      </c>
      <c r="B9" s="1748"/>
      <c r="C9" s="1745"/>
      <c r="D9" s="1745"/>
      <c r="E9" s="1745"/>
      <c r="F9" s="1743"/>
      <c r="G9" s="1743"/>
    </row>
    <row r="10" spans="1:10" ht="15">
      <c r="A10" s="1746" t="s">
        <v>1354</v>
      </c>
      <c r="B10" s="1748"/>
      <c r="C10" s="1745"/>
      <c r="D10" s="1745"/>
      <c r="E10" s="1745"/>
      <c r="F10" s="1743"/>
      <c r="G10" s="1743"/>
    </row>
    <row r="11" spans="1:10" ht="15">
      <c r="A11" s="1746" t="s">
        <v>1370</v>
      </c>
      <c r="B11" s="1748"/>
      <c r="C11" s="1745"/>
      <c r="D11" s="1745"/>
      <c r="E11" s="1745"/>
      <c r="F11" s="1743"/>
      <c r="G11" s="1743"/>
    </row>
    <row r="12" spans="1:10" ht="15">
      <c r="A12" s="1745"/>
      <c r="B12" s="1745"/>
      <c r="C12" s="1745"/>
      <c r="D12" s="1745"/>
      <c r="E12" s="1745"/>
      <c r="F12" s="1743"/>
      <c r="G12" s="1743"/>
    </row>
    <row r="13" spans="1:10" ht="30.75">
      <c r="A13" s="1751" t="s">
        <v>1369</v>
      </c>
      <c r="B13" s="1744" t="s">
        <v>1366</v>
      </c>
      <c r="C13" s="1744" t="s">
        <v>1368</v>
      </c>
      <c r="D13" s="1744" t="s">
        <v>1367</v>
      </c>
      <c r="E13" s="1746" t="s">
        <v>1359</v>
      </c>
      <c r="F13" s="1746" t="s">
        <v>1358</v>
      </c>
      <c r="G13" s="1744" t="s">
        <v>1352</v>
      </c>
      <c r="H13" s="1744" t="s">
        <v>1363</v>
      </c>
      <c r="I13" s="1744" t="s">
        <v>1351</v>
      </c>
      <c r="J13" s="1743"/>
    </row>
    <row r="14" spans="1:10" ht="15">
      <c r="A14" s="1742" t="s">
        <v>1350</v>
      </c>
      <c r="B14" s="1744">
        <f>结果表!B118</f>
        <v>166960</v>
      </c>
      <c r="C14" s="1744">
        <f>结果表!C118</f>
        <v>51219.74</v>
      </c>
      <c r="D14" s="1744">
        <f ca="1">结果表!H118</f>
        <v>121466</v>
      </c>
      <c r="E14" s="1744">
        <f ca="1">ROUND(D14*10000/B14,0)</f>
        <v>7275</v>
      </c>
      <c r="F14" s="1744">
        <f ca="1">ROUND(D14*10000/C14,0)</f>
        <v>23715</v>
      </c>
      <c r="G14" s="1744">
        <f ca="1">结果表!D122</f>
        <v>121466</v>
      </c>
      <c r="H14" s="1744" t="str">
        <f>结果表!D124</f>
        <v>——</v>
      </c>
      <c r="I14" s="1744" t="str">
        <f>结果表!D126</f>
        <v>——</v>
      </c>
      <c r="J14" s="1743"/>
    </row>
    <row r="15" spans="1:10" ht="15">
      <c r="A15" s="1742" t="s">
        <v>1349</v>
      </c>
      <c r="B15" s="1749"/>
      <c r="C15" s="1749"/>
      <c r="D15" s="1749"/>
      <c r="E15" s="1744" t="e">
        <f t="shared" ref="E15:E23" si="0">ROUND(D15*10000/B15,0)</f>
        <v>#DIV/0!</v>
      </c>
      <c r="F15" s="1744" t="e">
        <f t="shared" ref="F15:F23" si="1">ROUND(D15*10000/C15,0)</f>
        <v>#DIV/0!</v>
      </c>
      <c r="G15" s="1750"/>
      <c r="H15" s="1750"/>
      <c r="I15" s="1749"/>
      <c r="J15" s="1743"/>
    </row>
    <row r="16" spans="1:10" ht="15">
      <c r="A16" s="1742" t="s">
        <v>1348</v>
      </c>
      <c r="B16" s="1749"/>
      <c r="C16" s="1749"/>
      <c r="D16" s="1749"/>
      <c r="E16" s="1744" t="e">
        <f t="shared" si="0"/>
        <v>#DIV/0!</v>
      </c>
      <c r="F16" s="1744" t="e">
        <f t="shared" si="1"/>
        <v>#DIV/0!</v>
      </c>
      <c r="G16" s="1750"/>
      <c r="H16" s="1750"/>
      <c r="I16" s="1749"/>
    </row>
    <row r="17" spans="1:9" ht="15">
      <c r="A17" s="1742" t="s">
        <v>1347</v>
      </c>
      <c r="B17" s="1749"/>
      <c r="C17" s="1749"/>
      <c r="D17" s="1749"/>
      <c r="E17" s="1744" t="e">
        <f t="shared" si="0"/>
        <v>#DIV/0!</v>
      </c>
      <c r="F17" s="1744" t="e">
        <f t="shared" si="1"/>
        <v>#DIV/0!</v>
      </c>
      <c r="G17" s="1750"/>
      <c r="H17" s="1750"/>
      <c r="I17" s="1749"/>
    </row>
    <row r="18" spans="1:9" ht="15">
      <c r="A18" s="1742" t="s">
        <v>1346</v>
      </c>
      <c r="B18" s="1749"/>
      <c r="C18" s="1749"/>
      <c r="D18" s="1749"/>
      <c r="E18" s="1744" t="e">
        <f t="shared" si="0"/>
        <v>#DIV/0!</v>
      </c>
      <c r="F18" s="1744" t="e">
        <f t="shared" si="1"/>
        <v>#DIV/0!</v>
      </c>
      <c r="G18" s="1749"/>
      <c r="H18" s="1749"/>
      <c r="I18" s="1749"/>
    </row>
    <row r="19" spans="1:9" ht="15">
      <c r="A19" s="1742" t="s">
        <v>1345</v>
      </c>
      <c r="B19" s="1749"/>
      <c r="C19" s="1749"/>
      <c r="D19" s="1749"/>
      <c r="E19" s="1744" t="e">
        <f t="shared" si="0"/>
        <v>#DIV/0!</v>
      </c>
      <c r="F19" s="1744" t="e">
        <f t="shared" si="1"/>
        <v>#DIV/0!</v>
      </c>
      <c r="G19" s="1749"/>
      <c r="H19" s="1749"/>
      <c r="I19" s="1749"/>
    </row>
    <row r="20" spans="1:9" ht="15">
      <c r="A20" s="1742" t="s">
        <v>1344</v>
      </c>
      <c r="B20" s="1749"/>
      <c r="C20" s="1749"/>
      <c r="D20" s="1749"/>
      <c r="E20" s="1744" t="e">
        <f t="shared" si="0"/>
        <v>#DIV/0!</v>
      </c>
      <c r="F20" s="1744" t="e">
        <f t="shared" si="1"/>
        <v>#DIV/0!</v>
      </c>
      <c r="G20" s="1749"/>
      <c r="H20" s="1749"/>
      <c r="I20" s="1749"/>
    </row>
    <row r="21" spans="1:9" ht="15">
      <c r="A21" s="1742" t="s">
        <v>1343</v>
      </c>
      <c r="B21" s="1749"/>
      <c r="C21" s="1749"/>
      <c r="D21" s="1749"/>
      <c r="E21" s="1744" t="e">
        <f t="shared" si="0"/>
        <v>#DIV/0!</v>
      </c>
      <c r="F21" s="1744" t="e">
        <f t="shared" si="1"/>
        <v>#DIV/0!</v>
      </c>
      <c r="G21" s="1749"/>
      <c r="H21" s="1749"/>
      <c r="I21" s="1749"/>
    </row>
    <row r="22" spans="1:9" ht="15">
      <c r="A22" s="1742" t="s">
        <v>1342</v>
      </c>
      <c r="B22" s="1749"/>
      <c r="C22" s="1749"/>
      <c r="D22" s="1749"/>
      <c r="E22" s="1744" t="e">
        <f t="shared" si="0"/>
        <v>#DIV/0!</v>
      </c>
      <c r="F22" s="1744" t="e">
        <f t="shared" si="1"/>
        <v>#DIV/0!</v>
      </c>
      <c r="G22" s="1749"/>
      <c r="H22" s="1749"/>
      <c r="I22" s="1749"/>
    </row>
    <row r="23" spans="1:9" ht="1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AI512"/>
  <sheetViews>
    <sheetView tabSelected="1" view="pageBreakPreview" topLeftCell="A115" zoomScaleNormal="100" zoomScaleSheetLayoutView="100" zoomScalePageLayoutView="80" workbookViewId="0">
      <selection activeCell="F131" sqref="F131"/>
    </sheetView>
  </sheetViews>
  <sheetFormatPr defaultColWidth="12.59765625" defaultRowHeight="21.75" customHeight="1"/>
  <cols>
    <col min="1" max="2" width="12.59765625" style="2424"/>
    <col min="3" max="4" width="12.59765625" style="2424" customWidth="1"/>
    <col min="5" max="9" width="12.59765625" style="2424"/>
    <col min="10" max="11" width="12.59765625" style="795" customWidth="1"/>
    <col min="12" max="12" width="12.59765625" style="795"/>
    <col min="13" max="13" width="14.1328125" style="795" bestFit="1" customWidth="1"/>
    <col min="14" max="26" width="12.59765625" style="795"/>
    <col min="27" max="35" width="12.59765625" style="2423"/>
    <col min="36" max="16384" width="12.59765625" style="2424"/>
  </cols>
  <sheetData>
    <row r="1" spans="1:12" ht="21.75" customHeight="1" thickBot="1">
      <c r="A1" s="2224" t="s">
        <v>2104</v>
      </c>
      <c r="B1" s="2418"/>
      <c r="C1" s="2419"/>
      <c r="D1" s="2418"/>
      <c r="E1" s="2418"/>
      <c r="F1" s="2420" t="s">
        <v>2105</v>
      </c>
      <c r="G1" s="2070" t="s">
        <v>2106</v>
      </c>
      <c r="H1" s="2421" t="str">
        <f>IF(G1="现房","——","估价对象范围")</f>
        <v>估价对象范围</v>
      </c>
      <c r="I1" s="2422" t="s">
        <v>3124</v>
      </c>
    </row>
    <row r="2" spans="1:12" ht="21.75" customHeight="1" thickBot="1">
      <c r="A2" s="3190" t="str">
        <f>项目基本情况!S2</f>
        <v>北京市丰台区花乡新发地农副产品批发市场B地块出让国有建设用地使用权及在建建筑物房地产</v>
      </c>
      <c r="B2" s="3191"/>
      <c r="C2" s="3191"/>
      <c r="D2" s="3191"/>
      <c r="E2" s="3191"/>
      <c r="F2" s="3191"/>
      <c r="G2" s="3191"/>
      <c r="H2" s="3191"/>
      <c r="I2" s="3192"/>
    </row>
    <row r="3" spans="1:12" ht="12.75">
      <c r="A3" s="3193" t="s">
        <v>2107</v>
      </c>
      <c r="B3" s="3194"/>
      <c r="C3" s="3194"/>
      <c r="D3" s="3194"/>
      <c r="E3" s="3194"/>
      <c r="F3" s="3194"/>
      <c r="G3" s="3194"/>
      <c r="H3" s="3194"/>
      <c r="I3" s="3194"/>
    </row>
    <row r="4" spans="1:12" ht="13.5">
      <c r="A4" s="2425" t="s">
        <v>2108</v>
      </c>
      <c r="B4" s="2426" t="s">
        <v>2109</v>
      </c>
      <c r="C4" s="2427" t="s">
        <v>3122</v>
      </c>
      <c r="D4" s="2427" t="s">
        <v>3123</v>
      </c>
      <c r="E4" s="3174" t="s">
        <v>2110</v>
      </c>
      <c r="F4" s="3187"/>
      <c r="G4" s="3187"/>
      <c r="H4" s="3187"/>
      <c r="I4" s="317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165" t="s">
        <v>2111</v>
      </c>
      <c r="B5" s="3066">
        <v>25</v>
      </c>
      <c r="C5" s="3195"/>
      <c r="D5" s="3183"/>
      <c r="E5" s="140" t="s">
        <v>2112</v>
      </c>
      <c r="F5" s="2429"/>
      <c r="G5" s="2429"/>
      <c r="H5" s="2429"/>
      <c r="I5" s="1834"/>
    </row>
    <row r="6" spans="1:12" ht="12.75" hidden="1">
      <c r="A6" s="3165"/>
      <c r="B6" s="3066"/>
      <c r="C6" s="3197"/>
      <c r="D6" s="3183"/>
      <c r="E6" s="140" t="s">
        <v>2113</v>
      </c>
      <c r="F6" s="2429"/>
      <c r="G6" s="2429"/>
      <c r="H6" s="2429"/>
      <c r="I6" s="1834"/>
    </row>
    <row r="7" spans="1:12" ht="12.75" hidden="1">
      <c r="A7" s="3165"/>
      <c r="B7" s="3066"/>
      <c r="C7" s="3196"/>
      <c r="D7" s="3183"/>
      <c r="E7" s="140" t="s">
        <v>2114</v>
      </c>
      <c r="F7" s="2429"/>
      <c r="G7" s="2429"/>
      <c r="H7" s="2429"/>
      <c r="I7" s="1834"/>
    </row>
    <row r="8" spans="1:12" ht="12.75" hidden="1">
      <c r="A8" s="3165" t="s">
        <v>2115</v>
      </c>
      <c r="B8" s="3066">
        <v>15</v>
      </c>
      <c r="C8" s="3195"/>
      <c r="D8" s="3183"/>
      <c r="E8" s="140" t="s">
        <v>2116</v>
      </c>
      <c r="F8" s="2429"/>
      <c r="G8" s="2429"/>
      <c r="H8" s="2429"/>
      <c r="I8" s="1834"/>
    </row>
    <row r="9" spans="1:12" ht="12.75" hidden="1">
      <c r="A9" s="3165"/>
      <c r="B9" s="3066"/>
      <c r="C9" s="3196"/>
      <c r="D9" s="3183"/>
      <c r="E9" s="140" t="s">
        <v>2117</v>
      </c>
      <c r="F9" s="2429"/>
      <c r="G9" s="2429"/>
      <c r="H9" s="2429"/>
      <c r="I9" s="1834"/>
    </row>
    <row r="10" spans="1:12" ht="12.75" hidden="1">
      <c r="A10" s="3165" t="s">
        <v>2118</v>
      </c>
      <c r="B10" s="3066">
        <v>15</v>
      </c>
      <c r="C10" s="3195"/>
      <c r="D10" s="3183"/>
      <c r="E10" s="140" t="s">
        <v>2119</v>
      </c>
      <c r="F10" s="2429"/>
      <c r="G10" s="2429"/>
      <c r="H10" s="2429"/>
      <c r="I10" s="1834"/>
    </row>
    <row r="11" spans="1:12" ht="12.75" hidden="1">
      <c r="A11" s="3165"/>
      <c r="B11" s="3066"/>
      <c r="C11" s="3196"/>
      <c r="D11" s="3183"/>
      <c r="E11" s="140" t="s">
        <v>2120</v>
      </c>
      <c r="F11" s="2429"/>
      <c r="G11" s="2429"/>
      <c r="H11" s="2429"/>
      <c r="I11" s="1834"/>
    </row>
    <row r="12" spans="1:12" ht="13.15" hidden="1">
      <c r="A12" s="3165" t="s">
        <v>2121</v>
      </c>
      <c r="B12" s="3066">
        <v>15</v>
      </c>
      <c r="C12" s="3195"/>
      <c r="D12" s="3183"/>
      <c r="E12" s="140" t="s">
        <v>2122</v>
      </c>
      <c r="F12" s="2429"/>
      <c r="G12" s="2429"/>
      <c r="H12" s="2429"/>
      <c r="I12" s="1834"/>
    </row>
    <row r="13" spans="1:12" ht="13.15" hidden="1">
      <c r="A13" s="3165"/>
      <c r="B13" s="3066"/>
      <c r="C13" s="3196"/>
      <c r="D13" s="3183"/>
      <c r="E13" s="140" t="s">
        <v>2123</v>
      </c>
      <c r="F13" s="2429"/>
      <c r="G13" s="2429"/>
      <c r="H13" s="2429"/>
      <c r="I13" s="1834"/>
    </row>
    <row r="14" spans="1:12" ht="12.75" hidden="1">
      <c r="A14" s="3165" t="s">
        <v>2124</v>
      </c>
      <c r="B14" s="3066">
        <v>30</v>
      </c>
      <c r="C14" s="3195">
        <v>50</v>
      </c>
      <c r="D14" s="3183">
        <f>100-C14</f>
        <v>50</v>
      </c>
      <c r="E14" s="140" t="s">
        <v>2125</v>
      </c>
      <c r="F14" s="2429"/>
      <c r="G14" s="2429"/>
      <c r="H14" s="2429"/>
      <c r="I14" s="1834"/>
    </row>
    <row r="15" spans="1:12" ht="12.75" hidden="1">
      <c r="A15" s="3165"/>
      <c r="B15" s="3066"/>
      <c r="C15" s="3197"/>
      <c r="D15" s="3183"/>
      <c r="E15" s="140" t="s">
        <v>2126</v>
      </c>
      <c r="F15" s="2429"/>
      <c r="G15" s="2429"/>
      <c r="H15" s="2429"/>
      <c r="I15" s="1834"/>
    </row>
    <row r="16" spans="1:12" ht="12.75">
      <c r="A16" s="3165"/>
      <c r="B16" s="3066"/>
      <c r="C16" s="3196"/>
      <c r="D16" s="3183"/>
      <c r="E16" s="140" t="s">
        <v>2127</v>
      </c>
      <c r="F16" s="2429"/>
      <c r="G16" s="2429"/>
      <c r="H16" s="2429"/>
      <c r="I16" s="1834"/>
    </row>
    <row r="17" spans="1:35" ht="13.9">
      <c r="A17" s="2430" t="s">
        <v>2128</v>
      </c>
      <c r="B17" s="64"/>
      <c r="C17" s="141">
        <f>SUM(C5:C16)</f>
        <v>50</v>
      </c>
      <c r="D17" s="141">
        <f>SUM(D5:D16)</f>
        <v>50</v>
      </c>
      <c r="E17" s="138"/>
      <c r="F17" s="138"/>
      <c r="G17" s="138"/>
      <c r="H17" s="138"/>
      <c r="I17" s="138"/>
      <c r="K17" s="2428"/>
      <c r="L17" s="2431" t="s">
        <v>2129</v>
      </c>
      <c r="M17" s="2431" t="s">
        <v>2130</v>
      </c>
    </row>
    <row r="18" spans="1:35" ht="14.25" thickBot="1">
      <c r="A18" s="2432" t="s">
        <v>2131</v>
      </c>
      <c r="B18" s="2433"/>
      <c r="C18" s="142">
        <f>ROUND(C17/SUM(C17:D17),2)</f>
        <v>0.5</v>
      </c>
      <c r="D18" s="142">
        <f>1-C18</f>
        <v>0.5</v>
      </c>
      <c r="E18" s="138"/>
      <c r="F18" s="138"/>
      <c r="G18" s="138"/>
      <c r="H18" s="138"/>
      <c r="I18" s="138"/>
      <c r="K18" s="2428" t="s">
        <v>2132</v>
      </c>
      <c r="L18" s="2428">
        <f>IF(C1="",'数据-汇总表'!E3,SUMIF(项目类型,C1,'数据-汇总表'!E17:E26)+SUMIF(项目类型,C1,'数据-汇总表'!I17:I26))</f>
        <v>166960</v>
      </c>
      <c r="M18" s="2428">
        <f>IF(C1="",'数据-汇总表'!E3,SUMIF(项目类型,C1,'数据-汇总表'!E17:E26))</f>
        <v>166960</v>
      </c>
    </row>
    <row r="19" spans="1:35" ht="13.9">
      <c r="A19" s="2434" t="s">
        <v>2133</v>
      </c>
      <c r="B19" s="2435" t="s">
        <v>2134</v>
      </c>
      <c r="C19" s="143">
        <f ca="1">SUMIF(INDIRECT("'"&amp;C4&amp;"'"&amp;"!A:A"),结果表!B19,INDIRECT("'"&amp;C4&amp;"'"&amp;"!B:B"))</f>
        <v>140415</v>
      </c>
      <c r="D19" s="144">
        <f ca="1">SUMIF(INDIRECT("'"&amp;D4&amp;"'"&amp;"!A:A"),结果表!B19,INDIRECT("'"&amp;D4&amp;"'"&amp;"!B:B"))</f>
        <v>141677</v>
      </c>
      <c r="E19" s="2434" t="s">
        <v>2135</v>
      </c>
      <c r="F19" s="2435" t="s">
        <v>2134</v>
      </c>
      <c r="G19" s="145">
        <f ca="1">ROUND(C19*$C$18+D19*$D$18,0)</f>
        <v>141046</v>
      </c>
      <c r="H19" s="2436" t="s">
        <v>2136</v>
      </c>
      <c r="I19" s="138"/>
      <c r="K19" s="2428" t="s">
        <v>2137</v>
      </c>
      <c r="L19" s="2428">
        <f>IF(C1="",'数据-汇总表'!D3,SUMIF(项目类型,C1,'数据-汇总表'!D17:D26)+SUMIF(项目类型,C1,'数据-汇总表'!H17:H27))</f>
        <v>51219.74</v>
      </c>
      <c r="M19" s="2428">
        <f>IF(C1="",'数据-汇总表'!D3,SUMIF(项目类型,C1,'数据-汇总表'!D17:D26))</f>
        <v>51219.74</v>
      </c>
    </row>
    <row r="20" spans="1:35" ht="13.9">
      <c r="A20" s="2437"/>
      <c r="B20" s="1250" t="s">
        <v>2138</v>
      </c>
      <c r="C20" s="146">
        <f ca="1">SUMIF(INDIRECT("'"&amp;C4&amp;"'"&amp;"!A:A"),结果表!B20,INDIRECT("'"&amp;C4&amp;"'"&amp;"!B:B"))</f>
        <v>8410</v>
      </c>
      <c r="D20" s="147">
        <f ca="1">SUMIF(INDIRECT("'"&amp;D4&amp;"'"&amp;"!A:A"),结果表!B20,INDIRECT("'"&amp;D4&amp;"'"&amp;"!B:B"))</f>
        <v>8486</v>
      </c>
      <c r="E20" s="2437"/>
      <c r="F20" s="1250" t="s">
        <v>2138</v>
      </c>
      <c r="G20" s="148">
        <f ca="1">ROUND(C20*$C$18+D20*$D$18,0)</f>
        <v>8448</v>
      </c>
      <c r="H20" s="983" t="s">
        <v>2139</v>
      </c>
      <c r="I20" s="138"/>
    </row>
    <row r="21" spans="1:35" ht="15" customHeight="1" thickBot="1">
      <c r="A21" s="1003"/>
      <c r="B21" s="2438" t="s">
        <v>2140</v>
      </c>
      <c r="C21" s="789">
        <f ca="1">ROUND(C19*10000/L19,0)</f>
        <v>27414</v>
      </c>
      <c r="D21" s="790">
        <f ca="1">ROUND(D19*10000/L19,0)</f>
        <v>27661</v>
      </c>
      <c r="E21" s="1003"/>
      <c r="F21" s="2438" t="s">
        <v>2140</v>
      </c>
      <c r="G21" s="149">
        <f ca="1">ROUND(G19*10000/L19,0)</f>
        <v>27537</v>
      </c>
      <c r="H21" s="2439" t="s">
        <v>2139</v>
      </c>
      <c r="I21" s="138"/>
    </row>
    <row r="22" spans="1:35" ht="13.9" thickBot="1">
      <c r="A22" s="2280" t="s">
        <v>2141</v>
      </c>
      <c r="B22" s="2440"/>
      <c r="C22" s="2441"/>
      <c r="D22" s="791">
        <f ca="1">IF(C19&lt;D19,D19/C19-1,C19/D19-1)</f>
        <v>8.987643770252518E-3</v>
      </c>
      <c r="E22" s="138"/>
      <c r="F22" s="138"/>
      <c r="G22" s="138"/>
      <c r="H22" s="138"/>
      <c r="I22" s="138"/>
    </row>
    <row r="23" spans="1:35" ht="13.15" thickBot="1">
      <c r="A23" s="2418"/>
      <c r="B23" s="2418"/>
      <c r="C23" s="2418"/>
      <c r="D23" s="2418"/>
      <c r="E23" s="138"/>
      <c r="F23" s="138"/>
      <c r="G23" s="138"/>
      <c r="H23" s="138"/>
      <c r="I23" s="138"/>
    </row>
    <row r="24" spans="1:35" ht="13.9" thickBot="1">
      <c r="A24" s="3204" t="s">
        <v>2142</v>
      </c>
      <c r="B24" s="2435" t="s">
        <v>2134</v>
      </c>
      <c r="C24" s="145">
        <f>IF(B30=0,0,D30)</f>
        <v>19580</v>
      </c>
      <c r="D24" s="2442"/>
      <c r="E24" s="3404" t="s">
        <v>3126</v>
      </c>
      <c r="F24" s="138"/>
      <c r="G24" s="138"/>
      <c r="H24" s="138"/>
      <c r="I24" s="138"/>
    </row>
    <row r="25" spans="1:35" ht="13.5" hidden="1">
      <c r="A25" s="3205"/>
      <c r="B25" s="1250" t="s">
        <v>2138</v>
      </c>
      <c r="C25" s="150">
        <f>IF(B30=0,0,C30)</f>
        <v>0</v>
      </c>
      <c r="D25" s="2443"/>
      <c r="E25" s="138"/>
      <c r="F25" s="138"/>
      <c r="G25" s="138"/>
      <c r="H25" s="138"/>
      <c r="I25" s="138"/>
    </row>
    <row r="26" spans="1:35" ht="13.5" hidden="1" customHeight="1">
      <c r="A26" s="2444" t="s">
        <v>2143</v>
      </c>
      <c r="B26" s="151" t="s">
        <v>2144</v>
      </c>
      <c r="C26" s="151" t="s">
        <v>2145</v>
      </c>
      <c r="D26" s="152" t="s">
        <v>2146</v>
      </c>
      <c r="E26" s="138"/>
      <c r="F26" s="138"/>
      <c r="G26" s="138"/>
      <c r="H26" s="138"/>
      <c r="I26" s="138"/>
    </row>
    <row r="27" spans="1:35" ht="13.5" hidden="1">
      <c r="A27" s="2444"/>
      <c r="B27" s="151"/>
      <c r="C27" s="151"/>
      <c r="D27" s="152"/>
      <c r="E27" s="138"/>
      <c r="F27" s="138"/>
      <c r="G27" s="138"/>
      <c r="H27" s="138"/>
      <c r="I27" s="138"/>
    </row>
    <row r="28" spans="1:35" ht="13.5" hidden="1">
      <c r="A28" s="2444"/>
      <c r="B28" s="151"/>
      <c r="C28" s="151"/>
      <c r="D28" s="152"/>
      <c r="E28" s="138"/>
      <c r="F28" s="138"/>
      <c r="G28" s="138"/>
      <c r="H28" s="138"/>
      <c r="I28" s="138"/>
    </row>
    <row r="29" spans="1:35" ht="13.5" hidden="1">
      <c r="A29" s="2444"/>
      <c r="B29" s="151"/>
      <c r="C29" s="151"/>
      <c r="D29" s="152"/>
      <c r="E29" s="138"/>
      <c r="F29" s="138"/>
      <c r="G29" s="138"/>
      <c r="H29" s="138"/>
      <c r="I29" s="138"/>
    </row>
    <row r="30" spans="1:35" ht="13.5" hidden="1">
      <c r="A30" s="151" t="s">
        <v>2147</v>
      </c>
      <c r="B30" s="151">
        <f>'数据-汇总表'!E3</f>
        <v>166960</v>
      </c>
      <c r="C30" s="151"/>
      <c r="D30" s="151">
        <f>ROUND(19000*(1+3.05%),0)</f>
        <v>19580</v>
      </c>
      <c r="E30" s="2926" t="s">
        <v>3016</v>
      </c>
      <c r="F30" s="138"/>
      <c r="G30" s="138"/>
      <c r="H30" s="138"/>
      <c r="I30" s="138"/>
    </row>
    <row r="31" spans="1:35" s="2446" customFormat="1" ht="13.9" hidden="1" thickBot="1">
      <c r="A31" s="2445"/>
      <c r="B31" s="2445"/>
      <c r="C31" s="2445"/>
      <c r="D31" s="2445"/>
      <c r="E31" s="3404"/>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4.25" thickBot="1">
      <c r="A32" s="2447" t="s">
        <v>2148</v>
      </c>
      <c r="B32" s="2448"/>
      <c r="C32" s="153">
        <f ca="1">IF(D32="总价",G19-C24,G20-C25)</f>
        <v>121466</v>
      </c>
      <c r="D32" s="2449" t="s">
        <v>2149</v>
      </c>
      <c r="E32" s="138"/>
      <c r="F32" s="138"/>
      <c r="G32" s="138"/>
      <c r="H32" s="138"/>
      <c r="I32" s="138"/>
    </row>
    <row r="33" spans="1:15" ht="13.9">
      <c r="A33" s="960" t="s">
        <v>2150</v>
      </c>
      <c r="B33" s="2450"/>
      <c r="C33" s="2451" t="s">
        <v>3125</v>
      </c>
      <c r="D33" s="2452" t="s">
        <v>3122</v>
      </c>
      <c r="E33" s="2453" t="s">
        <v>2151</v>
      </c>
      <c r="F33" s="2454" t="str">
        <f>IF(D32="楼面单价","取值（单价）","取值（总价）")</f>
        <v>取值（总价）</v>
      </c>
      <c r="G33" s="138"/>
      <c r="H33" s="138"/>
      <c r="I33" s="138"/>
    </row>
    <row r="34" spans="1:15" ht="13.9">
      <c r="A34" s="2455"/>
      <c r="B34" s="2456" t="s">
        <v>2152</v>
      </c>
      <c r="C34" s="157">
        <f ca="1">IF(C33="自定义",F34,C32-C35)</f>
        <v>113571</v>
      </c>
      <c r="D34" s="1058">
        <f ca="1">IF(C33="自定义",ROUND(C34/C32,3),IF(C33="收益比率",SUMIF(INDIRECT("'"&amp;D33&amp;"'"&amp;"!b:b"),"土地收益比率",INDIRECT("'"&amp;D33&amp;"'"&amp;"!c:c")),SUMIF(INDIRECT("'"&amp;D33&amp;"'"&amp;"!b:b"),"土地成本比率",INDIRECT("'"&amp;D33&amp;"'"&amp;"!c:c"))))</f>
        <v>0.93500000000000005</v>
      </c>
      <c r="E34" s="2457" t="s">
        <v>2153</v>
      </c>
      <c r="F34" s="1739"/>
      <c r="G34" s="138"/>
      <c r="H34" s="138"/>
      <c r="I34" s="138"/>
    </row>
    <row r="35" spans="1:15" ht="14.25" thickBot="1">
      <c r="A35" s="2458"/>
      <c r="B35" s="2459" t="s">
        <v>2154</v>
      </c>
      <c r="C35" s="1444">
        <f ca="1">IF(C33="自定义",F35,ROUND(C32*D35,0))</f>
        <v>7895</v>
      </c>
      <c r="D35" s="1445">
        <f ca="1">IF(C33="自定义",ROUND(C35/C32,3),IF(C33="收益比率",SUMIF(INDIRECT("'"&amp;D33&amp;"'"&amp;"!b:b"),"建筑物收益比率",INDIRECT("'"&amp;D33&amp;"'"&amp;"!c:c")),SUMIF(INDIRECT("'"&amp;D33&amp;"'"&amp;"!b:b"),"建筑物成本比率",INDIRECT("'"&amp;D33&amp;"'"&amp;"!c:c"))))</f>
        <v>6.5000000000000002E-2</v>
      </c>
      <c r="E35" s="2460" t="s">
        <v>2155</v>
      </c>
      <c r="F35" s="163"/>
      <c r="G35" s="138"/>
      <c r="H35" s="138"/>
      <c r="I35" s="138"/>
    </row>
    <row r="36" spans="1:15" ht="14.25" hidden="1" thickBot="1">
      <c r="A36" s="3184" t="s">
        <v>2156</v>
      </c>
      <c r="B36" s="2461" t="s">
        <v>2157</v>
      </c>
      <c r="C36" s="154"/>
      <c r="D36" s="2462"/>
      <c r="E36" s="2463"/>
      <c r="F36" s="2464"/>
      <c r="G36" s="138"/>
      <c r="H36" s="138"/>
      <c r="I36" s="138"/>
    </row>
    <row r="37" spans="1:15" ht="14.25" hidden="1" thickBot="1">
      <c r="A37" s="3185"/>
      <c r="B37" s="2266" t="s">
        <v>2158</v>
      </c>
      <c r="C37" s="156"/>
      <c r="D37" s="1395"/>
      <c r="E37" s="1395"/>
      <c r="F37" s="2464"/>
      <c r="G37" s="138"/>
      <c r="H37" s="138"/>
      <c r="I37" s="138"/>
    </row>
    <row r="38" spans="1:15" ht="14.25" hidden="1" thickBot="1">
      <c r="A38" s="3186"/>
      <c r="B38" s="2465" t="s">
        <v>2159</v>
      </c>
      <c r="C38" s="727"/>
      <c r="D38" s="2466" t="s">
        <v>2160</v>
      </c>
      <c r="E38" s="1395"/>
      <c r="F38" s="2464"/>
      <c r="G38" s="138"/>
      <c r="H38" s="138"/>
      <c r="I38" s="138"/>
    </row>
    <row r="39" spans="1:15" ht="13.9" hidden="1">
      <c r="A39" s="2437" t="s">
        <v>2161</v>
      </c>
      <c r="B39" s="2467" t="s">
        <v>2162</v>
      </c>
      <c r="C39" s="2468" t="s">
        <v>2163</v>
      </c>
      <c r="D39" s="2468" t="s">
        <v>2164</v>
      </c>
      <c r="E39" s="2469" t="s">
        <v>2165</v>
      </c>
      <c r="F39" s="2464"/>
      <c r="G39" s="138"/>
      <c r="H39" s="138"/>
      <c r="I39" s="138"/>
    </row>
    <row r="40" spans="1:15" ht="13.5" hidden="1">
      <c r="A40" s="2470" t="s">
        <v>2166</v>
      </c>
      <c r="B40" s="158"/>
      <c r="C40" s="159"/>
      <c r="D40" s="159"/>
      <c r="E40" s="160"/>
      <c r="F40" s="2464"/>
      <c r="G40" s="138"/>
      <c r="H40" s="138"/>
      <c r="I40" s="138"/>
    </row>
    <row r="41" spans="1:15" ht="13.5" hidden="1">
      <c r="A41" s="2470" t="s">
        <v>2167</v>
      </c>
      <c r="B41" s="158"/>
      <c r="C41" s="159"/>
      <c r="D41" s="159"/>
      <c r="E41" s="160"/>
      <c r="F41" s="2464"/>
      <c r="G41" s="138"/>
      <c r="H41" s="138"/>
      <c r="I41" s="138"/>
    </row>
    <row r="42" spans="1:15" ht="13.9" hidden="1" thickBot="1">
      <c r="A42" s="2471"/>
      <c r="B42" s="161"/>
      <c r="C42" s="162"/>
      <c r="D42" s="162"/>
      <c r="E42" s="163"/>
      <c r="F42" s="2464"/>
      <c r="G42" s="138"/>
      <c r="H42" s="138"/>
      <c r="I42" s="138"/>
    </row>
    <row r="43" spans="1:15" ht="12.75" hidden="1">
      <c r="A43" s="2164"/>
      <c r="B43" s="2164"/>
      <c r="C43" s="2164"/>
      <c r="D43" s="2164"/>
      <c r="E43" s="2164"/>
      <c r="F43" s="2472"/>
      <c r="G43" s="2472"/>
      <c r="H43" s="2472"/>
      <c r="I43" s="2473"/>
    </row>
    <row r="44" spans="1:15" ht="17.649999999999999" hidden="1">
      <c r="A44" s="2474" t="s">
        <v>2168</v>
      </c>
      <c r="B44" s="2475"/>
      <c r="C44" s="2475"/>
      <c r="D44" s="2476"/>
      <c r="E44" s="2476"/>
      <c r="F44" s="2477"/>
      <c r="G44" s="2477"/>
      <c r="H44" s="2477"/>
      <c r="I44" s="2477"/>
      <c r="J44" s="2478" t="s">
        <v>2169</v>
      </c>
      <c r="K44" s="2479"/>
      <c r="L44" s="2479"/>
      <c r="M44" s="2479"/>
      <c r="N44" s="2479"/>
      <c r="O44" s="2479"/>
    </row>
    <row r="45" spans="1:15" ht="14.25" hidden="1" customHeight="1" thickBot="1">
      <c r="A45" s="3201" t="s">
        <v>2170</v>
      </c>
      <c r="B45" s="3202"/>
      <c r="C45" s="3203"/>
      <c r="D45" s="164">
        <f ca="1">ROUND(H101*F45,0)</f>
        <v>121466</v>
      </c>
      <c r="E45" s="165" t="s">
        <v>2171</v>
      </c>
      <c r="F45" s="166">
        <v>1</v>
      </c>
      <c r="G45" s="167" t="s">
        <v>2172</v>
      </c>
      <c r="H45" s="138"/>
      <c r="I45" s="138"/>
      <c r="J45" s="3120" t="s">
        <v>2173</v>
      </c>
      <c r="K45" s="3120"/>
      <c r="L45" s="3120"/>
      <c r="M45" s="3120"/>
      <c r="N45" s="3120"/>
      <c r="O45" s="3120"/>
    </row>
    <row r="46" spans="1:15" ht="14.25" hidden="1" customHeight="1">
      <c r="A46" s="3198" t="s">
        <v>2174</v>
      </c>
      <c r="B46" s="3199"/>
      <c r="C46" s="3199"/>
      <c r="D46" s="3199"/>
      <c r="E46" s="3199"/>
      <c r="F46" s="3199"/>
      <c r="G46" s="3200"/>
      <c r="H46" s="2480"/>
      <c r="I46" s="168"/>
      <c r="J46" s="1812">
        <v>1</v>
      </c>
      <c r="K46" s="3120" t="s">
        <v>2175</v>
      </c>
      <c r="L46" s="3120"/>
      <c r="M46" s="3121"/>
      <c r="N46" s="3121"/>
      <c r="O46" s="3121"/>
    </row>
    <row r="47" spans="1:15" ht="12" hidden="1" customHeight="1">
      <c r="A47" s="169" t="s">
        <v>2176</v>
      </c>
      <c r="B47" s="170"/>
      <c r="C47" s="171"/>
      <c r="D47" s="172" t="s">
        <v>2177</v>
      </c>
      <c r="E47" s="24" t="s">
        <v>2178</v>
      </c>
      <c r="F47" s="173" t="s">
        <v>2179</v>
      </c>
      <c r="G47" s="174" t="s">
        <v>2180</v>
      </c>
      <c r="H47" s="2480"/>
      <c r="I47" s="168"/>
      <c r="J47" s="1812">
        <v>2</v>
      </c>
      <c r="K47" s="3120" t="s">
        <v>2181</v>
      </c>
      <c r="L47" s="3120"/>
      <c r="M47" s="3122">
        <f>'数据-取费表'!B2</f>
        <v>43215</v>
      </c>
      <c r="N47" s="3122"/>
      <c r="O47" s="3122"/>
    </row>
    <row r="48" spans="1:15" ht="25.5" hidden="1">
      <c r="A48" s="3188" t="s">
        <v>2182</v>
      </c>
      <c r="B48" s="3189"/>
      <c r="C48" s="3189"/>
      <c r="D48" s="140">
        <f ca="1">IF(H48="情况1",0,IF(H48="情况2",D52,IF(H48="情况3",D53,IF(H48="情况4",D54))))</f>
        <v>6478</v>
      </c>
      <c r="E48" s="1801" t="str">
        <f>IF(H48="情况4","(销售额-原购置价)×税（费）率","销售额×税（费）率")</f>
        <v>销售额×税（费）率</v>
      </c>
      <c r="F48" s="175">
        <f>IF(H48="情况1","免征",'数据-取费表'!B41)</f>
        <v>5.6000000000000001E-2</v>
      </c>
      <c r="G48" s="2481" t="s">
        <v>2183</v>
      </c>
      <c r="H48" s="2482" t="s">
        <v>3129</v>
      </c>
      <c r="I48" s="2480"/>
      <c r="J48" s="1812">
        <v>3</v>
      </c>
      <c r="K48" s="3120" t="s">
        <v>2184</v>
      </c>
      <c r="L48" s="3120"/>
      <c r="M48" s="3123">
        <f ca="1">H101</f>
        <v>121466</v>
      </c>
      <c r="N48" s="3123"/>
      <c r="O48" s="3123"/>
    </row>
    <row r="49" spans="1:35" ht="25.5" hidden="1" customHeight="1">
      <c r="A49" s="176" t="s">
        <v>2185</v>
      </c>
      <c r="B49" s="3168" t="s">
        <v>2186</v>
      </c>
      <c r="C49" s="3168"/>
      <c r="D49" s="177">
        <v>0</v>
      </c>
      <c r="E49" s="23" t="s">
        <v>2187</v>
      </c>
      <c r="F49" s="28" t="s">
        <v>34</v>
      </c>
      <c r="G49" s="3149"/>
      <c r="H49" s="138"/>
      <c r="I49" s="2483"/>
      <c r="J49" s="1812">
        <v>4</v>
      </c>
      <c r="K49" s="3120" t="str">
        <f>IF(项目基本情况!E8="房地产抵押价值","房地产抵押价值","抵押担保权已注销时的房地产抵押价值")</f>
        <v>房地产抵押价值</v>
      </c>
      <c r="L49" s="3120"/>
      <c r="M49" s="3123">
        <f ca="1">IF(项目基本情况!E8="房地产抵押价值",H107,H109)</f>
        <v>121466</v>
      </c>
      <c r="N49" s="3123"/>
      <c r="O49" s="3123"/>
    </row>
    <row r="50" spans="1:35" ht="25.5" hidden="1" customHeight="1">
      <c r="A50" s="178"/>
      <c r="B50" s="3168" t="s">
        <v>2188</v>
      </c>
      <c r="C50" s="3168"/>
      <c r="D50" s="179"/>
      <c r="E50" s="31"/>
      <c r="F50" s="180"/>
      <c r="G50" s="3150"/>
      <c r="H50" s="138"/>
      <c r="I50" s="2483"/>
      <c r="J50" s="3120" t="s">
        <v>2189</v>
      </c>
      <c r="K50" s="3120"/>
      <c r="L50" s="3120"/>
      <c r="M50" s="3120"/>
      <c r="N50" s="3120"/>
      <c r="O50" s="3120"/>
    </row>
    <row r="51" spans="1:35" ht="12" hidden="1" customHeight="1">
      <c r="A51" s="181"/>
      <c r="B51" s="3168" t="s">
        <v>2190</v>
      </c>
      <c r="C51" s="3168"/>
      <c r="D51" s="182"/>
      <c r="E51" s="30"/>
      <c r="F51" s="180"/>
      <c r="G51" s="3151"/>
      <c r="H51" s="138"/>
      <c r="I51" s="2483"/>
      <c r="J51" s="2484" t="s">
        <v>2191</v>
      </c>
      <c r="K51" s="3120" t="s">
        <v>2192</v>
      </c>
      <c r="L51" s="3120"/>
      <c r="M51" s="2484" t="s">
        <v>2193</v>
      </c>
      <c r="N51" s="2484" t="s">
        <v>2194</v>
      </c>
      <c r="O51" s="2484" t="s">
        <v>2195</v>
      </c>
    </row>
    <row r="52" spans="1:35" ht="24" hidden="1" customHeight="1">
      <c r="A52" s="183" t="s">
        <v>2196</v>
      </c>
      <c r="B52" s="3168" t="s">
        <v>2197</v>
      </c>
      <c r="C52" s="3168"/>
      <c r="D52" s="182">
        <f ca="1">ROUND(D45*'数据-取费表'!B41/(1+'数据-取费表'!C42),0)</f>
        <v>6478</v>
      </c>
      <c r="E52" s="11" t="s">
        <v>2198</v>
      </c>
      <c r="F52" s="184">
        <f>'数据-取费表'!B41</f>
        <v>5.6000000000000001E-2</v>
      </c>
      <c r="G52" s="2485"/>
      <c r="H52" s="138"/>
      <c r="I52" s="2483"/>
      <c r="J52" s="1812">
        <v>1</v>
      </c>
      <c r="K52" s="3143" t="s">
        <v>2199</v>
      </c>
      <c r="L52" s="3143"/>
      <c r="M52" s="1754">
        <f ca="1">D48</f>
        <v>6478</v>
      </c>
      <c r="N52" s="1812" t="str">
        <f>E48</f>
        <v>销售额×税（费）率</v>
      </c>
      <c r="O52" s="1755">
        <f>F48</f>
        <v>5.6000000000000001E-2</v>
      </c>
    </row>
    <row r="53" spans="1:35" ht="12" hidden="1" customHeight="1">
      <c r="A53" s="183" t="s">
        <v>2200</v>
      </c>
      <c r="B53" s="3169" t="s">
        <v>2201</v>
      </c>
      <c r="C53" s="3170"/>
      <c r="D53" s="182">
        <f ca="1">ROUND(D45*'数据-取费表'!B41/(1+'数据-取费表'!C42),0)</f>
        <v>6478</v>
      </c>
      <c r="E53" s="11" t="s">
        <v>2198</v>
      </c>
      <c r="F53" s="184">
        <f>'数据-取费表'!B41</f>
        <v>5.6000000000000001E-2</v>
      </c>
      <c r="G53" s="2485"/>
      <c r="H53" s="138"/>
      <c r="I53" s="2483"/>
      <c r="J53" s="1812">
        <v>2</v>
      </c>
      <c r="K53" s="3143" t="s">
        <v>2202</v>
      </c>
      <c r="L53" s="3143"/>
      <c r="M53" s="1754">
        <f t="shared" ref="M53:O54" ca="1" si="0">D55</f>
        <v>61</v>
      </c>
      <c r="N53" s="1812" t="str">
        <f t="shared" si="0"/>
        <v>销售额×税（费）率</v>
      </c>
      <c r="O53" s="1755">
        <f t="shared" si="0"/>
        <v>5.0000000000000001E-4</v>
      </c>
    </row>
    <row r="54" spans="1:35" ht="12" hidden="1" customHeight="1">
      <c r="A54" s="183" t="s">
        <v>2203</v>
      </c>
      <c r="B54" s="3169" t="s">
        <v>2204</v>
      </c>
      <c r="C54" s="3170"/>
      <c r="D54" s="182">
        <f ca="1">C68</f>
        <v>6478</v>
      </c>
      <c r="E54" s="30" t="s">
        <v>2205</v>
      </c>
      <c r="F54" s="184">
        <f>'数据-取费表'!B41</f>
        <v>5.6000000000000001E-2</v>
      </c>
      <c r="G54" s="2485"/>
      <c r="H54" s="2486"/>
      <c r="I54" s="2483"/>
      <c r="J54" s="1812">
        <v>3</v>
      </c>
      <c r="K54" s="3143" t="s">
        <v>2206</v>
      </c>
      <c r="L54" s="3143"/>
      <c r="M54" s="1754">
        <f t="shared" ca="1" si="0"/>
        <v>68750</v>
      </c>
      <c r="N54" s="1812" t="str">
        <f t="shared" si="0"/>
        <v>增值额×税（费）率</v>
      </c>
      <c r="O54" s="1756" t="str">
        <f t="shared" si="0"/>
        <v>——</v>
      </c>
    </row>
    <row r="55" spans="1:35" ht="24" hidden="1" customHeight="1">
      <c r="A55" s="3207" t="s">
        <v>2207</v>
      </c>
      <c r="B55" s="3189"/>
      <c r="C55" s="3189"/>
      <c r="D55" s="185">
        <f ca="1">IF(H55="个人住宅",0,ROUND(D45*I55,0))</f>
        <v>61</v>
      </c>
      <c r="E55" s="11" t="s">
        <v>2208</v>
      </c>
      <c r="F55" s="184">
        <f>IF(H55="正常",I55,"免征")</f>
        <v>5.0000000000000001E-4</v>
      </c>
      <c r="G55" s="2485"/>
      <c r="H55" s="2482" t="s">
        <v>2209</v>
      </c>
      <c r="I55" s="186">
        <f>'数据-取费表'!B49</f>
        <v>5.0000000000000001E-4</v>
      </c>
      <c r="J55" s="1812" t="str">
        <f>IF(H59="非个人房产","",4)</f>
        <v/>
      </c>
      <c r="K55" s="3143" t="str">
        <f>IF(H59="非个人房产","——","个人所得税")</f>
        <v>——</v>
      </c>
      <c r="L55" s="3143"/>
      <c r="M55" s="1757" t="str">
        <f>D59</f>
        <v>——</v>
      </c>
      <c r="N55" s="1810" t="str">
        <f>E59</f>
        <v>——</v>
      </c>
      <c r="O55" s="1758" t="str">
        <f>F59</f>
        <v>——</v>
      </c>
    </row>
    <row r="56" spans="1:35" ht="25.9" hidden="1">
      <c r="A56" s="3207" t="s">
        <v>2210</v>
      </c>
      <c r="B56" s="3189"/>
      <c r="C56" s="3189"/>
      <c r="D56" s="185">
        <f ca="1">IF(H56="个人住宅",D57,D58)</f>
        <v>68750</v>
      </c>
      <c r="E56" s="11" t="s">
        <v>2211</v>
      </c>
      <c r="F56" s="184" t="str">
        <f>IF(H56="正常",F58,"免征")</f>
        <v>——</v>
      </c>
      <c r="G56" s="2487" t="s">
        <v>2212</v>
      </c>
      <c r="H56" s="2488" t="s">
        <v>2209</v>
      </c>
      <c r="I56" s="2489"/>
      <c r="J56" s="1812" t="str">
        <f>IF(项目基本情况!K6="上海银行",IF(J55="",4,J55+1),"")</f>
        <v/>
      </c>
      <c r="K56" s="3126" t="str">
        <f>IF(项目基本情况!K6="上海银行","其他处置费用","")</f>
        <v/>
      </c>
      <c r="L56" s="3127"/>
      <c r="M56" s="1754" t="str">
        <f>IF(项目基本情况!K6="上海银行",M69,"")</f>
        <v/>
      </c>
      <c r="N56" s="3129" t="str">
        <f>IF(项目基本情况!K6="上海银行","包含处置中涉及的律师、诉讼、拍卖、评估等费用","")</f>
        <v/>
      </c>
      <c r="O56" s="3130"/>
    </row>
    <row r="57" spans="1:35" ht="13.15" hidden="1">
      <c r="A57" s="183" t="s">
        <v>2185</v>
      </c>
      <c r="B57" s="3174" t="s">
        <v>2213</v>
      </c>
      <c r="C57" s="3175"/>
      <c r="D57" s="187">
        <v>0</v>
      </c>
      <c r="E57" s="23" t="s">
        <v>2187</v>
      </c>
      <c r="F57" s="155"/>
      <c r="G57" s="2485"/>
      <c r="H57" s="2489"/>
      <c r="I57" s="2489"/>
      <c r="J57" s="3143">
        <f>IF(AND(J55="",J56=""),4,IF(项目基本情况!K6="上海银行",结果表!J56+1,结果表!J55+1))</f>
        <v>4</v>
      </c>
      <c r="K57" s="3143" t="s">
        <v>2214</v>
      </c>
      <c r="L57" s="2490" t="s">
        <v>2215</v>
      </c>
      <c r="M57" s="1759"/>
      <c r="N57" s="1760">
        <f ca="1">SUMIF(M52:M56,"&lt;9e307")</f>
        <v>75289</v>
      </c>
      <c r="O57" s="2491"/>
      <c r="P57" s="1753">
        <f ca="1">N57/M49</f>
        <v>0.61983600349068879</v>
      </c>
    </row>
    <row r="58" spans="1:35" ht="25.9" hidden="1">
      <c r="A58" s="183" t="s">
        <v>2196</v>
      </c>
      <c r="B58" s="3174" t="s">
        <v>2216</v>
      </c>
      <c r="C58" s="3187"/>
      <c r="D58" s="185">
        <f ca="1">IF(H58="转让取得",C81,C97)</f>
        <v>68750</v>
      </c>
      <c r="E58" s="11" t="s">
        <v>2211</v>
      </c>
      <c r="F58" s="24" t="s">
        <v>34</v>
      </c>
      <c r="G58" s="2485"/>
      <c r="H58" s="2488" t="s">
        <v>2217</v>
      </c>
      <c r="I58" s="2489"/>
      <c r="J58" s="3143"/>
      <c r="K58" s="3143"/>
      <c r="L58" s="2490" t="s">
        <v>2218</v>
      </c>
      <c r="M58" s="1761"/>
      <c r="N58" s="2492" t="str">
        <f ca="1">NUMBERSTRING(INT(N57*10000),2)&amp;"元整"</f>
        <v>柒亿伍仟贰佰捌拾玖万元整</v>
      </c>
      <c r="O58" s="2493"/>
    </row>
    <row r="59" spans="1:35" ht="25.9" hidden="1" thickBot="1">
      <c r="A59" s="3147" t="s">
        <v>2219</v>
      </c>
      <c r="B59" s="3148"/>
      <c r="C59" s="3148"/>
      <c r="D59" s="188" t="str">
        <f>IF(H59="非个人房产","——",IF(H59="个人住宅",0,ROUND(D45*I59,0)))</f>
        <v>——</v>
      </c>
      <c r="E59" s="189" t="str">
        <f>IF(H59="非个人房产","——","销售额×税（费）率")</f>
        <v>——</v>
      </c>
      <c r="F59" s="190" t="str">
        <f>IF(H59="非个人房产","——",IF(H59="个人住宅","免征",I59))</f>
        <v>——</v>
      </c>
      <c r="G59" s="2494" t="s">
        <v>2212</v>
      </c>
      <c r="H59" s="2488" t="s">
        <v>2220</v>
      </c>
      <c r="I59" s="191">
        <v>0.01</v>
      </c>
      <c r="J59" s="3145">
        <f>J57+1</f>
        <v>5</v>
      </c>
      <c r="K59" s="3143" t="s">
        <v>2221</v>
      </c>
      <c r="L59" s="1812" t="s">
        <v>2215</v>
      </c>
      <c r="M59" s="1762"/>
      <c r="N59" s="1763">
        <f ca="1">M49-N57</f>
        <v>46177</v>
      </c>
      <c r="O59" s="2495"/>
    </row>
    <row r="60" spans="1:35" ht="12" hidden="1" customHeight="1">
      <c r="A60" s="2496"/>
      <c r="B60" s="2418"/>
      <c r="C60" s="2418"/>
      <c r="D60" s="2418"/>
      <c r="E60" s="2165"/>
      <c r="F60" s="2489"/>
      <c r="G60" s="2489"/>
      <c r="H60" s="2497"/>
      <c r="I60" s="138"/>
      <c r="J60" s="3146"/>
      <c r="K60" s="3143"/>
      <c r="L60" s="2490" t="s">
        <v>2218</v>
      </c>
      <c r="M60" s="1761"/>
      <c r="N60" s="2492" t="str">
        <f ca="1">NUMBERSTRING(INT(N59*10000),2)&amp;"元整"</f>
        <v>肆亿陆仟壹佰柒拾柒万元整</v>
      </c>
      <c r="O60" s="2493"/>
    </row>
    <row r="61" spans="1:35" ht="13.5" hidden="1" thickBot="1">
      <c r="A61" s="3206" t="s">
        <v>2222</v>
      </c>
      <c r="B61" s="3206"/>
      <c r="C61" s="3206"/>
      <c r="D61" s="3206"/>
      <c r="E61" s="3206"/>
      <c r="F61" s="2489"/>
      <c r="G61" s="2489"/>
      <c r="H61" s="2497"/>
      <c r="I61" s="138"/>
      <c r="J61" s="1812">
        <f>J59+1</f>
        <v>6</v>
      </c>
      <c r="K61" s="3143" t="s">
        <v>2223</v>
      </c>
      <c r="L61" s="3143"/>
      <c r="M61" s="1764"/>
      <c r="N61" s="1765">
        <f ca="1">ROUND(N59*10000/'数据-汇总表'!E3,0)</f>
        <v>2766</v>
      </c>
      <c r="O61" s="2498"/>
    </row>
    <row r="62" spans="1:35" ht="13.15" hidden="1">
      <c r="A62" s="3163" t="s">
        <v>2224</v>
      </c>
      <c r="B62" s="3164"/>
      <c r="C62" s="1804"/>
      <c r="D62" s="1804" t="s">
        <v>2225</v>
      </c>
      <c r="E62" s="192" t="s">
        <v>2226</v>
      </c>
      <c r="F62" s="2489"/>
      <c r="G62" s="2489"/>
      <c r="H62" s="2497"/>
      <c r="I62" s="138"/>
    </row>
    <row r="63" spans="1:35" ht="13.15" hidden="1">
      <c r="A63" s="203" t="s">
        <v>775</v>
      </c>
      <c r="B63" s="193" t="s">
        <v>2227</v>
      </c>
      <c r="C63" s="194">
        <f ca="1">ROUND((C64+C65)/(1+'数据-取费表'!C42),0)</f>
        <v>115682</v>
      </c>
      <c r="D63" s="195"/>
      <c r="E63" s="196"/>
      <c r="F63" s="2489"/>
      <c r="G63" s="2489"/>
      <c r="H63" s="2497"/>
      <c r="I63" s="138"/>
      <c r="J63" s="3128" t="s">
        <v>2228</v>
      </c>
      <c r="K63" s="2499" t="s">
        <v>2229</v>
      </c>
      <c r="L63" s="1752">
        <f ca="1">IF(M49&gt;10000,M49*0.5%,IF(AND(M49&gt;1000,M49&lt;=10000),M49*1%,IF(AND(M49&gt;100,M49&lt;=1000),M49*3%,IF(AND(M49&gt;10,M49&lt;=100),M49*5%,M49*8%))))</f>
        <v>607.33000000000004</v>
      </c>
      <c r="M63" s="24">
        <f ca="1">ROUND(L63,1)</f>
        <v>607.29999999999995</v>
      </c>
      <c r="Z63" s="2423"/>
      <c r="AI63" s="2424"/>
    </row>
    <row r="64" spans="1:35" ht="14.25" hidden="1" customHeight="1">
      <c r="A64" s="197" t="s">
        <v>770</v>
      </c>
      <c r="B64" s="198" t="s">
        <v>2230</v>
      </c>
      <c r="C64" s="199">
        <f ca="1">D45</f>
        <v>121466</v>
      </c>
      <c r="D64" s="200" t="s">
        <v>32</v>
      </c>
      <c r="E64" s="201"/>
      <c r="F64" s="2489"/>
      <c r="G64" s="2489"/>
      <c r="H64" s="2497"/>
      <c r="I64" s="138"/>
      <c r="J64" s="3128"/>
      <c r="K64" s="2499" t="s">
        <v>2231</v>
      </c>
      <c r="L64" s="1752">
        <f ca="1">IF(M49&gt;2000,M49*0.5%,IF(AND(M49&gt;1000,M49&lt;=2000),M49*0.6%,IF(AND(M49&gt;500,M49&lt;=1000),M49*0.7%,IF(AND(M49&gt;200,M49&lt;=500),M49*0.8%,IF(AND(M49&gt;100,M49&lt;=200),M49*0.9%,IF(AND(M49&gt;50,M49&lt;=100),M49*1%,IF(AND(M49&gt;20,M49&lt;=50),M49*1.5%,IF(AND(M49&gt;10,M49&lt;=20),M49*2%,IF(AND(M49&gt;1,M49&lt;=10),M49*2.5%)))))))))</f>
        <v>607.33000000000004</v>
      </c>
      <c r="M64" s="24">
        <f t="shared" ref="M64:M65" ca="1" si="1">ROUND(L64,1)</f>
        <v>607.29999999999995</v>
      </c>
      <c r="N64" s="138" t="s">
        <v>2232</v>
      </c>
      <c r="Z64" s="2423"/>
      <c r="AI64" s="2424"/>
    </row>
    <row r="65" spans="1:35" ht="14.25" hidden="1" customHeight="1">
      <c r="A65" s="197" t="s">
        <v>771</v>
      </c>
      <c r="B65" s="198" t="s">
        <v>2233</v>
      </c>
      <c r="C65" s="202"/>
      <c r="D65" s="200"/>
      <c r="E65" s="201"/>
      <c r="F65" s="2489"/>
      <c r="G65" s="2489"/>
      <c r="H65" s="2497"/>
      <c r="I65" s="138"/>
      <c r="J65" s="3128"/>
      <c r="K65" s="2499" t="s">
        <v>2234</v>
      </c>
      <c r="L65" s="1752">
        <f ca="1">IF(M49&gt;1000,M49*0.1%,IF(AND(M49&gt;500,M49&lt;=1000),M49*0.5%,IF(AND(M49&gt;50,M49&lt;=500),M49*1%,IF(AND(M49&gt;1,M49&lt;=50),M49*1.5%))))</f>
        <v>121.46600000000001</v>
      </c>
      <c r="M65" s="24">
        <f t="shared" ca="1" si="1"/>
        <v>121.5</v>
      </c>
      <c r="N65" s="138" t="s">
        <v>2232</v>
      </c>
      <c r="Z65" s="2423"/>
      <c r="AI65" s="2424"/>
    </row>
    <row r="66" spans="1:35" ht="14.25" hidden="1" customHeight="1">
      <c r="A66" s="203" t="s">
        <v>772</v>
      </c>
      <c r="B66" s="204" t="s">
        <v>2235</v>
      </c>
      <c r="C66" s="205"/>
      <c r="D66" s="206" t="s">
        <v>32</v>
      </c>
      <c r="E66" s="1776" t="s">
        <v>1371</v>
      </c>
      <c r="F66" s="2489"/>
      <c r="G66" s="2489"/>
      <c r="H66" s="2497"/>
      <c r="I66" s="138"/>
      <c r="J66" s="3128"/>
      <c r="K66" s="2499" t="s">
        <v>2236</v>
      </c>
      <c r="L66" s="1752">
        <f ca="1">M49*0.5%</f>
        <v>607.33000000000004</v>
      </c>
      <c r="M66" s="24">
        <f ca="1">IF(L66&gt;0.5,0.5,ROUND(L66,0))</f>
        <v>0.5</v>
      </c>
      <c r="N66" s="138" t="s">
        <v>2237</v>
      </c>
      <c r="Z66" s="2423"/>
      <c r="AI66" s="2424"/>
    </row>
    <row r="67" spans="1:35" ht="14.25" hidden="1" customHeight="1">
      <c r="A67" s="203" t="s">
        <v>773</v>
      </c>
      <c r="B67" s="204" t="s">
        <v>2238</v>
      </c>
      <c r="C67" s="207">
        <f ca="1">C63-C66</f>
        <v>115682</v>
      </c>
      <c r="D67" s="200" t="s">
        <v>32</v>
      </c>
      <c r="E67" s="201"/>
      <c r="F67" s="2489"/>
      <c r="G67" s="2489"/>
      <c r="H67" s="2497"/>
      <c r="I67" s="138"/>
      <c r="J67" s="3128"/>
      <c r="K67" s="2499" t="s">
        <v>2239</v>
      </c>
      <c r="L67" s="1752">
        <f ca="1">IF(M49&gt;=10000,(8.25+(M49-10000)*0.01%),IF(AND(M49&gt;=8000,M49&lt;10000),(7.85+(M49-8000)*0.02%),IF(AND(M49&gt;=5000,M49&lt;8000),(6.65+(M49-5000)*0.04%),IF(AND(M49&gt;=2000,M49&lt;5000),(4.25+(PM49-2000)*0.08%),IF(AND(M49&gt;=1000,M49&lt;2000),(2.75+(M49-1000)*0.15%),IF(AND(M49&gt;=100,M49&lt;1000),(0.5+(M49-100)*0.25%),IF(AND(M49&gt;0,M49&lt;100),M49*0.5%)))))))</f>
        <v>19.396599999999999</v>
      </c>
      <c r="M67" s="24">
        <f ca="1">ROUND(L67*0.9,1)</f>
        <v>17.5</v>
      </c>
      <c r="Z67" s="2423"/>
      <c r="AI67" s="2424"/>
    </row>
    <row r="68" spans="1:35" ht="14.25" hidden="1" customHeight="1" thickBot="1">
      <c r="A68" s="208" t="s">
        <v>774</v>
      </c>
      <c r="B68" s="209" t="s">
        <v>2240</v>
      </c>
      <c r="C68" s="210">
        <f ca="1">IF(C67&lt;=0,0,ROUND(C67*D68,0))</f>
        <v>6478</v>
      </c>
      <c r="D68" s="211">
        <f>'数据-取费表'!B41</f>
        <v>5.6000000000000001E-2</v>
      </c>
      <c r="E68" s="212"/>
      <c r="F68" s="2489"/>
      <c r="G68" s="2489"/>
      <c r="H68" s="2497"/>
      <c r="I68" s="138"/>
      <c r="J68" s="3128"/>
      <c r="K68" s="2499" t="s">
        <v>2241</v>
      </c>
      <c r="L68" s="1752">
        <f ca="1">IF(M49&gt;10000,M49*0.5%,IF(AND(M49&gt;5000,M49&lt;=10000),M49*1%,IF(AND(M49&gt;1000,M49&lt;=5000),M49*2%,IF(AND(M49&gt;200,M49&lt;=1000),M49*3%,M49*5%))))</f>
        <v>607.33000000000004</v>
      </c>
      <c r="M68" s="24">
        <f ca="1">ROUND(L68,1)</f>
        <v>607.29999999999995</v>
      </c>
      <c r="Z68" s="2423"/>
      <c r="AI68" s="2424"/>
    </row>
    <row r="69" spans="1:35" s="2446" customFormat="1" ht="16.5" hidden="1" customHeight="1">
      <c r="A69" s="2500"/>
      <c r="B69" s="2501"/>
      <c r="C69" s="2502"/>
      <c r="D69" s="2503"/>
      <c r="E69" s="2504"/>
      <c r="F69" s="2165"/>
      <c r="G69" s="2165"/>
      <c r="H69" s="2164"/>
      <c r="I69" s="2418"/>
      <c r="J69" s="3128"/>
      <c r="K69" s="2499" t="s">
        <v>2242</v>
      </c>
      <c r="L69" s="2505"/>
      <c r="M69" s="24">
        <f ca="1">ROUND(SUM(M63:M68),0)</f>
        <v>1961</v>
      </c>
      <c r="N69" s="1753">
        <f ca="1">M69/M49</f>
        <v>1.6144435479887375E-2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3.9" hidden="1" thickBot="1">
      <c r="A70" s="3172" t="s">
        <v>2243</v>
      </c>
      <c r="B70" s="3173"/>
      <c r="C70" s="3173"/>
      <c r="D70" s="3173"/>
      <c r="E70" s="3173"/>
      <c r="F70" s="3173"/>
      <c r="G70" s="3173"/>
      <c r="H70" s="317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5" hidden="1">
      <c r="A71" s="3163" t="s">
        <v>2224</v>
      </c>
      <c r="B71" s="3164"/>
      <c r="C71" s="1804"/>
      <c r="D71" s="1804" t="s">
        <v>2225</v>
      </c>
      <c r="E71" s="213" t="s">
        <v>2226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5" hidden="1">
      <c r="A72" s="203" t="s">
        <v>775</v>
      </c>
      <c r="B72" s="204" t="s">
        <v>2244</v>
      </c>
      <c r="C72" s="207">
        <f ca="1">ROUND(D45/(1+'数据-取费表'!C42),0)</f>
        <v>115682</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5" hidden="1">
      <c r="A73" s="203" t="s">
        <v>772</v>
      </c>
      <c r="B73" s="173" t="s">
        <v>2245</v>
      </c>
      <c r="C73" s="207">
        <f ca="1">C74+C78</f>
        <v>694</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5.5" hidden="1">
      <c r="A74" s="217" t="s">
        <v>770</v>
      </c>
      <c r="B74" s="198" t="s">
        <v>2246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3.5" hidden="1">
      <c r="A75" s="217" t="s">
        <v>776</v>
      </c>
      <c r="B75" s="198" t="s">
        <v>2247</v>
      </c>
      <c r="C75" s="218"/>
      <c r="D75" s="200" t="s">
        <v>32</v>
      </c>
      <c r="E75" s="219" t="s">
        <v>2248</v>
      </c>
      <c r="F75" s="2511" t="s">
        <v>2249</v>
      </c>
      <c r="G75" s="219" t="s">
        <v>2250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2251</v>
      </c>
      <c r="C76" s="200">
        <f>IF(F75="购房发票",ROUND(C75*H75*D76,0),0)</f>
        <v>0</v>
      </c>
      <c r="D76" s="222">
        <v>0.05</v>
      </c>
      <c r="E76" s="3169" t="s">
        <v>2252</v>
      </c>
      <c r="F76" s="3168"/>
      <c r="G76" s="3168"/>
      <c r="H76" s="317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2253</v>
      </c>
      <c r="C77" s="200">
        <f>ROUND(IF(G77="个人住宅",0,IF(G77="2016年5月1日前购买",C75*D77,C75*D77/(1+'数据-取费表'!C42))),0)</f>
        <v>0</v>
      </c>
      <c r="D77" s="223">
        <f>'数据-取费表'!B48+'数据-取费表'!B49</f>
        <v>3.0499999999999999E-2</v>
      </c>
      <c r="E77" s="15" t="s">
        <v>2254</v>
      </c>
      <c r="F77" s="224"/>
      <c r="G77" s="2513" t="s">
        <v>2255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2256</v>
      </c>
      <c r="C78" s="225">
        <f ca="1">ROUND(D45*D78/(1+'数据-取费表'!C42),0)</f>
        <v>694</v>
      </c>
      <c r="D78" s="226">
        <f>'数据-取费表'!B43</f>
        <v>6.000000000000001E-3</v>
      </c>
      <c r="E78" s="3160" t="s">
        <v>2257</v>
      </c>
      <c r="F78" s="3161"/>
      <c r="G78" s="3161"/>
      <c r="H78" s="316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5" hidden="1">
      <c r="A79" s="2515" t="s">
        <v>779</v>
      </c>
      <c r="B79" s="204" t="s">
        <v>2258</v>
      </c>
      <c r="C79" s="207">
        <f ca="1">C72-C73</f>
        <v>114988</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5.5" hidden="1">
      <c r="A80" s="2515" t="s">
        <v>780</v>
      </c>
      <c r="B80" s="204" t="s">
        <v>2259</v>
      </c>
      <c r="C80" s="227">
        <f ca="1">IF(C79&lt;=0,0,C79/C73)</f>
        <v>165.68876080691643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5.9" hidden="1" thickBot="1">
      <c r="A81" s="2516" t="s">
        <v>781</v>
      </c>
      <c r="B81" s="209" t="s">
        <v>2260</v>
      </c>
      <c r="C81" s="228">
        <f ca="1">ROUND(IF(C79&lt;=0,0,IF(C80&gt;=200%,C79*60%-C73*35%,IF(C80&gt;=100%,C79*50%-C73*15%,IF(C80&gt;=50%,C79*40%-C73*5%,IF(C80&lt;50%,C79*30%,0))))),0)</f>
        <v>68750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3.9" hidden="1" thickBot="1">
      <c r="A83" s="3172" t="s">
        <v>2261</v>
      </c>
      <c r="B83" s="3173"/>
      <c r="C83" s="3173"/>
      <c r="D83" s="3173"/>
      <c r="E83" s="3173"/>
      <c r="F83" s="3173"/>
      <c r="G83" s="3173"/>
      <c r="H83" s="317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5" hidden="1">
      <c r="A84" s="3163" t="s">
        <v>2224</v>
      </c>
      <c r="B84" s="3164"/>
      <c r="C84" s="1804"/>
      <c r="D84" s="1804" t="s">
        <v>2225</v>
      </c>
      <c r="E84" s="213" t="s">
        <v>2226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5" hidden="1">
      <c r="A85" s="203" t="s">
        <v>775</v>
      </c>
      <c r="B85" s="204" t="s">
        <v>2244</v>
      </c>
      <c r="C85" s="207">
        <f ca="1">ROUND(D45/(1+'数据-取费表'!C42),0)</f>
        <v>115682</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5" hidden="1">
      <c r="A86" s="203" t="s">
        <v>772</v>
      </c>
      <c r="B86" s="173" t="s">
        <v>2245</v>
      </c>
      <c r="C86" s="207">
        <f ca="1">IF(H88="仅含出让金",C87+C90+C91+C92+C93+C94,C87+C91+C92+C93+C94)</f>
        <v>694</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5" hidden="1">
      <c r="A87" s="217" t="s">
        <v>770</v>
      </c>
      <c r="B87" s="198" t="s">
        <v>2262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5" hidden="1">
      <c r="A88" s="217" t="s">
        <v>776</v>
      </c>
      <c r="B88" s="198" t="s">
        <v>2263</v>
      </c>
      <c r="C88" s="236"/>
      <c r="D88" s="226"/>
      <c r="E88" s="237" t="s">
        <v>2264</v>
      </c>
      <c r="F88" s="1800"/>
      <c r="G88" s="238" t="s">
        <v>2265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5" hidden="1">
      <c r="A89" s="217" t="s">
        <v>777</v>
      </c>
      <c r="B89" s="198" t="s">
        <v>2253</v>
      </c>
      <c r="C89" s="225">
        <f>ROUND(C88*D89,0)</f>
        <v>0</v>
      </c>
      <c r="D89" s="226">
        <f>'数据-取费表'!B48+'数据-取费表'!B49</f>
        <v>3.0499999999999999E-2</v>
      </c>
      <c r="E89" s="237" t="s">
        <v>2266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5" hidden="1">
      <c r="A90" s="217" t="s">
        <v>771</v>
      </c>
      <c r="B90" s="198" t="s">
        <v>2267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2268</v>
      </c>
      <c r="B91" s="198" t="s">
        <v>2269</v>
      </c>
      <c r="C91" s="225">
        <f>IF(H91="——",成本法!C33,I91)</f>
        <v>0</v>
      </c>
      <c r="D91" s="226"/>
      <c r="E91" s="3160" t="s">
        <v>2270</v>
      </c>
      <c r="F91" s="3161"/>
      <c r="G91" s="3161"/>
      <c r="H91" s="2518" t="s">
        <v>2271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2272</v>
      </c>
      <c r="B92" s="198" t="s">
        <v>2273</v>
      </c>
      <c r="C92" s="225">
        <f>ROUND((C87+C90+C91)*D92,0)</f>
        <v>0</v>
      </c>
      <c r="D92" s="226">
        <v>0.1</v>
      </c>
      <c r="E92" s="3160" t="s">
        <v>2274</v>
      </c>
      <c r="F92" s="3161"/>
      <c r="G92" s="3161"/>
      <c r="H92" s="316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2275</v>
      </c>
      <c r="B93" s="198" t="s">
        <v>2256</v>
      </c>
      <c r="C93" s="225">
        <f ca="1">ROUND(D45*D93/(1+'数据-取费表'!C42),0)</f>
        <v>694</v>
      </c>
      <c r="D93" s="226">
        <f>'数据-取费表'!B43</f>
        <v>6.000000000000001E-3</v>
      </c>
      <c r="E93" s="3160" t="s">
        <v>2257</v>
      </c>
      <c r="F93" s="3161"/>
      <c r="G93" s="3161"/>
      <c r="H93" s="316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2276</v>
      </c>
      <c r="B94" s="198" t="s">
        <v>2277</v>
      </c>
      <c r="C94" s="236">
        <f>ROUND((C87+C90+C91)*D94,0)</f>
        <v>0</v>
      </c>
      <c r="D94" s="226">
        <v>0.2</v>
      </c>
      <c r="E94" s="3208" t="s">
        <v>2278</v>
      </c>
      <c r="F94" s="3209"/>
      <c r="G94" s="3209"/>
      <c r="H94" s="321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5" hidden="1">
      <c r="A95" s="2515" t="s">
        <v>779</v>
      </c>
      <c r="B95" s="204" t="s">
        <v>2258</v>
      </c>
      <c r="C95" s="207">
        <f ca="1">ROUND(C85-C86,0)</f>
        <v>114988</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5.5" hidden="1">
      <c r="A96" s="2515" t="s">
        <v>780</v>
      </c>
      <c r="B96" s="204" t="s">
        <v>2259</v>
      </c>
      <c r="C96" s="227">
        <f ca="1">IF(C95&lt;=0,0,C95/C86)</f>
        <v>165.68876080691643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5.9" hidden="1" thickBot="1">
      <c r="A97" s="2516" t="s">
        <v>781</v>
      </c>
      <c r="B97" s="209" t="s">
        <v>2260</v>
      </c>
      <c r="C97" s="228">
        <f ca="1">ROUND(IF(C95&lt;=0,0,IF(C96&gt;=200%,C95*60%-C86*35%,IF(C96&gt;=100%,C95*50%-C86*15%,IF(C96&gt;=50%,C95*40%-C86*5%,IF(C96&lt;50%,C95*30%,0))))),0)</f>
        <v>68750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5"/>
      <c r="F98" s="2165"/>
      <c r="G98" s="2165"/>
      <c r="H98" s="2164"/>
      <c r="I98" s="138"/>
    </row>
    <row r="99" spans="1:35" ht="21.75" customHeight="1" thickBot="1">
      <c r="A99" s="2474" t="s">
        <v>2279</v>
      </c>
      <c r="B99" s="2418"/>
      <c r="C99" s="2418"/>
      <c r="D99" s="2418"/>
      <c r="E99" s="2165"/>
      <c r="F99" s="2165"/>
      <c r="G99" s="2165"/>
      <c r="H99" s="2164"/>
      <c r="I99" s="138"/>
    </row>
    <row r="100" spans="1:35" ht="18.75" customHeight="1">
      <c r="A100" s="3112" t="s">
        <v>2280</v>
      </c>
      <c r="B100" s="3113"/>
      <c r="C100" s="3113"/>
      <c r="D100" s="3144"/>
      <c r="E100" s="3113" t="s">
        <v>2281</v>
      </c>
      <c r="F100" s="3113"/>
      <c r="G100" s="3113"/>
      <c r="H100" s="3144"/>
      <c r="I100" s="138"/>
    </row>
    <row r="101" spans="1:35" ht="18.75" customHeight="1">
      <c r="A101" s="3152" t="s">
        <v>2282</v>
      </c>
      <c r="B101" s="3153"/>
      <c r="C101" s="736" t="str">
        <f>C4</f>
        <v>成本法</v>
      </c>
      <c r="D101" s="737" t="str">
        <f>D4</f>
        <v>假设开发法</v>
      </c>
      <c r="E101" s="3124" t="s">
        <v>2283</v>
      </c>
      <c r="F101" s="3125"/>
      <c r="G101" s="2520" t="s">
        <v>2284</v>
      </c>
      <c r="H101" s="1048">
        <f ca="1">H118</f>
        <v>121466</v>
      </c>
      <c r="I101" s="138"/>
    </row>
    <row r="102" spans="1:35" ht="18.75" customHeight="1">
      <c r="A102" s="3154" t="s">
        <v>2285</v>
      </c>
      <c r="B102" s="2520" t="s">
        <v>2284</v>
      </c>
      <c r="C102" s="736">
        <f ca="1">C19</f>
        <v>140415</v>
      </c>
      <c r="D102" s="737">
        <f ca="1">D19</f>
        <v>141677</v>
      </c>
      <c r="E102" s="3124"/>
      <c r="F102" s="3125"/>
      <c r="G102" s="2520" t="s">
        <v>2286</v>
      </c>
      <c r="H102" s="371">
        <f ca="1">I118</f>
        <v>7275</v>
      </c>
      <c r="I102" s="138"/>
    </row>
    <row r="103" spans="1:35" ht="42.75" customHeight="1">
      <c r="A103" s="3154"/>
      <c r="B103" s="2520" t="s">
        <v>2286</v>
      </c>
      <c r="C103" s="738">
        <f ca="1">C20</f>
        <v>8410</v>
      </c>
      <c r="D103" s="739">
        <f ca="1">D20</f>
        <v>8486</v>
      </c>
      <c r="E103" s="3118" t="s">
        <v>2287</v>
      </c>
      <c r="F103" s="3119"/>
      <c r="G103" s="2521" t="s">
        <v>2288</v>
      </c>
      <c r="H103" s="1048">
        <f>IF(D36="正常操作",H104+H105+H106,H105+H106)</f>
        <v>0</v>
      </c>
      <c r="I103" s="138"/>
    </row>
    <row r="104" spans="1:35" ht="18.75" customHeight="1">
      <c r="A104" s="3154" t="s">
        <v>2289</v>
      </c>
      <c r="B104" s="2522" t="s">
        <v>2284</v>
      </c>
      <c r="C104" s="740">
        <f ca="1">H118</f>
        <v>121466</v>
      </c>
      <c r="D104" s="741"/>
      <c r="E104" s="2266" t="s">
        <v>2290</v>
      </c>
      <c r="F104" s="2257"/>
      <c r="G104" s="2521" t="s">
        <v>2288</v>
      </c>
      <c r="H104" s="1049">
        <f>IF(D36="同一抵押权人同一抵押物续贷",C36&amp;"（未扣减，详见特别提示）",C36)</f>
        <v>0</v>
      </c>
      <c r="I104" s="138"/>
    </row>
    <row r="105" spans="1:35" ht="18.75" customHeight="1" thickBot="1">
      <c r="A105" s="3166"/>
      <c r="B105" s="2523" t="s">
        <v>2286</v>
      </c>
      <c r="C105" s="742">
        <f ca="1">I118</f>
        <v>7275</v>
      </c>
      <c r="D105" s="743"/>
      <c r="E105" s="2266" t="s">
        <v>2291</v>
      </c>
      <c r="F105" s="2257"/>
      <c r="G105" s="2521" t="s">
        <v>2288</v>
      </c>
      <c r="H105" s="1049">
        <f>C37</f>
        <v>0</v>
      </c>
      <c r="I105" s="138"/>
    </row>
    <row r="106" spans="1:35" ht="18.75" customHeight="1">
      <c r="A106" s="2418" t="s">
        <v>2292</v>
      </c>
      <c r="B106" s="2418"/>
      <c r="C106" s="2418"/>
      <c r="D106" s="2418"/>
      <c r="E106" s="2524" t="s">
        <v>2293</v>
      </c>
      <c r="F106" s="2257"/>
      <c r="G106" s="2521" t="s">
        <v>2288</v>
      </c>
      <c r="H106" s="1049">
        <f>C38</f>
        <v>0</v>
      </c>
      <c r="I106" s="138"/>
    </row>
    <row r="107" spans="1:35" ht="18.75" customHeight="1">
      <c r="A107" s="138"/>
      <c r="B107" s="138"/>
      <c r="C107" s="138"/>
      <c r="D107" s="138"/>
      <c r="E107" s="3155" t="str">
        <f>IF(项目基本情况!E8="已注销","——","3.房地产抵押价值")</f>
        <v>3.房地产抵押价值</v>
      </c>
      <c r="F107" s="3125"/>
      <c r="G107" s="2520" t="s">
        <v>2284</v>
      </c>
      <c r="H107" s="1048">
        <f ca="1">IF(E107="——","——",H101-H103)</f>
        <v>121466</v>
      </c>
      <c r="I107" s="138"/>
    </row>
    <row r="108" spans="1:35" ht="18.75" customHeight="1" thickBot="1">
      <c r="A108" s="138"/>
      <c r="B108" s="138"/>
      <c r="C108" s="138"/>
      <c r="D108" s="138"/>
      <c r="E108" s="3155"/>
      <c r="F108" s="3125"/>
      <c r="G108" s="2520" t="s">
        <v>2286</v>
      </c>
      <c r="H108" s="371">
        <f ca="1">ROUND(H107*10000/'数据-汇总表'!E3,0)</f>
        <v>7275</v>
      </c>
      <c r="I108" s="138"/>
    </row>
    <row r="109" spans="1:35" ht="18.75" hidden="1" customHeight="1">
      <c r="A109" s="138"/>
      <c r="B109" s="138"/>
      <c r="C109" s="138"/>
      <c r="D109" s="138"/>
      <c r="E109" s="3155" t="str">
        <f>IF(项目基本情况!E8="已注销及未注销","4.抵押担保权已注销时的房地产抵押价值",IF(项目基本情况!E8="已注销","3.抵押担保权已注销时的房地产抵押价值","——"))</f>
        <v>——</v>
      </c>
      <c r="F109" s="3125"/>
      <c r="G109" s="2520" t="s">
        <v>2284</v>
      </c>
      <c r="H109" s="348" t="str">
        <f>IF(E109="——","——",H101-H105-H106)</f>
        <v>——</v>
      </c>
      <c r="I109" s="138"/>
    </row>
    <row r="110" spans="1:35" ht="18.75" hidden="1" customHeight="1">
      <c r="A110" s="138"/>
      <c r="B110" s="138"/>
      <c r="C110" s="138"/>
      <c r="D110" s="138"/>
      <c r="E110" s="3155"/>
      <c r="F110" s="3125"/>
      <c r="G110" s="2520" t="s">
        <v>2286</v>
      </c>
      <c r="H110" s="371" t="str">
        <f>IF(H109="——","——",ROUND(H109*10000/'数据-汇总表'!E3,0))</f>
        <v>——</v>
      </c>
      <c r="I110" s="138"/>
    </row>
    <row r="111" spans="1:35" ht="18.75" hidden="1" customHeight="1">
      <c r="A111" s="138"/>
      <c r="B111" s="138"/>
      <c r="C111" s="138"/>
      <c r="D111" s="138"/>
      <c r="E111" s="3156" t="str">
        <f>IF(项目基本情况!E9="抵押净值",IF(OR(项目基本情况!E8="已注销",项目基本情况!E8="房地产抵押价值"),"4.抵押净值","5.抵押净值"),"——")</f>
        <v>——</v>
      </c>
      <c r="F111" s="3157"/>
      <c r="G111" s="2520" t="s">
        <v>2284</v>
      </c>
      <c r="H111" s="1048" t="str">
        <f>IF(E111="——","——",N59)</f>
        <v>——</v>
      </c>
      <c r="I111" s="138"/>
    </row>
    <row r="112" spans="1:35" ht="18.75" hidden="1" customHeight="1" thickBot="1">
      <c r="A112" s="138"/>
      <c r="B112" s="138"/>
      <c r="C112" s="138"/>
      <c r="D112" s="138"/>
      <c r="E112" s="3158"/>
      <c r="F112" s="3159"/>
      <c r="G112" s="2525" t="s">
        <v>2286</v>
      </c>
      <c r="H112" s="790" t="str">
        <f>IF(E111="——","——",N61)</f>
        <v>——</v>
      </c>
      <c r="I112" s="138"/>
    </row>
    <row r="113" spans="1:11" ht="18.75" customHeight="1">
      <c r="A113" s="138"/>
      <c r="B113" s="138"/>
      <c r="C113" s="138"/>
      <c r="D113" s="138"/>
      <c r="E113" s="3167" t="s">
        <v>2292</v>
      </c>
      <c r="F113" s="3167"/>
      <c r="G113" s="3167"/>
      <c r="H113" s="3167"/>
      <c r="I113" s="138"/>
    </row>
    <row r="114" spans="1:11" ht="12.75" hidden="1">
      <c r="A114" s="2418"/>
      <c r="B114" s="2418"/>
      <c r="C114" s="2418"/>
      <c r="D114" s="2418"/>
      <c r="E114" s="2496"/>
      <c r="F114" s="2496"/>
      <c r="G114" s="2496"/>
      <c r="H114" s="2496"/>
      <c r="I114" s="2418"/>
    </row>
    <row r="115" spans="1:11" ht="18.75" customHeight="1">
      <c r="A115" s="3180" t="s">
        <v>2294</v>
      </c>
      <c r="B115" s="3181"/>
      <c r="C115" s="3181"/>
      <c r="D115" s="3181"/>
      <c r="E115" s="3181"/>
      <c r="F115" s="3181"/>
      <c r="G115" s="3181"/>
      <c r="H115" s="3181"/>
      <c r="I115" s="3182"/>
    </row>
    <row r="116" spans="1:11" ht="27" customHeight="1">
      <c r="A116" s="3066" t="s">
        <v>2295</v>
      </c>
      <c r="B116" s="3134" t="s">
        <v>3128</v>
      </c>
      <c r="C116" s="3134" t="s">
        <v>3127</v>
      </c>
      <c r="D116" s="3140" t="s">
        <v>2296</v>
      </c>
      <c r="E116" s="3141"/>
      <c r="F116" s="3176" t="s">
        <v>2297</v>
      </c>
      <c r="G116" s="3176"/>
      <c r="H116" s="3066" t="s">
        <v>2298</v>
      </c>
      <c r="I116" s="3066"/>
    </row>
    <row r="117" spans="1:11" ht="18.75" customHeight="1">
      <c r="A117" s="3066"/>
      <c r="B117" s="3135"/>
      <c r="C117" s="3135"/>
      <c r="D117" s="1798" t="s">
        <v>2299</v>
      </c>
      <c r="E117" s="1798" t="s">
        <v>2300</v>
      </c>
      <c r="F117" s="1798" t="s">
        <v>2299</v>
      </c>
      <c r="G117" s="1798" t="s">
        <v>2301</v>
      </c>
      <c r="H117" s="1798" t="s">
        <v>2299</v>
      </c>
      <c r="I117" s="1798" t="s">
        <v>2301</v>
      </c>
    </row>
    <row r="118" spans="1:11" ht="24.75" customHeight="1">
      <c r="A118" s="2526" t="str">
        <f>项目基本情况!S2</f>
        <v>北京市丰台区花乡新发地农副产品批发市场B地块出让国有建设用地使用权及在建建筑物房地产</v>
      </c>
      <c r="B118" s="1798">
        <f>M18</f>
        <v>166960</v>
      </c>
      <c r="C118" s="1798">
        <f>M19</f>
        <v>51219.74</v>
      </c>
      <c r="D118" s="1798">
        <f ca="1">ROUND(IF(D32="总价",C34,E118*B118/10000),0)</f>
        <v>113571</v>
      </c>
      <c r="E118" s="1798">
        <f ca="1">ROUND(IF(C33="自定义",IF(D32="楼面单价",C34,D118*10000/B118),I118-G118),0)</f>
        <v>6802</v>
      </c>
      <c r="F118" s="1798">
        <f ca="1">ROUND(IF(D32="总价",C35,G118*B118/10000),0)</f>
        <v>7895</v>
      </c>
      <c r="G118" s="1798">
        <f ca="1">ROUND(IF(D32="楼面单价",C35,F118*10000/B118),0)</f>
        <v>473</v>
      </c>
      <c r="H118" s="1798">
        <f ca="1">ROUND(IF(D32="总价",C32,I118*B118/10000),0)</f>
        <v>121466</v>
      </c>
      <c r="I118" s="1798">
        <f ca="1">ROUND(IF(D32="楼面单价",C32,H118*10000/B118),0)</f>
        <v>7275</v>
      </c>
    </row>
    <row r="119" spans="1:11" ht="18.75" customHeight="1">
      <c r="A119" s="3066" t="s">
        <v>2302</v>
      </c>
      <c r="B119" s="3066"/>
      <c r="C119" s="3066"/>
      <c r="D119" s="3136" t="str">
        <f ca="1">NUMBERSTRING(INT(D118*10000),2)&amp;"元整"</f>
        <v>壹拾壹亿叁仟伍佰柒拾壹万元整</v>
      </c>
      <c r="E119" s="3137"/>
      <c r="F119" s="3136" t="str">
        <f ca="1">NUMBERSTRING(INT(F118*10000),2)&amp;"元整"</f>
        <v>柒仟捌佰玖拾伍万元整</v>
      </c>
      <c r="G119" s="3137"/>
      <c r="H119" s="3136" t="str">
        <f ca="1">NUMBERSTRING(INT(H118*10000),2)&amp;"元整"</f>
        <v>壹拾贰亿壹仟肆佰陆拾陆万元整</v>
      </c>
      <c r="I119" s="3137"/>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3" t="str">
        <f>IF(D120=0,"故，本次评估不存在"&amp;A120,"故，本次评估"&amp;A120&amp;"为人民币"&amp;D120&amp;"万元整。")</f>
        <v>故，本次评估不存在估价师知悉的法定优先受偿款</v>
      </c>
    </row>
    <row r="121" spans="1:11" ht="18.75" customHeight="1">
      <c r="A121" s="3177" t="s">
        <v>2302</v>
      </c>
      <c r="B121" s="3178"/>
      <c r="C121" s="3179"/>
      <c r="D121" s="3136" t="str">
        <f>IF(D120=0,"零元整",NUMBERSTRING(INT(D120*10000),2)&amp;"元整")</f>
        <v>零元整</v>
      </c>
      <c r="E121" s="3138"/>
      <c r="F121" s="3138"/>
      <c r="G121" s="3138"/>
      <c r="H121" s="3138"/>
      <c r="I121" s="3137"/>
    </row>
    <row r="122" spans="1:11" ht="18.75" customHeight="1">
      <c r="A122" s="3142" t="str">
        <f>IF(项目基本情况!B9="房地产市场价值","",MID(E107,3,LEN(E107)-2))</f>
        <v>房地产抵押价值</v>
      </c>
      <c r="B122" s="3142"/>
      <c r="C122" s="3142"/>
      <c r="D122" s="3131">
        <f ca="1">H107</f>
        <v>121466</v>
      </c>
      <c r="E122" s="3132"/>
      <c r="F122" s="3132"/>
      <c r="G122" s="3132"/>
      <c r="H122" s="3132"/>
      <c r="I122" s="3133"/>
    </row>
    <row r="123" spans="1:11" ht="18.75" customHeight="1">
      <c r="A123" s="3066" t="s">
        <v>2302</v>
      </c>
      <c r="B123" s="3066"/>
      <c r="C123" s="3066"/>
      <c r="D123" s="3136" t="str">
        <f ca="1">NUMBERSTRING(INT(D122*10000),2)&amp;"元整"</f>
        <v>壹拾贰亿壹仟肆佰陆拾陆万元整</v>
      </c>
      <c r="E123" s="3138"/>
      <c r="F123" s="3138"/>
      <c r="G123" s="3138"/>
      <c r="H123" s="3138"/>
      <c r="I123" s="3137"/>
    </row>
    <row r="124" spans="1:11" ht="18.75" hidden="1" customHeight="1">
      <c r="A124" s="3142" t="str">
        <f>IF(项目基本情况!B9="房地产市场价值","",MID(E109,3,LEN(E109)-2))</f>
        <v/>
      </c>
      <c r="B124" s="3142"/>
      <c r="C124" s="3142"/>
      <c r="D124" s="3131" t="str">
        <f>H109</f>
        <v>——</v>
      </c>
      <c r="E124" s="3132"/>
      <c r="F124" s="3132"/>
      <c r="G124" s="3132"/>
      <c r="H124" s="3132"/>
      <c r="I124" s="3133"/>
    </row>
    <row r="125" spans="1:11" ht="18.75" hidden="1" customHeight="1">
      <c r="A125" s="3066" t="s">
        <v>2302</v>
      </c>
      <c r="B125" s="3066"/>
      <c r="C125" s="3066"/>
      <c r="D125" s="3136" t="e">
        <f>NUMBERSTRING(INT(D124*10000),2)&amp;"元整"</f>
        <v>#VALUE!</v>
      </c>
      <c r="E125" s="3138"/>
      <c r="F125" s="3138"/>
      <c r="G125" s="3138"/>
      <c r="H125" s="3138"/>
      <c r="I125" s="3137"/>
    </row>
    <row r="126" spans="1:11" ht="18.75" hidden="1" customHeight="1">
      <c r="A126" s="3142" t="str">
        <f>IF(项目基本情况!B9="房地产市场价值","",MID(E111,3,LEN(E111)-2))</f>
        <v/>
      </c>
      <c r="B126" s="3142"/>
      <c r="C126" s="3142"/>
      <c r="D126" s="3131" t="str">
        <f>H111</f>
        <v>——</v>
      </c>
      <c r="E126" s="3132"/>
      <c r="F126" s="3132"/>
      <c r="G126" s="3132"/>
      <c r="H126" s="3132"/>
      <c r="I126" s="3133"/>
    </row>
    <row r="127" spans="1:11" ht="18.75" hidden="1" customHeight="1">
      <c r="A127" s="3066" t="s">
        <v>2302</v>
      </c>
      <c r="B127" s="3066"/>
      <c r="C127" s="3066"/>
      <c r="D127" s="3136" t="e">
        <f>NUMBERSTRING(INT(D126*10000),2)&amp;"元整"</f>
        <v>#VALUE!</v>
      </c>
      <c r="E127" s="3138"/>
      <c r="F127" s="3138"/>
      <c r="G127" s="3138"/>
      <c r="H127" s="3138"/>
      <c r="I127" s="3137"/>
    </row>
    <row r="128" spans="1:11" ht="21.75" customHeight="1">
      <c r="A128" s="3139" t="s">
        <v>2303</v>
      </c>
      <c r="B128" s="3139"/>
      <c r="C128" s="3139"/>
      <c r="D128" s="3139"/>
      <c r="E128" s="3139"/>
      <c r="F128" s="3139"/>
      <c r="G128" s="3139"/>
      <c r="H128" s="3139"/>
      <c r="I128" s="3139"/>
    </row>
    <row r="129" spans="1:35" ht="21.75" customHeight="1">
      <c r="A129" s="2527" t="s">
        <v>2304</v>
      </c>
      <c r="B129" s="2528"/>
      <c r="C129" s="2529" t="s">
        <v>2305</v>
      </c>
      <c r="D129" s="2530"/>
      <c r="E129" s="2530"/>
      <c r="F129" s="2530"/>
      <c r="G129" s="2530"/>
      <c r="H129" s="2531"/>
      <c r="I129" s="2532"/>
    </row>
    <row r="130" spans="1:35" ht="21.75" customHeight="1">
      <c r="A130" s="3402" t="s">
        <v>3131</v>
      </c>
      <c r="B130" s="2533"/>
      <c r="C130" s="2533"/>
      <c r="D130" s="2534"/>
      <c r="E130" s="2534"/>
      <c r="F130" s="2534"/>
      <c r="G130" s="2534"/>
      <c r="H130" s="2535"/>
      <c r="I130" s="2536"/>
    </row>
    <row r="131" spans="1:35" ht="21.75" customHeight="1">
      <c r="A131" s="3403" t="s">
        <v>3130</v>
      </c>
      <c r="B131" s="2533"/>
      <c r="C131" s="2533"/>
      <c r="D131" s="2534"/>
      <c r="E131" s="2534"/>
      <c r="F131" s="2534"/>
      <c r="G131" s="2534"/>
      <c r="H131" s="2535"/>
      <c r="I131" s="2536"/>
    </row>
    <row r="132" spans="1:35" ht="21.75" customHeight="1">
      <c r="A132" s="3402" t="s">
        <v>3132</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2306</v>
      </c>
      <c r="G135" s="2543"/>
      <c r="H135" s="2543"/>
      <c r="I135" s="2544" t="s">
        <v>2307</v>
      </c>
    </row>
    <row r="136" spans="1:35" ht="21.75" customHeight="1">
      <c r="A136" s="795"/>
      <c r="B136" s="2545"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2309</v>
      </c>
    </row>
    <row r="139" spans="1:35" ht="21.75" customHeight="1">
      <c r="A139" s="795"/>
      <c r="B139" s="2545" t="s">
        <v>2310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2309</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98"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46484375" style="1018" customWidth="1"/>
    <col min="2" max="9" width="10" style="1018" customWidth="1"/>
    <col min="10" max="16384" width="9" style="1018"/>
  </cols>
  <sheetData>
    <row r="36" spans="1:9">
      <c r="A36" s="1017" t="s">
        <v>818</v>
      </c>
      <c r="B36" s="1017" t="s">
        <v>819</v>
      </c>
    </row>
    <row r="37" spans="1:9" ht="27.75" customHeight="1">
      <c r="A37" s="1017"/>
      <c r="B37" s="3000" t="str">
        <f>项目基本情况!B1</f>
        <v>北京市丰台区花乡新发地农副产品批发市场B地块出让国有建设用地使用权及在建建筑物房地产抵押价值预评估</v>
      </c>
      <c r="C37" s="3000"/>
      <c r="D37" s="3000"/>
      <c r="E37" s="3000"/>
      <c r="F37" s="3000"/>
      <c r="G37" s="3000"/>
      <c r="H37" s="3000"/>
      <c r="I37" s="3000"/>
    </row>
    <row r="38" spans="1:9">
      <c r="A38" s="1019"/>
      <c r="B38" s="1019"/>
    </row>
    <row r="39" spans="1:9">
      <c r="A39" s="1017" t="s">
        <v>818</v>
      </c>
      <c r="B39" s="1017" t="s">
        <v>820</v>
      </c>
    </row>
    <row r="40" spans="1:9">
      <c r="A40" s="1017"/>
      <c r="B40" s="1945" t="str">
        <f>项目基本情况!B5</f>
        <v>北京丰泰新发资产管理有限公司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3.15">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opLeftCell="A34" workbookViewId="0">
      <selection activeCell="C7" sqref="C7"/>
    </sheetView>
  </sheetViews>
  <sheetFormatPr defaultColWidth="8.3984375" defaultRowHeight="12.75"/>
  <cols>
    <col min="1" max="1" width="10.3984375" style="313" customWidth="1"/>
    <col min="2" max="2" width="29.265625" style="295" customWidth="1"/>
    <col min="3" max="3" width="12.1328125" style="295" customWidth="1"/>
    <col min="4" max="5" width="11.265625" style="316" customWidth="1"/>
    <col min="6" max="6" width="9.46484375" style="295" customWidth="1"/>
    <col min="7" max="7" width="31.86328125" style="295" customWidth="1"/>
    <col min="8" max="254" width="9" style="295" customWidth="1"/>
    <col min="255" max="16384" width="8.3984375" style="295"/>
  </cols>
  <sheetData>
    <row r="1" spans="1:9" s="244" customFormat="1" ht="20.65">
      <c r="A1" s="240" t="s">
        <v>2311</v>
      </c>
      <c r="B1" s="1940"/>
      <c r="C1" s="242"/>
      <c r="D1" s="242"/>
      <c r="E1" s="242"/>
      <c r="F1" s="242"/>
      <c r="G1" s="1382">
        <f>MATCH(B1,'数据-取费表'!A6:A16,0)+5</f>
        <v>8</v>
      </c>
    </row>
    <row r="2" spans="1:9" s="244" customFormat="1" ht="18" customHeight="1">
      <c r="A2" s="245" t="s">
        <v>2312</v>
      </c>
      <c r="B2" s="246">
        <f ca="1">IF(D2="——",C52,C52-E2)</f>
        <v>140415</v>
      </c>
      <c r="C2" s="243" t="s">
        <v>2313</v>
      </c>
      <c r="D2" s="2548" t="s">
        <v>70</v>
      </c>
      <c r="E2" s="1443" t="e">
        <f ca="1">SUMIF(INDIRECT("'"&amp;G2&amp;"'"&amp;"!A:A"),"承租人权益价值",INDIRECT("'"&amp;G2&amp;"'"&amp;"!c:c"))</f>
        <v>#REF!</v>
      </c>
      <c r="F2" s="2549" t="s">
        <v>2313</v>
      </c>
      <c r="G2" s="2550"/>
    </row>
    <row r="3" spans="1:9" s="244" customFormat="1" ht="18" customHeight="1" thickBot="1">
      <c r="A3" s="247" t="s">
        <v>2314</v>
      </c>
      <c r="B3" s="248">
        <f ca="1">ROUND(B2*10000/(IF(B1="",'数据-汇总表'!E3,INDIRECT("'数据-取费表'!k"&amp;$G$1))),0)</f>
        <v>8410</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 ca="1">C6+C7+C8</f>
        <v>115976</v>
      </c>
      <c r="D5" s="255" t="s">
        <v>2319</v>
      </c>
      <c r="E5" s="256" t="s">
        <v>2320</v>
      </c>
      <c r="F5" s="256" t="s">
        <v>2321</v>
      </c>
      <c r="G5" s="257"/>
    </row>
    <row r="6" spans="1:9" s="258" customFormat="1" ht="13.5" customHeight="1">
      <c r="A6" s="952" t="s">
        <v>2322</v>
      </c>
      <c r="B6" s="259" t="s">
        <v>2323</v>
      </c>
      <c r="C6" s="260">
        <f ca="1">基准地价修正!B2+'基准地价修正 (2)'!B2</f>
        <v>112543</v>
      </c>
      <c r="D6" s="261"/>
      <c r="E6" s="262"/>
      <c r="F6" s="262"/>
      <c r="G6" s="263"/>
    </row>
    <row r="7" spans="1:9" s="258" customFormat="1" ht="13.5" customHeight="1">
      <c r="A7" s="952" t="s">
        <v>2324</v>
      </c>
      <c r="B7" s="259" t="s">
        <v>2325</v>
      </c>
      <c r="C7" s="264">
        <f ca="1">ROUND(C6*F7,0)</f>
        <v>3433</v>
      </c>
      <c r="D7" s="264"/>
      <c r="E7" s="262"/>
      <c r="F7" s="265">
        <f>'数据-取费表'!B48+'数据-取费表'!B49</f>
        <v>3.0499999999999999E-2</v>
      </c>
      <c r="G7" s="263"/>
    </row>
    <row r="8" spans="1:9" s="267" customFormat="1" ht="13.15">
      <c r="A8" s="952" t="s">
        <v>2326</v>
      </c>
      <c r="B8" s="259" t="s">
        <v>2327</v>
      </c>
      <c r="C8" s="264">
        <f>IF(G8="已包含在土地购买价格中","0",IF(B1="",'数据-取费表'!B29,IF(G9="全部缴纳",C9+C10,H9)))</f>
        <v>0</v>
      </c>
      <c r="D8" s="266"/>
      <c r="E8" s="264"/>
      <c r="F8" s="265"/>
      <c r="G8" s="2551" t="s">
        <v>3110</v>
      </c>
    </row>
    <row r="9" spans="1:9" s="258" customFormat="1" ht="13.5" customHeight="1">
      <c r="A9" s="953" t="s">
        <v>800</v>
      </c>
      <c r="B9" s="268" t="s">
        <v>2328</v>
      </c>
      <c r="C9" s="269">
        <f ca="1">ROUND(D9*E9/10000,0)</f>
        <v>0</v>
      </c>
      <c r="D9" s="1035">
        <f ca="1">IF(B1="",'数据-汇总表'!E5,IF(INDIRECT("'数据-取费表'!c"&amp;$G$1)="住宅",INDIRECT("'数据-取费表'!k"&amp;$G$1),0))</f>
        <v>0</v>
      </c>
      <c r="E9" s="269">
        <f>'数据-取费表'!B27</f>
        <v>160</v>
      </c>
      <c r="F9" s="265"/>
      <c r="G9" s="2552" t="s">
        <v>3111</v>
      </c>
      <c r="H9" s="1393"/>
      <c r="I9" s="2553" t="s">
        <v>2329</v>
      </c>
    </row>
    <row r="10" spans="1:9" s="258" customFormat="1" ht="13.5" customHeight="1">
      <c r="A10" s="953" t="s">
        <v>801</v>
      </c>
      <c r="B10" s="268" t="s">
        <v>2330</v>
      </c>
      <c r="C10" s="269">
        <f ca="1">ROUND(D10*E10/10000,0)</f>
        <v>3339</v>
      </c>
      <c r="D10" s="1035">
        <f ca="1">IF(B1="",'数据-汇总表'!E6,IF(INDIRECT("'数据-取费表'!c"&amp;$G$1)="住宅",INDIRECT("'数据-取费表'!s"&amp;$G$1),INDIRECT("'数据-取费表'!k"&amp;$G$1)+INDIRECT("'数据-取费表'!s"&amp;$G$1)))</f>
        <v>166960</v>
      </c>
      <c r="E10" s="269">
        <f>'数据-取费表'!B28</f>
        <v>200</v>
      </c>
      <c r="F10" s="265"/>
      <c r="G10" s="270"/>
    </row>
    <row r="11" spans="1:9" s="258" customFormat="1" ht="13.5" hidden="1" customHeight="1">
      <c r="A11" s="271" t="s">
        <v>7</v>
      </c>
      <c r="B11" s="259" t="s">
        <v>2331</v>
      </c>
      <c r="C11" s="255"/>
      <c r="D11" s="1037"/>
      <c r="E11" s="262"/>
      <c r="F11" s="262"/>
      <c r="G11" s="263"/>
    </row>
    <row r="12" spans="1:9" s="258" customFormat="1" ht="13.5" hidden="1" customHeight="1">
      <c r="A12" s="271" t="s">
        <v>8</v>
      </c>
      <c r="B12" s="259" t="s">
        <v>2332</v>
      </c>
      <c r="C12" s="255">
        <v>0</v>
      </c>
      <c r="D12" s="1037"/>
      <c r="E12" s="272"/>
      <c r="F12" s="265">
        <v>3.0499999999999999E-2</v>
      </c>
      <c r="G12" s="263"/>
    </row>
    <row r="13" spans="1:9" s="258" customFormat="1" ht="13.5" hidden="1" customHeight="1">
      <c r="A13" s="271" t="s">
        <v>9</v>
      </c>
      <c r="B13" s="259" t="s">
        <v>2333</v>
      </c>
      <c r="C13" s="255"/>
      <c r="D13" s="1037"/>
      <c r="E13" s="262"/>
      <c r="F13" s="262"/>
      <c r="G13" s="263"/>
    </row>
    <row r="14" spans="1:9" s="258" customFormat="1" ht="13.5" hidden="1" customHeight="1">
      <c r="A14" s="271" t="s">
        <v>10</v>
      </c>
      <c r="B14" s="259" t="s">
        <v>2334</v>
      </c>
      <c r="C14" s="255"/>
      <c r="D14" s="1037"/>
      <c r="E14" s="262"/>
      <c r="F14" s="262"/>
      <c r="G14" s="263" t="s">
        <v>2335</v>
      </c>
    </row>
    <row r="15" spans="1:9" s="258" customFormat="1" ht="13.5" hidden="1" customHeight="1">
      <c r="A15" s="271" t="s">
        <v>11</v>
      </c>
      <c r="B15" s="259" t="s">
        <v>2336</v>
      </c>
      <c r="C15" s="264"/>
      <c r="D15" s="1037"/>
      <c r="E15" s="262"/>
      <c r="F15" s="262"/>
      <c r="G15" s="263" t="s">
        <v>2337</v>
      </c>
    </row>
    <row r="16" spans="1:9" s="258" customFormat="1" ht="13.5" hidden="1" customHeight="1">
      <c r="A16" s="271" t="s">
        <v>12</v>
      </c>
      <c r="B16" s="259" t="s">
        <v>2334</v>
      </c>
      <c r="C16" s="264"/>
      <c r="D16" s="1037"/>
      <c r="E16" s="262"/>
      <c r="F16" s="262"/>
      <c r="G16" s="263"/>
    </row>
    <row r="17" spans="1:7" s="258" customFormat="1" ht="13.5" hidden="1" customHeight="1">
      <c r="A17" s="271" t="s">
        <v>13</v>
      </c>
      <c r="B17" s="259" t="s">
        <v>2338</v>
      </c>
      <c r="C17" s="273"/>
      <c r="D17" s="1038"/>
      <c r="E17" s="273"/>
      <c r="F17" s="273"/>
      <c r="G17" s="263" t="s">
        <v>2337</v>
      </c>
    </row>
    <row r="18" spans="1:7" s="258" customFormat="1" ht="13.5" hidden="1" customHeight="1">
      <c r="A18" s="271" t="s">
        <v>14</v>
      </c>
      <c r="B18" s="259" t="s">
        <v>2339</v>
      </c>
      <c r="C18" s="264">
        <v>0</v>
      </c>
      <c r="D18" s="1037"/>
      <c r="E18" s="262"/>
      <c r="F18" s="265">
        <v>3.0499999999999999E-2</v>
      </c>
      <c r="G18" s="263" t="s">
        <v>2340</v>
      </c>
    </row>
    <row r="19" spans="1:7" s="267" customFormat="1" ht="13.5" customHeight="1">
      <c r="A19" s="299" t="s">
        <v>2341</v>
      </c>
      <c r="B19" s="254" t="s">
        <v>2342</v>
      </c>
      <c r="C19" s="255">
        <f ca="1">IF(G19="已包含在土地取得成本中","0",ROUND(D19*E19/10000,0))</f>
        <v>1336</v>
      </c>
      <c r="D19" s="1039">
        <f ca="1">D9+D10</f>
        <v>166960</v>
      </c>
      <c r="E19" s="255">
        <f>'数据-取费表'!B31</f>
        <v>80</v>
      </c>
      <c r="F19" s="275"/>
      <c r="G19" s="2551"/>
    </row>
    <row r="20" spans="1:7" s="258" customFormat="1" ht="13.5" customHeight="1">
      <c r="A20" s="299" t="s">
        <v>2343</v>
      </c>
      <c r="B20" s="254" t="s">
        <v>2344</v>
      </c>
      <c r="C20" s="276">
        <f ca="1">ROUND((C5+C19)*F20,0)</f>
        <v>2346</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7">
        <f ca="1">ROUND(SUM(C23:C25),0)</f>
        <v>827</v>
      </c>
      <c r="D22" s="279">
        <f ca="1">C26</f>
        <v>1E-4</v>
      </c>
      <c r="E22" s="280" t="s">
        <v>2348</v>
      </c>
      <c r="F22" s="281">
        <f ca="1">'数据-取费表'!B40</f>
        <v>4.7500000000000001E-2</v>
      </c>
      <c r="G22" s="278" t="str">
        <f>IF('数据-取费表'!B22&lt;=1,"单利计息","复利计息")</f>
        <v>复利计息</v>
      </c>
    </row>
    <row r="23" spans="1:7" s="258" customFormat="1" ht="13.5" customHeight="1">
      <c r="A23" s="954" t="s">
        <v>2352</v>
      </c>
      <c r="B23" s="259" t="s">
        <v>2353</v>
      </c>
      <c r="C23" s="1358">
        <f ca="1">ROUND(IF('数据-取费表'!B22&lt;=1,C5*F22*'数据-取费表'!B23,C5*(POWER((1+F22),'数据-取费表'!B23)-1)),0)</f>
        <v>810</v>
      </c>
      <c r="D23" s="282"/>
      <c r="E23" s="282"/>
      <c r="F23" s="283"/>
      <c r="G23" s="284" t="s">
        <v>2354</v>
      </c>
    </row>
    <row r="24" spans="1:7" s="258" customFormat="1" ht="13.5" customHeight="1">
      <c r="A24" s="954" t="s">
        <v>2355</v>
      </c>
      <c r="B24" s="259" t="s">
        <v>2356</v>
      </c>
      <c r="C24" s="1358">
        <f ca="1">ROUND(IF('数据-取费表'!B22&lt;=1,C19*F22*('数据-取费表'!B19/2+'数据-取费表'!B21),C19*(POWER((1+F22),('数据-取费表'!B19/2+'数据-取费表'!B21))-1)),0)</f>
        <v>9</v>
      </c>
      <c r="D24" s="282"/>
      <c r="E24" s="282"/>
      <c r="F24" s="283"/>
      <c r="G24" s="284" t="s">
        <v>2357</v>
      </c>
    </row>
    <row r="25" spans="1:7" s="258" customFormat="1" ht="25.5">
      <c r="A25" s="954" t="s">
        <v>2358</v>
      </c>
      <c r="B25" s="259" t="s">
        <v>2359</v>
      </c>
      <c r="C25" s="1358">
        <f ca="1">ROUND(IF('数据-取费表'!B22&lt;=1,C20*F22*'数据-取费表'!B23/2,C20*(POWER((1+F22),'数据-取费表'!B23/2)-1)),0)</f>
        <v>8</v>
      </c>
      <c r="D25" s="282"/>
      <c r="E25" s="285"/>
      <c r="F25" s="283"/>
      <c r="G25" s="286" t="s">
        <v>2360</v>
      </c>
    </row>
    <row r="26" spans="1:7" s="258" customFormat="1" ht="13.15">
      <c r="A26" s="954" t="s">
        <v>795</v>
      </c>
      <c r="B26" s="259" t="s">
        <v>2361</v>
      </c>
      <c r="C26" s="282">
        <f ca="1">ROUND(IF('数据-取费表'!B22&lt;=1,F21*F22*'数据-取费表'!B23/2,F21*(POWER((1+F22),'数据-取费表'!B23/2)-1)),4)</f>
        <v>1E-4</v>
      </c>
      <c r="D26" s="282"/>
      <c r="E26" s="285"/>
      <c r="F26" s="283"/>
      <c r="G26" s="287"/>
    </row>
    <row r="27" spans="1:7" s="258" customFormat="1" ht="26.25">
      <c r="A27" s="299" t="s">
        <v>2362</v>
      </c>
      <c r="B27" s="288" t="s">
        <v>2363</v>
      </c>
      <c r="C27" s="289">
        <f ca="1">C28</f>
        <v>1197</v>
      </c>
      <c r="D27" s="279">
        <f ca="1">C29</f>
        <v>2.0000000000000001E-4</v>
      </c>
      <c r="E27" s="280" t="s">
        <v>2364</v>
      </c>
      <c r="F27" s="290">
        <f ca="1">IF(B1="",'数据-取费表'!Q16,INDIRECT("'数据-取费表'!q"&amp;$G$1))</f>
        <v>0.1</v>
      </c>
      <c r="G27" s="291" t="s">
        <v>2365</v>
      </c>
    </row>
    <row r="28" spans="1:7" s="258" customFormat="1" ht="13.5" customHeight="1">
      <c r="A28" s="954" t="s">
        <v>791</v>
      </c>
      <c r="B28" s="292" t="s">
        <v>2366</v>
      </c>
      <c r="C28" s="293">
        <f ca="1">ROUND((C5+C19+C20)*F27*'数据-取费表'!B21/'数据-取费表'!B20,0)</f>
        <v>1197</v>
      </c>
      <c r="D28" s="279"/>
      <c r="E28" s="280"/>
      <c r="F28" s="290"/>
      <c r="G28" s="291"/>
    </row>
    <row r="29" spans="1:7" s="258" customFormat="1" ht="13.5" customHeight="1">
      <c r="A29" s="954" t="s">
        <v>792</v>
      </c>
      <c r="B29" s="292" t="s">
        <v>2367</v>
      </c>
      <c r="C29" s="282">
        <f ca="1">ROUND(C21*F27*'数据-取费表'!B21/'数据-取费表'!B20,4)</f>
        <v>2.0000000000000001E-4</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131349</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7446</v>
      </c>
      <c r="D33" s="276"/>
      <c r="E33" s="256"/>
      <c r="F33" s="285"/>
      <c r="G33" s="278"/>
    </row>
    <row r="34" spans="1:7" s="302" customFormat="1" ht="13.5" customHeight="1">
      <c r="A34" s="954" t="s">
        <v>791</v>
      </c>
      <c r="B34" s="259" t="s">
        <v>2375</v>
      </c>
      <c r="C34" s="264">
        <f ca="1">IF(B1="",IF(F34=100%,'数据-取费表'!M16,'数据-取费表'!O16),IF(F34=100%,INDIRECT("'数据-取费表'!m"&amp;$G$1)+INDIRECT("'数据-取费表'!t"&amp;$G$1),INDIRECT("'数据-取费表'!o"&amp;$G$1)+INDIRECT("'数据-取费表'!aq"&amp;$G$1)))</f>
        <v>6678</v>
      </c>
      <c r="D34" s="261"/>
      <c r="E34" s="264"/>
      <c r="F34" s="301">
        <f ca="1">IF('数据-取费表'!B24=0,1,IF(B1="",'数据-取费表'!N16,INDIRECT("'数据-取费表'!n"&amp;$G$1)))</f>
        <v>0.1</v>
      </c>
      <c r="G34" s="263" t="s">
        <v>2376</v>
      </c>
    </row>
    <row r="35" spans="1:7" ht="13.5" customHeight="1">
      <c r="A35" s="954" t="s">
        <v>796</v>
      </c>
      <c r="B35" s="259" t="s">
        <v>2377</v>
      </c>
      <c r="C35" s="264">
        <f ca="1">ROUND(C34*F35,0)</f>
        <v>334</v>
      </c>
      <c r="D35" s="264"/>
      <c r="E35" s="264"/>
      <c r="F35" s="303">
        <f>'数据-取费表'!B33</f>
        <v>0.05</v>
      </c>
      <c r="G35" s="263" t="s">
        <v>2378</v>
      </c>
    </row>
    <row r="36" spans="1:7" ht="25.5">
      <c r="A36" s="954"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4" t="s">
        <v>798</v>
      </c>
      <c r="B37" s="259" t="s">
        <v>2381</v>
      </c>
      <c r="C37" s="293">
        <f ca="1">ROUND(E37*D37*F34/10000,0)</f>
        <v>334</v>
      </c>
      <c r="D37" s="261">
        <f ca="1">D19</f>
        <v>166960</v>
      </c>
      <c r="E37" s="293">
        <f>'数据-取费表'!B35</f>
        <v>200</v>
      </c>
      <c r="F37" s="303"/>
      <c r="G37" s="305" t="s">
        <v>2382</v>
      </c>
    </row>
    <row r="38" spans="1:7" ht="13.5" customHeight="1">
      <c r="A38" s="954" t="s">
        <v>799</v>
      </c>
      <c r="B38" s="259" t="s">
        <v>2383</v>
      </c>
      <c r="C38" s="264">
        <f ca="1">ROUND(C34*F38,0)</f>
        <v>100</v>
      </c>
      <c r="D38" s="264"/>
      <c r="E38" s="264"/>
      <c r="F38" s="303">
        <f>'数据-取费表'!B36</f>
        <v>1.4999999999999999E-2</v>
      </c>
      <c r="G38" s="263" t="s">
        <v>2378</v>
      </c>
    </row>
    <row r="39" spans="1:7" s="258" customFormat="1" ht="13.5" customHeight="1">
      <c r="A39" s="299" t="s">
        <v>2384</v>
      </c>
      <c r="B39" s="254" t="s">
        <v>2385</v>
      </c>
      <c r="C39" s="276">
        <f ca="1">ROUND(C33*F20,0)</f>
        <v>149</v>
      </c>
      <c r="D39" s="276"/>
      <c r="E39" s="276"/>
      <c r="F39" s="277"/>
      <c r="G39" s="278" t="s">
        <v>2386</v>
      </c>
    </row>
    <row r="40" spans="1:7" s="258" customFormat="1" ht="13.5" customHeight="1">
      <c r="A40" s="299" t="s">
        <v>2387</v>
      </c>
      <c r="B40" s="254" t="s">
        <v>2388</v>
      </c>
      <c r="C40" s="1731">
        <f>F21</f>
        <v>0.02</v>
      </c>
      <c r="D40" s="280" t="s">
        <v>2389</v>
      </c>
      <c r="E40" s="276"/>
      <c r="F40" s="277"/>
      <c r="G40" s="278" t="s">
        <v>2390</v>
      </c>
    </row>
    <row r="41" spans="1:7" s="258" customFormat="1" ht="13.5" customHeight="1">
      <c r="A41" s="299" t="s">
        <v>2391</v>
      </c>
      <c r="B41" s="254" t="s">
        <v>2392</v>
      </c>
      <c r="C41" s="276">
        <f ca="1">ROUND(SUM(C42:C43),0)</f>
        <v>27</v>
      </c>
      <c r="D41" s="279">
        <f ca="1">C44</f>
        <v>1E-4</v>
      </c>
      <c r="E41" s="280" t="s">
        <v>2389</v>
      </c>
      <c r="F41" s="281"/>
      <c r="G41" s="278" t="str">
        <f>IF('数据-取费表'!B22&lt;=1,"单利计息","复利计息")</f>
        <v>复利计息</v>
      </c>
    </row>
    <row r="42" spans="1:7" ht="13.5" customHeight="1">
      <c r="A42" s="954" t="s">
        <v>791</v>
      </c>
      <c r="B42" s="259" t="s">
        <v>2393</v>
      </c>
      <c r="C42" s="282">
        <f ca="1">ROUND(IF('数据-取费表'!B22&lt;=1,C33*F22*'数据-取费表'!B21/2,C33*(POWER((1+F22),'数据-取费表'!B21/2)-1)),0)</f>
        <v>26</v>
      </c>
      <c r="D42" s="282"/>
      <c r="E42" s="282"/>
      <c r="F42" s="283"/>
      <c r="G42" s="3211" t="s">
        <v>2394</v>
      </c>
    </row>
    <row r="43" spans="1:7" ht="13.5" customHeight="1">
      <c r="A43" s="954" t="s">
        <v>792</v>
      </c>
      <c r="B43" s="259" t="s">
        <v>2395</v>
      </c>
      <c r="C43" s="282">
        <f ca="1">ROUND(IF('数据-取费表'!B22&lt;=1,C39*F22*'数据-取费表'!B21/2,C39*(POWER((1+F22),'数据-取费表'!B21/2)-1)),0)</f>
        <v>1</v>
      </c>
      <c r="D43" s="282"/>
      <c r="E43" s="282"/>
      <c r="F43" s="283"/>
      <c r="G43" s="3212"/>
    </row>
    <row r="44" spans="1:7" ht="13.5" customHeight="1">
      <c r="A44" s="954" t="s">
        <v>793</v>
      </c>
      <c r="B44" s="259" t="s">
        <v>2396</v>
      </c>
      <c r="C44" s="282">
        <f ca="1">ROUND(IF('数据-取费表'!B22&lt;=1,C40*F22*'数据-取费表'!B21/2,C40*(POWER((1+F22),'数据-取费表'!B21/2)-1)),4)</f>
        <v>1E-4</v>
      </c>
      <c r="D44" s="282"/>
      <c r="E44" s="282"/>
      <c r="F44" s="283"/>
      <c r="G44" s="3213"/>
    </row>
    <row r="45" spans="1:7" s="258" customFormat="1" ht="13.5" customHeight="1">
      <c r="A45" s="299" t="s">
        <v>2397</v>
      </c>
      <c r="B45" s="288" t="s">
        <v>2363</v>
      </c>
      <c r="C45" s="289">
        <f ca="1">C46</f>
        <v>760</v>
      </c>
      <c r="D45" s="279">
        <f ca="1">C47</f>
        <v>2E-3</v>
      </c>
      <c r="E45" s="280" t="s">
        <v>2389</v>
      </c>
      <c r="F45" s="290"/>
      <c r="G45" s="291" t="s">
        <v>2398</v>
      </c>
    </row>
    <row r="46" spans="1:7" s="258" customFormat="1" ht="13.5" customHeight="1">
      <c r="A46" s="954" t="s">
        <v>791</v>
      </c>
      <c r="B46" s="292" t="s">
        <v>2399</v>
      </c>
      <c r="C46" s="293">
        <f ca="1">ROUND((C33+C39)*F27,0)</f>
        <v>760</v>
      </c>
      <c r="D46" s="307"/>
      <c r="E46" s="280"/>
      <c r="F46" s="290"/>
      <c r="G46" s="291"/>
    </row>
    <row r="47" spans="1:7" s="258" customFormat="1" ht="13.5" customHeight="1">
      <c r="A47" s="954" t="s">
        <v>792</v>
      </c>
      <c r="B47" s="292" t="s">
        <v>2400</v>
      </c>
      <c r="C47" s="282">
        <f ca="1">ROUND(C40*F27,4)</f>
        <v>2E-3</v>
      </c>
      <c r="D47" s="307"/>
      <c r="E47" s="280"/>
      <c r="F47" s="290"/>
      <c r="G47" s="291"/>
    </row>
    <row r="48" spans="1:7" s="258" customFormat="1" ht="13.5" customHeight="1">
      <c r="A48" s="299" t="s">
        <v>2362</v>
      </c>
      <c r="B48" s="254" t="s">
        <v>2401</v>
      </c>
      <c r="C48" s="1731">
        <f>ROUND(F30/(1+'数据-取费表'!C42),4)</f>
        <v>5.33E-2</v>
      </c>
      <c r="D48" s="280" t="s">
        <v>2389</v>
      </c>
      <c r="E48" s="276"/>
      <c r="F48" s="281"/>
      <c r="G48" s="278" t="s">
        <v>2402</v>
      </c>
    </row>
    <row r="49" spans="1:7" ht="16.5" customHeight="1">
      <c r="A49" s="299" t="s">
        <v>2368</v>
      </c>
      <c r="B49" s="254" t="s">
        <v>2403</v>
      </c>
      <c r="C49" s="276">
        <f ca="1">ROUND((C33+C39+C41+C45)/(1-C40-D41-D45-C48),0)</f>
        <v>9066</v>
      </c>
      <c r="D49" s="276"/>
      <c r="E49" s="276"/>
      <c r="F49" s="308"/>
      <c r="G49" s="278" t="s">
        <v>2404</v>
      </c>
    </row>
    <row r="50" spans="1:7" s="302" customFormat="1" ht="25.5">
      <c r="A50" s="299" t="s">
        <v>2405</v>
      </c>
      <c r="B50" s="254" t="s">
        <v>2406</v>
      </c>
      <c r="C50" s="276"/>
      <c r="D50" s="276"/>
      <c r="E50" s="276"/>
      <c r="F50" s="308">
        <f>IF('数据-取费表'!B24=0,'数据-取费表'!N16,1)</f>
        <v>1</v>
      </c>
      <c r="G50" s="291" t="s">
        <v>2407</v>
      </c>
    </row>
    <row r="51" spans="1:7" ht="16.5" customHeight="1">
      <c r="A51" s="299" t="s">
        <v>2408</v>
      </c>
      <c r="B51" s="254" t="s">
        <v>2409</v>
      </c>
      <c r="C51" s="276">
        <f ca="1">ROUND(C49*F50,0)</f>
        <v>9066</v>
      </c>
      <c r="D51" s="276"/>
      <c r="E51" s="276"/>
      <c r="F51" s="308"/>
      <c r="G51" s="278" t="s">
        <v>2410</v>
      </c>
    </row>
    <row r="52" spans="1:7" s="252" customFormat="1" ht="16.149999999999999" thickBot="1">
      <c r="A52" s="309" t="s">
        <v>2411</v>
      </c>
      <c r="B52" s="310"/>
      <c r="C52" s="311">
        <f ca="1">C31+C51</f>
        <v>140415</v>
      </c>
      <c r="D52" s="310"/>
      <c r="E52" s="310"/>
      <c r="F52" s="310"/>
      <c r="G52" s="312"/>
    </row>
    <row r="55" spans="1:7" ht="15">
      <c r="B55" s="314" t="s">
        <v>2412</v>
      </c>
      <c r="C55" s="315"/>
    </row>
    <row r="56" spans="1:7" ht="13.15">
      <c r="B56" s="317" t="s">
        <v>1513</v>
      </c>
      <c r="C56" s="319">
        <f ca="1">1-C57</f>
        <v>0.93500000000000005</v>
      </c>
    </row>
    <row r="57" spans="1:7" ht="13.15">
      <c r="B57" s="317" t="s">
        <v>1514</v>
      </c>
      <c r="C57" s="318">
        <f ca="1">ROUND(C51/C52,3)</f>
        <v>6.5000000000000002E-2</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C38" sqref="C38"/>
    </sheetView>
  </sheetViews>
  <sheetFormatPr defaultColWidth="8.3984375" defaultRowHeight="12.75"/>
  <cols>
    <col min="1" max="1" width="9.3984375" style="313" customWidth="1"/>
    <col min="2" max="2" width="29.265625" style="295" customWidth="1"/>
    <col min="3" max="3" width="12.1328125" style="295" customWidth="1"/>
    <col min="4" max="5" width="11.265625" style="316" customWidth="1"/>
    <col min="6" max="6" width="9.46484375" style="295" customWidth="1"/>
    <col min="7" max="7" width="31.86328125" style="295" customWidth="1"/>
    <col min="8" max="8" width="10.73046875" style="295" customWidth="1"/>
    <col min="9" max="254" width="9" style="295" customWidth="1"/>
    <col min="255" max="16384" width="8.3984375" style="295"/>
  </cols>
  <sheetData>
    <row r="1" spans="1:8" s="244" customFormat="1" ht="20.65">
      <c r="A1" s="240" t="s">
        <v>2311</v>
      </c>
      <c r="B1" s="1940"/>
      <c r="C1" s="2554" t="s">
        <v>2413</v>
      </c>
      <c r="D1" s="242"/>
      <c r="E1" s="242"/>
      <c r="F1" s="242"/>
      <c r="G1" s="1382">
        <f>MATCH(B1,'数据-取费表'!A6:A16,0)+5</f>
        <v>8</v>
      </c>
      <c r="H1" s="1285" t="str">
        <f>IF(ISERROR(FIND("住宅",B1)),"非住宅","住宅")</f>
        <v>非住宅</v>
      </c>
    </row>
    <row r="2" spans="1:8" s="244" customFormat="1" ht="18" customHeight="1">
      <c r="A2" s="245" t="s">
        <v>2312</v>
      </c>
      <c r="B2" s="246">
        <f ca="1">ROUND(IF(D2="——",C52/10000,C52/10000-E2),0)</f>
        <v>99377</v>
      </c>
      <c r="C2" s="243" t="s">
        <v>2313</v>
      </c>
      <c r="D2" s="2548" t="s">
        <v>70</v>
      </c>
      <c r="E2" s="1443" t="e">
        <f ca="1">SUMIF(INDIRECT("'"&amp;G2&amp;"'"&amp;"!A:A"),"承租人权益价值",INDIRECT("'"&amp;G2&amp;"'"&amp;"!c:c"))</f>
        <v>#REF!</v>
      </c>
      <c r="F2" s="2549" t="s">
        <v>2313</v>
      </c>
      <c r="G2" s="2550"/>
    </row>
    <row r="3" spans="1:8" s="244" customFormat="1" ht="18" customHeight="1" thickBot="1">
      <c r="A3" s="247" t="s">
        <v>2314</v>
      </c>
      <c r="B3" s="248">
        <f ca="1">ROUND(B2*10000/(IF(B1="",'数据-汇总表'!E3,INDIRECT("'数据-取费表'!k"&amp;$G$1))),0)</f>
        <v>5952</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33392000</v>
      </c>
      <c r="D5" s="255" t="s">
        <v>2319</v>
      </c>
      <c r="E5" s="256" t="s">
        <v>2320</v>
      </c>
      <c r="F5" s="256" t="s">
        <v>2321</v>
      </c>
      <c r="G5" s="257"/>
    </row>
    <row r="6" spans="1:8" s="258" customFormat="1" ht="13.5" customHeight="1">
      <c r="A6" s="952" t="s">
        <v>2322</v>
      </c>
      <c r="B6" s="259" t="s">
        <v>2323</v>
      </c>
      <c r="C6" s="260"/>
      <c r="D6" s="261"/>
      <c r="E6" s="262"/>
      <c r="F6" s="262"/>
      <c r="G6" s="263"/>
    </row>
    <row r="7" spans="1:8" s="258" customFormat="1" ht="13.5" customHeight="1">
      <c r="A7" s="952" t="s">
        <v>2324</v>
      </c>
      <c r="B7" s="259" t="s">
        <v>2325</v>
      </c>
      <c r="C7" s="264">
        <f>ROUND(C6*F7,0)</f>
        <v>0</v>
      </c>
      <c r="D7" s="264"/>
      <c r="E7" s="262"/>
      <c r="F7" s="265">
        <f>'数据-取费表'!B48+'数据-取费表'!B49</f>
        <v>3.0499999999999999E-2</v>
      </c>
      <c r="G7" s="263"/>
    </row>
    <row r="8" spans="1:8" s="267" customFormat="1" ht="13.15">
      <c r="A8" s="952" t="s">
        <v>2326</v>
      </c>
      <c r="B8" s="259" t="s">
        <v>2327</v>
      </c>
      <c r="C8" s="264">
        <f ca="1">IF(G8="已包含在土地购买价格中",0,C9+C10)</f>
        <v>33392000</v>
      </c>
      <c r="D8" s="266"/>
      <c r="E8" s="264"/>
      <c r="F8" s="265"/>
      <c r="G8" s="2551"/>
    </row>
    <row r="9" spans="1:8" s="258" customFormat="1" ht="13.5" customHeight="1">
      <c r="A9" s="953" t="s">
        <v>800</v>
      </c>
      <c r="B9" s="268" t="s">
        <v>2328</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2330</v>
      </c>
      <c r="C10" s="269">
        <f ca="1">ROUND(D10*E10,0)</f>
        <v>33392000</v>
      </c>
      <c r="D10" s="1035">
        <f ca="1">IF(B1="",'数据-汇总表'!E6,IF(INDIRECT("'数据-取费表'!c"&amp;$G$1)="住宅",INDIRECT("'数据-取费表'!s"&amp;$G$1),INDIRECT("'数据-取费表'!k"&amp;$G$1)+INDIRECT("'数据-取费表'!s"&amp;$G$1)))</f>
        <v>166960</v>
      </c>
      <c r="E10" s="269">
        <f>'数据-取费表'!B28</f>
        <v>200</v>
      </c>
      <c r="F10" s="265"/>
      <c r="G10" s="270"/>
    </row>
    <row r="11" spans="1:8" s="258" customFormat="1" ht="13.5" hidden="1" customHeight="1">
      <c r="A11" s="271" t="s">
        <v>7</v>
      </c>
      <c r="B11" s="259" t="s">
        <v>2331</v>
      </c>
      <c r="C11" s="255"/>
      <c r="D11" s="1037"/>
      <c r="E11" s="262"/>
      <c r="F11" s="262"/>
      <c r="G11" s="263"/>
    </row>
    <row r="12" spans="1:8" s="258" customFormat="1" ht="13.5" hidden="1" customHeight="1">
      <c r="A12" s="271" t="s">
        <v>8</v>
      </c>
      <c r="B12" s="259" t="s">
        <v>2414</v>
      </c>
      <c r="C12" s="255">
        <v>0</v>
      </c>
      <c r="D12" s="1037"/>
      <c r="E12" s="272"/>
      <c r="F12" s="265">
        <v>3.0499999999999999E-2</v>
      </c>
      <c r="G12" s="263"/>
    </row>
    <row r="13" spans="1:8" s="258" customFormat="1" ht="13.5" hidden="1" customHeight="1">
      <c r="A13" s="271" t="s">
        <v>9</v>
      </c>
      <c r="B13" s="259" t="s">
        <v>2415</v>
      </c>
      <c r="C13" s="255"/>
      <c r="D13" s="1037"/>
      <c r="E13" s="262"/>
      <c r="F13" s="262"/>
      <c r="G13" s="263"/>
    </row>
    <row r="14" spans="1:8" s="258" customFormat="1" ht="13.5" hidden="1" customHeight="1">
      <c r="A14" s="271" t="s">
        <v>10</v>
      </c>
      <c r="B14" s="259" t="s">
        <v>2327</v>
      </c>
      <c r="C14" s="255"/>
      <c r="D14" s="1037"/>
      <c r="E14" s="262"/>
      <c r="F14" s="262"/>
      <c r="G14" s="263" t="s">
        <v>2416</v>
      </c>
    </row>
    <row r="15" spans="1:8" s="258" customFormat="1" ht="13.5" hidden="1" customHeight="1">
      <c r="A15" s="271" t="s">
        <v>11</v>
      </c>
      <c r="B15" s="259" t="s">
        <v>2417</v>
      </c>
      <c r="C15" s="264"/>
      <c r="D15" s="1037"/>
      <c r="E15" s="262"/>
      <c r="F15" s="262"/>
      <c r="G15" s="263" t="s">
        <v>2418</v>
      </c>
    </row>
    <row r="16" spans="1:8" s="258" customFormat="1" ht="13.5" hidden="1" customHeight="1">
      <c r="A16" s="271" t="s">
        <v>12</v>
      </c>
      <c r="B16" s="259" t="s">
        <v>2327</v>
      </c>
      <c r="C16" s="264"/>
      <c r="D16" s="1037"/>
      <c r="E16" s="262"/>
      <c r="F16" s="262"/>
      <c r="G16" s="263"/>
    </row>
    <row r="17" spans="1:7" s="258" customFormat="1" ht="13.5" hidden="1" customHeight="1">
      <c r="A17" s="271" t="s">
        <v>13</v>
      </c>
      <c r="B17" s="259" t="s">
        <v>2419</v>
      </c>
      <c r="C17" s="273"/>
      <c r="D17" s="1038"/>
      <c r="E17" s="273"/>
      <c r="F17" s="273"/>
      <c r="G17" s="263" t="s">
        <v>2418</v>
      </c>
    </row>
    <row r="18" spans="1:7" s="258" customFormat="1" ht="13.5" hidden="1" customHeight="1">
      <c r="A18" s="271" t="s">
        <v>14</v>
      </c>
      <c r="B18" s="259" t="s">
        <v>2420</v>
      </c>
      <c r="C18" s="264">
        <v>0</v>
      </c>
      <c r="D18" s="1037"/>
      <c r="E18" s="262"/>
      <c r="F18" s="265">
        <v>3.0499999999999999E-2</v>
      </c>
      <c r="G18" s="263" t="s">
        <v>2421</v>
      </c>
    </row>
    <row r="19" spans="1:7" s="267" customFormat="1" ht="13.5" customHeight="1">
      <c r="A19" s="299" t="s">
        <v>2422</v>
      </c>
      <c r="B19" s="254" t="s">
        <v>2423</v>
      </c>
      <c r="C19" s="255">
        <f ca="1">IF(G19="已包含在土地取得成本中","0",ROUND(D19*E19,0))</f>
        <v>13356800</v>
      </c>
      <c r="D19" s="1039">
        <f ca="1">D9+D10</f>
        <v>166960</v>
      </c>
      <c r="E19" s="255">
        <f>'数据-取费表'!B31</f>
        <v>80</v>
      </c>
      <c r="F19" s="275"/>
      <c r="G19" s="2551"/>
    </row>
    <row r="20" spans="1:7" s="258" customFormat="1" ht="13.5" customHeight="1">
      <c r="A20" s="299" t="s">
        <v>2424</v>
      </c>
      <c r="B20" s="254" t="s">
        <v>2425</v>
      </c>
      <c r="C20" s="276">
        <f ca="1">ROUND((C5+C19)*F20,0)</f>
        <v>934976</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3">
        <f ca="1">ROUND(SUM(C23:C25),0)</f>
        <v>3403213</v>
      </c>
      <c r="D22" s="279">
        <f ca="1">C26</f>
        <v>6.9999999999999999E-4</v>
      </c>
      <c r="E22" s="280" t="s">
        <v>2429</v>
      </c>
      <c r="F22" s="281">
        <f ca="1">'数据-取费表'!B40</f>
        <v>4.7500000000000001E-2</v>
      </c>
      <c r="G22" s="278" t="str">
        <f>IF('数据-取费表'!B22&lt;=1,"单利计息","复利计息")</f>
        <v>复利计息</v>
      </c>
    </row>
    <row r="23" spans="1:7" s="258" customFormat="1" ht="13.5" customHeight="1">
      <c r="A23" s="954" t="s">
        <v>2322</v>
      </c>
      <c r="B23" s="259" t="s">
        <v>2433</v>
      </c>
      <c r="C23" s="1384">
        <f ca="1">ROUND(IF('数据-取费表'!B22&lt;=1,C5*F22*'数据-取费表'!B22,C5*(POWER((1+F22),'数据-取费表'!B22)-1)),0)</f>
        <v>2407213</v>
      </c>
      <c r="D23" s="282"/>
      <c r="E23" s="282"/>
      <c r="F23" s="283"/>
      <c r="G23" s="284" t="s">
        <v>2434</v>
      </c>
    </row>
    <row r="24" spans="1:7" s="258" customFormat="1" ht="13.5" customHeight="1">
      <c r="A24" s="954" t="s">
        <v>2324</v>
      </c>
      <c r="B24" s="259" t="s">
        <v>2435</v>
      </c>
      <c r="C24" s="1384">
        <f ca="1">ROUND(IF('数据-取费表'!B22&lt;=1,C19*F22*('数据-取费表'!B19/2+'数据-取费表'!B20),C19*(POWER((1+F22),('数据-取费表'!B19/2+'数据-取费表'!B20))-1)),0)</f>
        <v>962885</v>
      </c>
      <c r="D24" s="282"/>
      <c r="E24" s="282"/>
      <c r="F24" s="283"/>
      <c r="G24" s="284" t="s">
        <v>2436</v>
      </c>
    </row>
    <row r="25" spans="1:7" s="258" customFormat="1" ht="25.5">
      <c r="A25" s="954" t="s">
        <v>2326</v>
      </c>
      <c r="B25" s="259" t="s">
        <v>2437</v>
      </c>
      <c r="C25" s="1384">
        <f ca="1">ROUND(IF('数据-取费表'!B22&lt;=1,C20*F22*'数据-取费表'!B22/2,C20*(POWER((1+F22),'数据-取费表'!B22/2)-1)),0)</f>
        <v>33115</v>
      </c>
      <c r="D25" s="282"/>
      <c r="E25" s="285"/>
      <c r="F25" s="283"/>
      <c r="G25" s="286" t="s">
        <v>2438</v>
      </c>
    </row>
    <row r="26" spans="1:7" s="258" customFormat="1" ht="13.15">
      <c r="A26" s="954" t="s">
        <v>795</v>
      </c>
      <c r="B26" s="259" t="s">
        <v>2361</v>
      </c>
      <c r="C26" s="282">
        <f ca="1">ROUND(IF('数据-取费表'!B22&lt;=1,F21*F22*'数据-取费表'!B22/2,F21*(POWER((1+F22),'数据-取费表'!B22/2)-1)),4)</f>
        <v>6.9999999999999999E-4</v>
      </c>
      <c r="D26" s="282"/>
      <c r="E26" s="285"/>
      <c r="F26" s="283"/>
      <c r="G26" s="287"/>
    </row>
    <row r="27" spans="1:7" s="258" customFormat="1" ht="26.25">
      <c r="A27" s="299" t="s">
        <v>2362</v>
      </c>
      <c r="B27" s="288" t="s">
        <v>2363</v>
      </c>
      <c r="C27" s="289">
        <f ca="1">C28</f>
        <v>4768378</v>
      </c>
      <c r="D27" s="279">
        <f ca="1">C29</f>
        <v>2E-3</v>
      </c>
      <c r="E27" s="280" t="s">
        <v>2364</v>
      </c>
      <c r="F27" s="290">
        <f ca="1">IF(B1="",'数据-取费表'!Q16,INDIRECT("'数据-取费表'!q"&amp;$G$1))</f>
        <v>0.1</v>
      </c>
      <c r="G27" s="291" t="s">
        <v>2365</v>
      </c>
    </row>
    <row r="28" spans="1:7" s="258" customFormat="1" ht="13.5" customHeight="1">
      <c r="A28" s="954" t="s">
        <v>791</v>
      </c>
      <c r="B28" s="292" t="s">
        <v>2366</v>
      </c>
      <c r="C28" s="293">
        <f ca="1">ROUND((C5+C19+C20)*F27,0)</f>
        <v>4768378</v>
      </c>
      <c r="D28" s="279"/>
      <c r="E28" s="280"/>
      <c r="F28" s="290"/>
      <c r="G28" s="291"/>
    </row>
    <row r="29" spans="1:7" s="258" customFormat="1" ht="13.5" customHeight="1">
      <c r="A29" s="954" t="s">
        <v>792</v>
      </c>
      <c r="B29" s="292" t="s">
        <v>2367</v>
      </c>
      <c r="C29" s="282">
        <f ca="1">ROUND(C21*F27,4)</f>
        <v>2E-3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60449531</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744641600</v>
      </c>
      <c r="D33" s="276"/>
      <c r="E33" s="256"/>
      <c r="F33" s="285"/>
      <c r="G33" s="278"/>
    </row>
    <row r="34" spans="1:7" s="302" customFormat="1" ht="13.5" customHeight="1">
      <c r="A34" s="954" t="s">
        <v>791</v>
      </c>
      <c r="B34" s="259" t="s">
        <v>2375</v>
      </c>
      <c r="C34" s="264">
        <f ca="1">ROUND(IF(B1="",SUMPRODUCT('数据-取费表'!K6:K14,'数据-取费表'!L6:L14),INDIRECT("'数据-取费表'!l"&amp;$G$1)*INDIRECT("'数据-取费表'!k"&amp;$G$1)+'数据-取费表'!L14*INDIRECT("'数据-取费表'!S"&amp;$G$1)),0)</f>
        <v>667840000</v>
      </c>
      <c r="D34" s="261"/>
      <c r="E34" s="264"/>
      <c r="F34" s="301"/>
      <c r="G34" s="263"/>
    </row>
    <row r="35" spans="1:7" ht="13.5" customHeight="1">
      <c r="A35" s="954" t="s">
        <v>796</v>
      </c>
      <c r="B35" s="259" t="s">
        <v>2377</v>
      </c>
      <c r="C35" s="264">
        <f ca="1">ROUND(C34*F35,0)</f>
        <v>33392000</v>
      </c>
      <c r="D35" s="264"/>
      <c r="E35" s="264"/>
      <c r="F35" s="303">
        <f>'数据-取费表'!B33</f>
        <v>0.05</v>
      </c>
      <c r="G35" s="263" t="s">
        <v>2378</v>
      </c>
    </row>
    <row r="36" spans="1:7" ht="25.5">
      <c r="A36" s="954"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4" t="s">
        <v>798</v>
      </c>
      <c r="B37" s="259" t="s">
        <v>2381</v>
      </c>
      <c r="C37" s="293">
        <f ca="1">ROUND(E37*D37,0)</f>
        <v>33392000</v>
      </c>
      <c r="D37" s="261">
        <f ca="1">D19</f>
        <v>166960</v>
      </c>
      <c r="E37" s="293">
        <f>'数据-取费表'!B35</f>
        <v>200</v>
      </c>
      <c r="F37" s="303"/>
      <c r="G37" s="305"/>
    </row>
    <row r="38" spans="1:7" ht="13.5" customHeight="1">
      <c r="A38" s="954" t="s">
        <v>799</v>
      </c>
      <c r="B38" s="259" t="s">
        <v>2383</v>
      </c>
      <c r="C38" s="264">
        <f ca="1">ROUND(C34*F38,0)</f>
        <v>10017600</v>
      </c>
      <c r="D38" s="264"/>
      <c r="E38" s="264"/>
      <c r="F38" s="303">
        <f>'数据-取费表'!B36</f>
        <v>1.4999999999999999E-2</v>
      </c>
      <c r="G38" s="263" t="s">
        <v>2378</v>
      </c>
    </row>
    <row r="39" spans="1:7" s="258" customFormat="1" ht="13.5" customHeight="1">
      <c r="A39" s="299" t="s">
        <v>2384</v>
      </c>
      <c r="B39" s="254" t="s">
        <v>2385</v>
      </c>
      <c r="C39" s="276">
        <f ca="1">ROUND(C33*F20,0)</f>
        <v>14892832</v>
      </c>
      <c r="D39" s="276"/>
      <c r="E39" s="276"/>
      <c r="F39" s="277"/>
      <c r="G39" s="278" t="s">
        <v>2386</v>
      </c>
    </row>
    <row r="40" spans="1:7" s="258" customFormat="1" ht="13.5" customHeight="1">
      <c r="A40" s="299" t="s">
        <v>2387</v>
      </c>
      <c r="B40" s="254" t="s">
        <v>2388</v>
      </c>
      <c r="C40" s="1731">
        <f>F21</f>
        <v>0.02</v>
      </c>
      <c r="D40" s="280" t="s">
        <v>2389</v>
      </c>
      <c r="E40" s="276"/>
      <c r="F40" s="277"/>
      <c r="G40" s="278" t="s">
        <v>2390</v>
      </c>
    </row>
    <row r="41" spans="1:7" s="258" customFormat="1" ht="13.5" customHeight="1">
      <c r="A41" s="299" t="s">
        <v>2391</v>
      </c>
      <c r="B41" s="254" t="s">
        <v>2392</v>
      </c>
      <c r="C41" s="276">
        <f ca="1">ROUND(SUM(C42:C43),0)</f>
        <v>26900852</v>
      </c>
      <c r="D41" s="279">
        <f ca="1">C44</f>
        <v>6.9999999999999999E-4</v>
      </c>
      <c r="E41" s="280" t="s">
        <v>2389</v>
      </c>
      <c r="F41" s="281"/>
      <c r="G41" s="278" t="str">
        <f>IF('数据-取费表'!B22&lt;=1,"单利计息","复利计息")</f>
        <v>复利计息</v>
      </c>
    </row>
    <row r="42" spans="1:7" ht="13.5" customHeight="1">
      <c r="A42" s="954" t="s">
        <v>791</v>
      </c>
      <c r="B42" s="259" t="s">
        <v>2393</v>
      </c>
      <c r="C42" s="282">
        <f ca="1">ROUND(IF('数据-取费表'!B22&lt;=1,C33*F22*'数据-取费表'!B20/2,C33*(POWER((1+F22),'数据-取费表'!B20/2)-1)),0)</f>
        <v>26373384</v>
      </c>
      <c r="D42" s="282"/>
      <c r="E42" s="282"/>
      <c r="F42" s="283"/>
      <c r="G42" s="3211" t="s">
        <v>2441</v>
      </c>
    </row>
    <row r="43" spans="1:7" ht="13.5" customHeight="1">
      <c r="A43" s="954" t="s">
        <v>792</v>
      </c>
      <c r="B43" s="259" t="s">
        <v>2395</v>
      </c>
      <c r="C43" s="282">
        <f ca="1">ROUND(IF('数据-取费表'!B22&lt;=1,C39*F22*'数据-取费表'!B20/2,C39*(POWER((1+F22),'数据-取费表'!B20/2)-1)),0)</f>
        <v>527468</v>
      </c>
      <c r="D43" s="282"/>
      <c r="E43" s="282"/>
      <c r="F43" s="283"/>
      <c r="G43" s="3212"/>
    </row>
    <row r="44" spans="1:7" ht="13.5" customHeight="1">
      <c r="A44" s="954" t="s">
        <v>793</v>
      </c>
      <c r="B44" s="259" t="s">
        <v>2396</v>
      </c>
      <c r="C44" s="282">
        <f ca="1">ROUND(IF('数据-取费表'!B22&lt;=1,C40*F22*'数据-取费表'!B20/2,C40*(POWER((1+F22),'数据-取费表'!B20/2)-1)),4)</f>
        <v>6.9999999999999999E-4</v>
      </c>
      <c r="D44" s="282"/>
      <c r="E44" s="282"/>
      <c r="F44" s="283"/>
      <c r="G44" s="3213"/>
    </row>
    <row r="45" spans="1:7" s="258" customFormat="1" ht="13.5" customHeight="1">
      <c r="A45" s="299" t="s">
        <v>2397</v>
      </c>
      <c r="B45" s="288" t="s">
        <v>2363</v>
      </c>
      <c r="C45" s="289">
        <f ca="1">C46</f>
        <v>75953443</v>
      </c>
      <c r="D45" s="279">
        <f ca="1">C47</f>
        <v>2E-3</v>
      </c>
      <c r="E45" s="280" t="s">
        <v>2389</v>
      </c>
      <c r="F45" s="290"/>
      <c r="G45" s="291" t="s">
        <v>2398</v>
      </c>
    </row>
    <row r="46" spans="1:7" s="258" customFormat="1" ht="13.5" customHeight="1">
      <c r="A46" s="954" t="s">
        <v>791</v>
      </c>
      <c r="B46" s="292" t="s">
        <v>2399</v>
      </c>
      <c r="C46" s="293">
        <f ca="1">ROUND((C33+C39)*F27,0)</f>
        <v>75953443</v>
      </c>
      <c r="D46" s="307"/>
      <c r="E46" s="280"/>
      <c r="F46" s="290"/>
      <c r="G46" s="291"/>
    </row>
    <row r="47" spans="1:7" s="258" customFormat="1" ht="13.5" customHeight="1">
      <c r="A47" s="954" t="s">
        <v>792</v>
      </c>
      <c r="B47" s="292" t="s">
        <v>2400</v>
      </c>
      <c r="C47" s="282">
        <f ca="1">ROUND(C40*F27,4)</f>
        <v>2E-3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933321133</v>
      </c>
      <c r="D49" s="276"/>
      <c r="E49" s="276"/>
      <c r="F49" s="308"/>
      <c r="G49" s="278" t="s">
        <v>2404</v>
      </c>
    </row>
    <row r="50" spans="1:7" s="302" customFormat="1" ht="13.5">
      <c r="A50" s="299" t="s">
        <v>2405</v>
      </c>
      <c r="B50" s="254" t="s">
        <v>2406</v>
      </c>
      <c r="C50" s="276"/>
      <c r="D50" s="276"/>
      <c r="E50" s="276"/>
      <c r="F50" s="308">
        <f>IF('数据-取费表'!B24=0,'数据-取费表'!N16,1)</f>
        <v>1</v>
      </c>
      <c r="G50" s="291"/>
    </row>
    <row r="51" spans="1:7" ht="16.5" customHeight="1">
      <c r="A51" s="299" t="s">
        <v>2408</v>
      </c>
      <c r="B51" s="254" t="s">
        <v>2443</v>
      </c>
      <c r="C51" s="276">
        <f ca="1">ROUND(C49*F50,0)</f>
        <v>933321133</v>
      </c>
      <c r="D51" s="276"/>
      <c r="E51" s="276"/>
      <c r="F51" s="308"/>
      <c r="G51" s="278" t="s">
        <v>2410</v>
      </c>
    </row>
    <row r="52" spans="1:7" s="252" customFormat="1" ht="16.149999999999999" thickBot="1">
      <c r="A52" s="309" t="s">
        <v>2411</v>
      </c>
      <c r="B52" s="310"/>
      <c r="C52" s="311">
        <f ca="1">C31+C51</f>
        <v>993770664</v>
      </c>
      <c r="D52" s="310"/>
      <c r="E52" s="310"/>
      <c r="F52" s="310"/>
      <c r="G52" s="312"/>
    </row>
    <row r="55" spans="1:7" ht="15">
      <c r="B55" s="314" t="s">
        <v>2412</v>
      </c>
      <c r="C55" s="315"/>
    </row>
    <row r="56" spans="1:7" ht="13.15">
      <c r="B56" s="317" t="s">
        <v>1513</v>
      </c>
      <c r="C56" s="319">
        <f ca="1">1-C57</f>
        <v>6.1000000000000054E-2</v>
      </c>
    </row>
    <row r="57" spans="1:7" ht="13.15">
      <c r="B57" s="317" t="s">
        <v>1514</v>
      </c>
      <c r="C57" s="318">
        <f ca="1">ROUND(C51/C52,3)</f>
        <v>0.93899999999999995</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9"/>
  <sheetViews>
    <sheetView view="pageBreakPreview" zoomScaleNormal="80" zoomScaleSheetLayoutView="100" workbookViewId="0">
      <selection activeCell="I7" sqref="I7"/>
    </sheetView>
  </sheetViews>
  <sheetFormatPr defaultColWidth="12" defaultRowHeight="12.75"/>
  <cols>
    <col min="1" max="1" width="9.73046875" style="2797" customWidth="1"/>
    <col min="2" max="2" width="19.265625" style="2903" customWidth="1"/>
    <col min="3" max="4" width="12" style="2721"/>
    <col min="5" max="5" width="14.59765625" style="2721" customWidth="1"/>
    <col min="6" max="8" width="12" style="2721"/>
    <col min="9" max="9" width="12.265625" style="2721" bestFit="1" customWidth="1"/>
    <col min="10" max="10" width="12" style="2721"/>
    <col min="11" max="11" width="31.796875" style="2789" customWidth="1"/>
    <col min="12" max="12" width="12" style="2721"/>
    <col min="13" max="13" width="8.46484375" style="2721" customWidth="1"/>
    <col min="14" max="14" width="9.73046875" style="2721" customWidth="1"/>
    <col min="15" max="25" width="12" style="2721"/>
    <col min="26" max="26" width="9.3984375" style="2797" customWidth="1"/>
    <col min="27" max="32" width="9.3984375" style="1375" customWidth="1"/>
    <col min="33" max="36" width="9.3984375" style="2797" customWidth="1"/>
    <col min="37" max="38" width="9.3984375" style="2721" customWidth="1"/>
    <col min="39" max="16384" width="12" style="2721"/>
  </cols>
  <sheetData>
    <row r="1" spans="1:36" ht="31.5">
      <c r="A1" s="240" t="s">
        <v>2786</v>
      </c>
      <c r="B1" s="241"/>
      <c r="C1" s="245" t="s">
        <v>2787</v>
      </c>
      <c r="D1" s="388">
        <f>SUM(D29:D30,D33:D39)</f>
        <v>108719</v>
      </c>
      <c r="E1" s="2718"/>
      <c r="F1" s="2718"/>
      <c r="G1" s="2718"/>
      <c r="H1" s="2718"/>
      <c r="I1" s="2718"/>
      <c r="J1" s="2718"/>
      <c r="K1" s="1373"/>
      <c r="L1" s="2719" t="s">
        <v>2788</v>
      </c>
      <c r="M1" s="1083">
        <f>SUMPRODUCT((区片价!B5:B9=I2)*(区片价!C3:F3=E2)*(区片价!C5:F9))</f>
        <v>0</v>
      </c>
      <c r="N1" s="1086">
        <f>SUMPRODUCT((因素修正幅度!B5:B9=I2)*(因素修正幅度!C3:F3=E2)*(因素修正幅度!C5:F9))</f>
        <v>0</v>
      </c>
      <c r="O1" s="2720"/>
      <c r="P1" s="2720"/>
      <c r="Q1" s="1373"/>
      <c r="R1" s="1605" t="s">
        <v>2789</v>
      </c>
      <c r="S1" s="1605" t="s">
        <v>2790</v>
      </c>
      <c r="T1" s="1605" t="s">
        <v>2791</v>
      </c>
      <c r="U1" s="1605" t="s">
        <v>2792</v>
      </c>
      <c r="V1" s="1605" t="s">
        <v>2793</v>
      </c>
      <c r="W1" s="1609"/>
      <c r="X1" s="1609"/>
      <c r="Y1" s="1609"/>
      <c r="Z1" s="1609"/>
      <c r="AA1" s="1609"/>
      <c r="AB1" s="1609"/>
      <c r="AC1" s="1610"/>
      <c r="AD1" s="1611"/>
      <c r="AE1" s="1611"/>
      <c r="AF1" s="1611"/>
      <c r="AG1" s="1611"/>
      <c r="AH1" s="1611"/>
      <c r="AI1" s="1611"/>
      <c r="AJ1" s="1612"/>
    </row>
    <row r="2" spans="1:36" ht="15.75">
      <c r="A2" s="245" t="s">
        <v>2794</v>
      </c>
      <c r="B2" s="248">
        <f ca="1">C26</f>
        <v>71419</v>
      </c>
      <c r="C2" s="2722" t="s">
        <v>2795</v>
      </c>
      <c r="D2" s="2723" t="s">
        <v>2796</v>
      </c>
      <c r="E2" s="2724" t="s">
        <v>1377</v>
      </c>
      <c r="F2" s="2723" t="s">
        <v>2797</v>
      </c>
      <c r="G2" s="2725" t="str">
        <f>IF(E2="商业",项目基本情况!B37,IF(E2="办公",项目基本情况!C37,IF(E2="住宅",项目基本情况!D37,项目基本情况!E37)))</f>
        <v>六级</v>
      </c>
      <c r="H2" s="2723" t="s">
        <v>2798</v>
      </c>
      <c r="I2" s="2725" t="str">
        <f>IF(E2="商业",项目基本情况!B38,IF(E2="办公",项目基本情况!C38,IF(E2="住宅",项目基本情况!D38,项目基本情况!E38)))</f>
        <v>Ⅵ-12</v>
      </c>
      <c r="J2" s="2726"/>
      <c r="K2" s="1373"/>
      <c r="L2" s="2727" t="s">
        <v>2799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23429</v>
      </c>
      <c r="U2" s="1606"/>
      <c r="V2" s="1605">
        <f ca="1">ROUND(T2*U2/10000,0)</f>
        <v>0</v>
      </c>
      <c r="W2" s="1609"/>
      <c r="X2" s="1609"/>
      <c r="Y2" s="1609"/>
      <c r="Z2" s="1609"/>
      <c r="AA2" s="1609"/>
      <c r="AB2" s="1609"/>
      <c r="AC2" s="1610"/>
      <c r="AD2" s="1611"/>
      <c r="AE2" s="1611"/>
      <c r="AF2" s="1611"/>
      <c r="AG2" s="1611"/>
      <c r="AH2" s="1611"/>
      <c r="AI2" s="1611"/>
      <c r="AJ2" s="1612"/>
    </row>
    <row r="3" spans="1:36" ht="15.75">
      <c r="A3" s="247" t="s">
        <v>2800</v>
      </c>
      <c r="B3" s="248">
        <f ca="1">ROUND(B2*10000/D1,0)</f>
        <v>6569</v>
      </c>
      <c r="C3" s="2722" t="s">
        <v>2801</v>
      </c>
      <c r="D3" s="2723" t="s">
        <v>2802</v>
      </c>
      <c r="E3" s="2728" t="s">
        <v>3096</v>
      </c>
      <c r="F3" s="2729" t="s">
        <v>3097</v>
      </c>
      <c r="G3" s="916">
        <f>IF(F3="宗地容积率",'数据-汇总表'!I4,IF(F3="估价对象容积率",'数据-汇总表'!I6,'数据-汇总表'!I7))</f>
        <v>1.79</v>
      </c>
      <c r="H3" s="198" t="s">
        <v>2803</v>
      </c>
      <c r="I3" s="947"/>
      <c r="J3" s="2726" t="s">
        <v>2804</v>
      </c>
      <c r="K3" s="1373"/>
      <c r="L3" s="2727" t="s">
        <v>2805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16817</v>
      </c>
      <c r="U3" s="1606"/>
      <c r="V3" s="1605">
        <f t="shared" ref="V3:V16" ca="1" si="1">ROUND(T3*U3/10000,0)</f>
        <v>0</v>
      </c>
      <c r="W3" s="1609"/>
      <c r="X3" s="1609"/>
      <c r="Y3" s="1609"/>
      <c r="Z3" s="1609"/>
      <c r="AA3" s="1609"/>
      <c r="AB3" s="1609"/>
      <c r="AC3" s="1610"/>
      <c r="AD3" s="1611"/>
      <c r="AE3" s="1611"/>
      <c r="AF3" s="1611"/>
      <c r="AG3" s="1611"/>
      <c r="AH3" s="1611"/>
      <c r="AI3" s="1611"/>
      <c r="AJ3" s="1612"/>
    </row>
    <row r="4" spans="1:36" ht="15">
      <c r="A4" s="3325"/>
      <c r="B4" s="3326"/>
      <c r="C4" s="3326"/>
      <c r="D4" s="3327"/>
      <c r="E4" s="3327"/>
      <c r="F4" s="3327"/>
      <c r="G4" s="3327"/>
      <c r="H4" s="3327"/>
      <c r="I4" s="3327"/>
      <c r="J4" s="3328"/>
      <c r="K4" s="1373"/>
      <c r="L4" s="2727" t="s">
        <v>2806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13567</v>
      </c>
      <c r="U4" s="1606"/>
      <c r="V4" s="1605">
        <f t="shared" ca="1" si="1"/>
        <v>0</v>
      </c>
      <c r="W4" s="1609"/>
      <c r="X4" s="1609"/>
      <c r="Y4" s="1609"/>
      <c r="Z4" s="1609"/>
      <c r="AA4" s="1609"/>
      <c r="AB4" s="1609"/>
      <c r="AC4" s="1610"/>
      <c r="AD4" s="1611"/>
      <c r="AE4" s="1611"/>
      <c r="AF4" s="1611"/>
      <c r="AG4" s="1611"/>
      <c r="AH4" s="1611"/>
      <c r="AI4" s="1611"/>
      <c r="AJ4" s="1612"/>
    </row>
    <row r="5" spans="1:36" s="2739" customFormat="1" ht="15.4" thickBot="1">
      <c r="A5" s="2730" t="s">
        <v>807</v>
      </c>
      <c r="B5" s="2731" t="s">
        <v>2807</v>
      </c>
      <c r="C5" s="917">
        <f>ROUND(IF(E2="商业",IF(F16="增加",C6*C7+C16,C6*C7-C16),IF(E2="住宅",IF(F16="增加",C6*C12+C16,C6*C12-C16),IF(F16="增加",C6+C16,C6-C16))),0)</f>
        <v>10014</v>
      </c>
      <c r="D5" s="1790">
        <f>ROUND(IF(E2="商业",IF(F16="增加",C6+C16,C6-C16)),0)</f>
        <v>10014</v>
      </c>
      <c r="E5" s="2732"/>
      <c r="F5" s="2732"/>
      <c r="G5" s="2733"/>
      <c r="H5" s="2733"/>
      <c r="I5" s="2733"/>
      <c r="J5" s="2734"/>
      <c r="K5" s="2735"/>
      <c r="L5" s="2727" t="s">
        <v>2808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10886</v>
      </c>
      <c r="U5" s="1606"/>
      <c r="V5" s="1605">
        <f t="shared" ca="1" si="1"/>
        <v>0</v>
      </c>
      <c r="W5" s="1609"/>
      <c r="X5" s="1609"/>
      <c r="Y5" s="1609"/>
      <c r="Z5" s="1609"/>
      <c r="AA5" s="1609"/>
      <c r="AB5" s="1609"/>
      <c r="AC5" s="2736"/>
      <c r="AD5" s="2737"/>
      <c r="AE5" s="2737"/>
      <c r="AF5" s="2737"/>
      <c r="AG5" s="2737"/>
      <c r="AH5" s="2737"/>
      <c r="AI5" s="2737"/>
      <c r="AJ5" s="2738"/>
    </row>
    <row r="6" spans="1:36" ht="15.4" thickBot="1">
      <c r="A6" s="2740" t="s">
        <v>2809</v>
      </c>
      <c r="B6" s="2741" t="s">
        <v>2810</v>
      </c>
      <c r="C6" s="918">
        <f>SUMIF(L1:L12,G2,M1:M12)</f>
        <v>10070</v>
      </c>
      <c r="D6" s="2742" t="s">
        <v>2811</v>
      </c>
      <c r="E6" s="2743"/>
      <c r="F6" s="2743"/>
      <c r="G6" s="2744"/>
      <c r="H6" s="2744"/>
      <c r="I6" s="2744"/>
      <c r="J6" s="2745"/>
      <c r="K6" s="1845"/>
      <c r="L6" s="2727" t="s">
        <v>2812</v>
      </c>
      <c r="M6" s="1084">
        <f>SUMPRODUCT((区片价!B110:B157=I2)*(区片价!C3:F3=E2)*(区片价!C110:F157))</f>
        <v>10070</v>
      </c>
      <c r="N6" s="1086">
        <f>SUMPRODUCT((因素修正幅度!B110:B157=I2)*(因素修正幅度!C3:F3=E2)*(因素修正幅度!C110:F157))</f>
        <v>0.13</v>
      </c>
      <c r="O6" s="1373"/>
      <c r="P6" s="1373"/>
      <c r="Q6" s="1373"/>
      <c r="R6" s="1605">
        <v>5</v>
      </c>
      <c r="S6" s="1605">
        <f>ROUND(IF(G3&gt;1,IF(R6&lt;7,SUMPRODUCT((B93:B98=R6)*(C92:N92=G2)*(C93:N98)),SUMIF(C92:N92,G2,C100:N100)),IF(R6&lt;7,SUMPRODUCT((B102:B107=R6)*(C92:N92=G2)*(C102:N107)),SUMIF(C92:N92,G2,C109:N109))),4)</f>
        <v>0.73709999999999998</v>
      </c>
      <c r="T6" s="1605">
        <f t="shared" ca="1" si="0"/>
        <v>9270</v>
      </c>
      <c r="U6" s="1606"/>
      <c r="V6" s="1605">
        <f t="shared" ca="1" si="1"/>
        <v>0</v>
      </c>
      <c r="W6" s="1609"/>
      <c r="X6" s="1609"/>
      <c r="Y6" s="1609"/>
      <c r="Z6" s="1609"/>
      <c r="AA6" s="1609"/>
      <c r="AB6" s="1609"/>
      <c r="AC6" s="2736"/>
      <c r="AD6" s="2737"/>
      <c r="AE6" s="2737"/>
      <c r="AF6" s="2737"/>
      <c r="AG6" s="2737"/>
      <c r="AH6" s="2737"/>
      <c r="AI6" s="2737"/>
      <c r="AJ6" s="2738"/>
    </row>
    <row r="7" spans="1:36" ht="25.5">
      <c r="A7" s="3311" t="str">
        <f>IF(E2="商业",IF(C8="不临58条商业街","",2),"")</f>
        <v/>
      </c>
      <c r="B7" s="2746" t="s">
        <v>2813</v>
      </c>
      <c r="C7" s="919">
        <f>IF(C8="不临58条商业街",1,ROUND(1+(1.6*E8+1.2*E9+0.8*E10+0.4*E11)*C9,4))</f>
        <v>1</v>
      </c>
      <c r="D7" s="2747" t="s">
        <v>2814</v>
      </c>
      <c r="E7" s="948">
        <v>5</v>
      </c>
      <c r="F7" s="2748"/>
      <c r="G7" s="2749"/>
      <c r="H7" s="2749"/>
      <c r="I7" s="2749"/>
      <c r="J7" s="2750"/>
      <c r="K7" s="1845"/>
      <c r="L7" s="2727" t="s">
        <v>2815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8152</v>
      </c>
      <c r="U7" s="1606"/>
      <c r="V7" s="1605">
        <f t="shared" ca="1" si="1"/>
        <v>0</v>
      </c>
      <c r="W7" s="1819" t="s">
        <v>2816</v>
      </c>
      <c r="X7" s="1607" t="str">
        <f>G2</f>
        <v>六级</v>
      </c>
      <c r="Y7" s="1607" t="s">
        <v>2817</v>
      </c>
      <c r="Z7" s="1608">
        <f>G3</f>
        <v>1.79</v>
      </c>
      <c r="AA7" s="1609"/>
      <c r="AB7" s="1609"/>
      <c r="AC7" s="1610"/>
      <c r="AD7" s="1611"/>
      <c r="AE7" s="1611"/>
      <c r="AF7" s="1611"/>
      <c r="AG7" s="1611"/>
      <c r="AH7" s="1611"/>
      <c r="AI7" s="1611"/>
      <c r="AJ7" s="1612"/>
    </row>
    <row r="8" spans="1:36" ht="25.9" thickBot="1">
      <c r="A8" s="3312"/>
      <c r="B8" s="198" t="s">
        <v>2818</v>
      </c>
      <c r="C8" s="2751" t="s">
        <v>3098</v>
      </c>
      <c r="D8" s="920" t="s">
        <v>139</v>
      </c>
      <c r="E8" s="921">
        <f>ROUND(C11/E7,4)</f>
        <v>0</v>
      </c>
      <c r="F8" s="2752" t="s">
        <v>2819</v>
      </c>
      <c r="G8" s="2753"/>
      <c r="H8" s="2753"/>
      <c r="I8" s="2753"/>
      <c r="J8" s="2754"/>
      <c r="K8" s="1373"/>
      <c r="L8" s="2727" t="s">
        <v>2820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322" t="s">
        <v>2821</v>
      </c>
      <c r="X8" s="3323"/>
      <c r="Y8" s="1613" t="s">
        <v>2822</v>
      </c>
      <c r="Z8" s="1613" t="s">
        <v>2823</v>
      </c>
      <c r="AA8" s="1613" t="s">
        <v>2824</v>
      </c>
      <c r="AB8" s="1613" t="s">
        <v>2825</v>
      </c>
      <c r="AC8" s="1613" t="s">
        <v>2826</v>
      </c>
      <c r="AD8" s="1613" t="s">
        <v>2827</v>
      </c>
      <c r="AE8" s="1613" t="s">
        <v>2828</v>
      </c>
      <c r="AF8" s="1613" t="s">
        <v>2829</v>
      </c>
      <c r="AG8" s="1613" t="s">
        <v>2830</v>
      </c>
      <c r="AH8" s="1613" t="s">
        <v>2831</v>
      </c>
      <c r="AI8" s="1613" t="s">
        <v>2832</v>
      </c>
      <c r="AJ8" s="1613" t="s">
        <v>2833</v>
      </c>
    </row>
    <row r="9" spans="1:36" ht="15" hidden="1">
      <c r="A9" s="3312"/>
      <c r="B9" s="198" t="s">
        <v>2834</v>
      </c>
      <c r="C9" s="922">
        <f>SUMIF(修正!C59:C119,C8,修正!E59:E119)</f>
        <v>0</v>
      </c>
      <c r="D9" s="200" t="s">
        <v>140</v>
      </c>
      <c r="E9" s="200">
        <f>ROUND(C11/E7,4)</f>
        <v>0</v>
      </c>
      <c r="F9" s="2752" t="s">
        <v>2835</v>
      </c>
      <c r="G9" s="2753"/>
      <c r="H9" s="2753"/>
      <c r="I9" s="2753"/>
      <c r="J9" s="2754"/>
      <c r="K9" s="1373"/>
      <c r="L9" s="2727" t="s">
        <v>2836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324" t="s">
        <v>2837</v>
      </c>
      <c r="X9" s="1614" t="s">
        <v>2838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312"/>
      <c r="B10" s="198" t="s">
        <v>2839</v>
      </c>
      <c r="C10" s="200">
        <f>SUMIF(修正!C59:C119,C8,修正!F59:F119)</f>
        <v>0</v>
      </c>
      <c r="D10" s="200" t="s">
        <v>141</v>
      </c>
      <c r="E10" s="200">
        <f>ROUND(C11/E7,4)</f>
        <v>0</v>
      </c>
      <c r="F10" s="2752" t="s">
        <v>2840</v>
      </c>
      <c r="G10" s="2753"/>
      <c r="H10" s="2753"/>
      <c r="I10" s="2753"/>
      <c r="J10" s="2754"/>
      <c r="K10" s="1373"/>
      <c r="L10" s="2727" t="s">
        <v>2841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32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4" hidden="1" thickBot="1">
      <c r="A11" s="3312"/>
      <c r="B11" s="2755" t="s">
        <v>2842</v>
      </c>
      <c r="C11" s="923">
        <f>C10/4</f>
        <v>0</v>
      </c>
      <c r="D11" s="923" t="s">
        <v>142</v>
      </c>
      <c r="E11" s="923">
        <f>ROUND(C11/E7,4)</f>
        <v>0</v>
      </c>
      <c r="F11" s="2756" t="s">
        <v>2843</v>
      </c>
      <c r="G11" s="2757"/>
      <c r="H11" s="2757"/>
      <c r="I11" s="2757"/>
      <c r="J11" s="2758"/>
      <c r="K11" s="1373"/>
      <c r="L11" s="2727" t="s">
        <v>2844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324" t="s">
        <v>2845</v>
      </c>
      <c r="X11" s="1617" t="s">
        <v>2846</v>
      </c>
      <c r="Y11" s="1618">
        <f>$G$3</f>
        <v>1.79</v>
      </c>
      <c r="Z11" s="1618">
        <f t="shared" ref="Z11:AJ11" si="3">$G$3</f>
        <v>1.79</v>
      </c>
      <c r="AA11" s="1618">
        <f t="shared" si="3"/>
        <v>1.79</v>
      </c>
      <c r="AB11" s="1618">
        <f t="shared" si="3"/>
        <v>1.79</v>
      </c>
      <c r="AC11" s="1618">
        <f t="shared" si="3"/>
        <v>1.79</v>
      </c>
      <c r="AD11" s="1618">
        <f t="shared" si="3"/>
        <v>1.79</v>
      </c>
      <c r="AE11" s="1618">
        <f t="shared" si="3"/>
        <v>1.79</v>
      </c>
      <c r="AF11" s="1618">
        <f t="shared" si="3"/>
        <v>1.79</v>
      </c>
      <c r="AG11" s="1618">
        <f t="shared" si="3"/>
        <v>1.79</v>
      </c>
      <c r="AH11" s="1618">
        <f t="shared" si="3"/>
        <v>1.79</v>
      </c>
      <c r="AI11" s="1618">
        <f t="shared" si="3"/>
        <v>1.79</v>
      </c>
      <c r="AJ11" s="1618">
        <f t="shared" si="3"/>
        <v>1.79</v>
      </c>
    </row>
    <row r="12" spans="1:36" ht="26.25" hidden="1" thickBot="1">
      <c r="A12" s="3311" t="s">
        <v>2847</v>
      </c>
      <c r="B12" s="2759" t="s">
        <v>2848</v>
      </c>
      <c r="C12" s="919">
        <f>ROUND(C15*D15*E15*F15*G15*H15*I15*J15,4)</f>
        <v>1</v>
      </c>
      <c r="D12" s="2760" t="s">
        <v>2849</v>
      </c>
      <c r="E12" s="2761"/>
      <c r="F12" s="2761"/>
      <c r="G12" s="2762"/>
      <c r="H12" s="2762"/>
      <c r="I12" s="2762"/>
      <c r="J12" s="2763"/>
      <c r="K12" s="1373"/>
      <c r="L12" s="2764" t="s">
        <v>2850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324"/>
      <c r="X12" s="1619" t="s">
        <v>2851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5.5" hidden="1">
      <c r="A13" s="3329"/>
      <c r="B13" s="2765" t="s">
        <v>2852</v>
      </c>
      <c r="C13" s="2766" t="s">
        <v>2853</v>
      </c>
      <c r="D13" s="1811" t="s">
        <v>2854</v>
      </c>
      <c r="E13" s="1811" t="s">
        <v>2855</v>
      </c>
      <c r="F13" s="30" t="s">
        <v>2856</v>
      </c>
      <c r="G13" s="2767" t="s">
        <v>2857</v>
      </c>
      <c r="H13" s="2767" t="s">
        <v>2857</v>
      </c>
      <c r="I13" s="2767" t="s">
        <v>2857</v>
      </c>
      <c r="J13" s="2768" t="s">
        <v>2857</v>
      </c>
      <c r="K13" s="1373"/>
      <c r="L13" s="1373"/>
      <c r="M13" s="1373"/>
      <c r="N13" s="1373"/>
      <c r="O13" s="1373"/>
      <c r="P13" s="1373"/>
      <c r="Q13" s="1373"/>
      <c r="R13" s="1605">
        <v>12</v>
      </c>
      <c r="S13" s="1606"/>
      <c r="T13" s="1605">
        <f t="shared" ca="1" si="0"/>
        <v>0</v>
      </c>
      <c r="U13" s="1606"/>
      <c r="V13" s="1605">
        <f t="shared" ca="1" si="1"/>
        <v>0</v>
      </c>
      <c r="W13" s="3324"/>
      <c r="X13" s="1619"/>
      <c r="Y13" s="1616">
        <f>(-0.163*(Y12^2)-0.59*Y12+7617)*(10^(-4))/Y11</f>
        <v>0.42553072625698324</v>
      </c>
      <c r="Z13" s="1616">
        <f t="shared" ref="Z13:AJ13" si="5">(-0.163*(Z12^2)-0.59*Z12+7617)*(10^(-4))/Z11</f>
        <v>0.42553072625698324</v>
      </c>
      <c r="AA13" s="1616">
        <f t="shared" si="5"/>
        <v>0.42553072625698324</v>
      </c>
      <c r="AB13" s="1616">
        <f t="shared" si="5"/>
        <v>0.42553072625698324</v>
      </c>
      <c r="AC13" s="1616">
        <f t="shared" si="5"/>
        <v>0.42553072625698324</v>
      </c>
      <c r="AD13" s="1616">
        <f t="shared" si="5"/>
        <v>0.42553072625698324</v>
      </c>
      <c r="AE13" s="1616">
        <f t="shared" si="5"/>
        <v>0.42553072625698324</v>
      </c>
      <c r="AF13" s="1616">
        <f t="shared" si="5"/>
        <v>0.42553072625698324</v>
      </c>
      <c r="AG13" s="1616">
        <f t="shared" si="5"/>
        <v>0.42553072625698324</v>
      </c>
      <c r="AH13" s="1616">
        <f t="shared" si="5"/>
        <v>0.42553072625698324</v>
      </c>
      <c r="AI13" s="1616">
        <f t="shared" si="5"/>
        <v>0.42553072625698324</v>
      </c>
      <c r="AJ13" s="1616">
        <f t="shared" si="5"/>
        <v>0.42553072625698324</v>
      </c>
    </row>
    <row r="14" spans="1:36" ht="15" hidden="1">
      <c r="A14" s="3329"/>
      <c r="B14" s="2769"/>
      <c r="C14" s="2770"/>
      <c r="D14" s="2771"/>
      <c r="E14" s="2771"/>
      <c r="F14" s="2772"/>
      <c r="G14" s="2773" t="s">
        <v>2858</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4" hidden="1" thickBot="1">
      <c r="A15" s="3330"/>
      <c r="B15" s="2777" t="s">
        <v>2859</v>
      </c>
      <c r="C15" s="229">
        <f>IF(C14="有",1.1,1)</f>
        <v>1</v>
      </c>
      <c r="D15" s="229">
        <f>IF(D14="有",1.1,1)</f>
        <v>1</v>
      </c>
      <c r="E15" s="229">
        <f>IF(E14="有",1.1,1)</f>
        <v>1</v>
      </c>
      <c r="F15" s="229">
        <f>IF(F14="500米范围内",1.2,IF(F14="500-1000米",1.1,1))</f>
        <v>1</v>
      </c>
      <c r="G15" s="949">
        <v>1</v>
      </c>
      <c r="H15" s="949">
        <v>1</v>
      </c>
      <c r="I15" s="949">
        <v>1</v>
      </c>
      <c r="J15" s="950">
        <v>1</v>
      </c>
      <c r="K15" s="1373"/>
      <c r="L15" s="2778" t="s">
        <v>2796</v>
      </c>
      <c r="M15" s="920" t="s">
        <v>2860</v>
      </c>
      <c r="N15" s="920" t="s">
        <v>2861</v>
      </c>
      <c r="O15" s="920" t="s">
        <v>2862</v>
      </c>
      <c r="P15" s="2779" t="s">
        <v>2863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5.5">
      <c r="A16" s="3311" t="s">
        <v>2864</v>
      </c>
      <c r="B16" s="2746" t="s">
        <v>2865</v>
      </c>
      <c r="C16" s="1804">
        <f>ROUND(SUM(G17:J17)/C17,0)</f>
        <v>56</v>
      </c>
      <c r="D16" s="2780" t="s">
        <v>2866</v>
      </c>
      <c r="E16" s="2781" t="s">
        <v>3099</v>
      </c>
      <c r="F16" s="2782" t="s">
        <v>3100</v>
      </c>
      <c r="G16" s="2783" t="s">
        <v>3101</v>
      </c>
      <c r="H16" s="2783" t="s">
        <v>3102</v>
      </c>
      <c r="I16" s="2783" t="s">
        <v>3103</v>
      </c>
      <c r="J16" s="2784" t="s">
        <v>3104</v>
      </c>
      <c r="K16" s="1373"/>
      <c r="L16" s="2785" t="s">
        <v>2867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15" thickBot="1">
      <c r="A17" s="3312"/>
      <c r="B17" s="2786" t="s">
        <v>2868</v>
      </c>
      <c r="C17" s="924">
        <f>SUMPRODUCT((修正!A2:A5=E2)*(修正!B1:M1=G2)*(修正!B2:M5))</f>
        <v>2.5</v>
      </c>
      <c r="D17" s="2787" t="s">
        <v>2869</v>
      </c>
      <c r="E17" s="923" t="str">
        <f>IF(OR(G2="八级",G2="九级",G2="十级",G2="十一级",G2="十二级"),"五通一平","七通一平")</f>
        <v>七通一平</v>
      </c>
      <c r="F17" s="924" t="s">
        <v>2870</v>
      </c>
      <c r="G17" s="924">
        <f>SUMPRODUCT((七通一平=G16)*(修正!B1:M1=G2)*(修正!B6:M14))</f>
        <v>15</v>
      </c>
      <c r="H17" s="924">
        <f>SUMPRODUCT((七通一平=H16)*(修正!B1:M1=G2)*(修正!B6:M14))</f>
        <v>35</v>
      </c>
      <c r="I17" s="924">
        <f>SUMPRODUCT((七通一平=I16)*(修正!B1:M1=G2)*(修正!B6:M14))</f>
        <v>50</v>
      </c>
      <c r="J17" s="925">
        <f>SUMPRODUCT((七通一平=J16)*(修正!B1:M1=G2)*(修正!B6:M14))</f>
        <v>40</v>
      </c>
      <c r="K17" s="1373"/>
      <c r="L17" s="2788" t="s">
        <v>2871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4.25" thickBot="1">
      <c r="A18" s="2790" t="s">
        <v>808</v>
      </c>
      <c r="B18" s="2791" t="s">
        <v>2872</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8.15" thickBot="1">
      <c r="A19" s="2790" t="s">
        <v>809</v>
      </c>
      <c r="B19" s="2791" t="s">
        <v>2873</v>
      </c>
      <c r="C19" s="927">
        <f>ROUND(IF(H19="按公示增长率计算",SUMPRODUCT((地价!A3:A21=YEAR(G19)&amp;"-"&amp;ROUNDUP(MONTH(G19)/3,0))*(地价!X2:AB2=E2)*(地价!X3:AB21)),IF(H19="地价指数",M20/M19,(1+I19)^O19)),4)</f>
        <v>1.2988</v>
      </c>
      <c r="D19" s="2798" t="s">
        <v>2874</v>
      </c>
      <c r="E19" s="928">
        <v>41640</v>
      </c>
      <c r="F19" s="2798" t="s">
        <v>2875</v>
      </c>
      <c r="G19" s="929">
        <f>'数据-取费表'!B2</f>
        <v>43215</v>
      </c>
      <c r="H19" s="2799" t="s">
        <v>3106</v>
      </c>
      <c r="I19" s="930">
        <f>IF(H19="季度增幅（自定义）",SUMIF(N21:N24,E2,O21:O24),"")</f>
        <v>1.55E-2</v>
      </c>
      <c r="J19" s="2796"/>
      <c r="K19" s="3350" t="s">
        <v>3107</v>
      </c>
      <c r="L19" s="2800" t="s">
        <v>2876</v>
      </c>
      <c r="M19" s="1737">
        <f>ROUND(SUMIF(地价!B2:F2,E2,地价!B21:F21),0)</f>
        <v>258</v>
      </c>
      <c r="N19" s="2801" t="s">
        <v>2877</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4" thickBot="1">
      <c r="A20" s="2805" t="s">
        <v>810</v>
      </c>
      <c r="B20" s="2806" t="s">
        <v>2878</v>
      </c>
      <c r="C20" s="932">
        <f ca="1">ROUND(POWER(1+G20,J20-I20)*(POWER(1+G20,I20)-1)/(POWER(1+G20,J20)-1),4)</f>
        <v>0.92169999999999996</v>
      </c>
      <c r="D20" s="2807" t="s">
        <v>2879</v>
      </c>
      <c r="E20" s="1771">
        <f ca="1">存贷款利率!D4/100</f>
        <v>4.3499999999999997E-2</v>
      </c>
      <c r="F20" s="2807" t="s">
        <v>2871</v>
      </c>
      <c r="G20" s="937">
        <f ca="1">SUMIF(M15:P15,E2,M17:P17)</f>
        <v>5.3999999999999999E-2</v>
      </c>
      <c r="H20" s="2807" t="s">
        <v>2880</v>
      </c>
      <c r="I20" s="938">
        <f>SUMIF('数据-取费表'!C6:C15,E2,'数据-取费表'!F6:F15)/COUNTIF('数据-取费表'!C6:C15,E2)</f>
        <v>31.5</v>
      </c>
      <c r="J20" s="939">
        <f>IF(E2="住宅",70,IF(E2="商业",40,50))</f>
        <v>40</v>
      </c>
      <c r="K20" s="1380"/>
      <c r="L20" s="2808" t="s">
        <v>2881</v>
      </c>
      <c r="M20" s="1738">
        <f>ROUND(SUMPRODUCT((地价!A4:A21=YEAR(G19)&amp;"-"&amp;ROUNDUP(MONTH(G19)/3,0))*(地价!B2:F2=E2)*(地价!B4:F21)),0)</f>
        <v>0</v>
      </c>
      <c r="N20" s="2809" t="s">
        <v>2882</v>
      </c>
      <c r="O20" s="2810" t="s">
        <v>2883</v>
      </c>
      <c r="P20" s="2811" t="s">
        <v>2884</v>
      </c>
      <c r="R20" s="1379"/>
      <c r="S20" s="1379"/>
      <c r="T20" s="1374"/>
      <c r="U20" s="1374"/>
      <c r="V20" s="1374"/>
      <c r="W20" s="1373"/>
      <c r="X20" s="1373"/>
      <c r="Y20" s="1373"/>
      <c r="Z20" s="1380"/>
      <c r="AA20" s="1381"/>
      <c r="AB20" s="1381"/>
      <c r="AC20" s="1381"/>
      <c r="AD20" s="1381"/>
      <c r="AE20" s="1381"/>
      <c r="AF20" s="1381"/>
    </row>
    <row r="21" spans="1:37" s="2739" customFormat="1" ht="13.9">
      <c r="A21" s="2812" t="s">
        <v>811</v>
      </c>
      <c r="B21" s="2813" t="s">
        <v>3105</v>
      </c>
      <c r="C21" s="940">
        <f>IF(B21="容积率修正",IF(G3&lt;=10,D22,J22),C23)</f>
        <v>1.1327</v>
      </c>
      <c r="D21" s="2814"/>
      <c r="E21" s="2814"/>
      <c r="F21" s="2814"/>
      <c r="G21" s="2814"/>
      <c r="H21" s="2814"/>
      <c r="I21" s="2814"/>
      <c r="J21" s="2815"/>
      <c r="K21" s="1380"/>
      <c r="N21" s="2816" t="s">
        <v>2885</v>
      </c>
      <c r="O21" s="1564">
        <v>1.55E-2</v>
      </c>
      <c r="P21" s="1565">
        <f>SUMPRODUCT((地价!A3:A21=YEAR(G19)&amp;"-"&amp;ROUNDUP(MONTH(G19)/3,0))*(地价!AD2:AH2=N21)*(地价!AD3:AH21))</f>
        <v>0</v>
      </c>
      <c r="R21" s="1379"/>
      <c r="S21" s="1379"/>
      <c r="T21" s="1374"/>
      <c r="U21" s="1374"/>
      <c r="V21" s="1374"/>
      <c r="W21" s="1373"/>
      <c r="X21" s="1373"/>
      <c r="Y21" s="1373"/>
      <c r="Z21" s="1380"/>
      <c r="AA21" s="1381"/>
      <c r="AB21" s="1381"/>
      <c r="AC21" s="1381"/>
      <c r="AD21" s="1381"/>
      <c r="AE21" s="1381"/>
      <c r="AF21" s="1381"/>
    </row>
    <row r="22" spans="1:37" s="2739" customFormat="1" ht="14.25" thickBot="1">
      <c r="A22" s="2665" t="s">
        <v>2886</v>
      </c>
      <c r="B22" s="2817" t="s">
        <v>2887</v>
      </c>
      <c r="C22" s="1813" t="s">
        <v>2888</v>
      </c>
      <c r="D22" s="1813">
        <f>IF(E22=G22,F22,IF(G3&lt;=10,ROUND(F22+(H22-F22)*(G3-E22)/(G22-E22),4),"——"))</f>
        <v>1.1327</v>
      </c>
      <c r="E22" s="916">
        <f>ROUNDDOWN(G3,1)</f>
        <v>1.7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1.1534</v>
      </c>
      <c r="G22" s="916">
        <f>ROUNDUP(G3,1)</f>
        <v>1.8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1.1304000000000001</v>
      </c>
      <c r="I22" s="1813" t="s">
        <v>155</v>
      </c>
      <c r="J22" s="941" t="str">
        <f>IF(G3&gt;10,D113,"——")</f>
        <v>——</v>
      </c>
      <c r="K22" s="1380"/>
      <c r="N22" s="2816" t="s">
        <v>2889</v>
      </c>
      <c r="O22" s="1564"/>
      <c r="P22" s="1565">
        <f>SUMPRODUCT((地价!A3:A21=YEAR(G19)&amp;"-"&amp;ROUNDUP(MONTH(G19)/3,0))*(地价!AD2:AH2=N22)*(地价!AD3:AH21))</f>
        <v>0</v>
      </c>
      <c r="R22" s="1379"/>
      <c r="S22" s="1379"/>
      <c r="T22" s="1374"/>
      <c r="U22" s="1374"/>
      <c r="V22" s="1374"/>
      <c r="W22" s="1373"/>
      <c r="X22" s="1373"/>
      <c r="Y22" s="1373"/>
      <c r="Z22" s="1380"/>
      <c r="AA22" s="1381"/>
      <c r="AB22" s="1381"/>
      <c r="AC22" s="1381"/>
      <c r="AD22" s="1381"/>
      <c r="AE22" s="1381"/>
      <c r="AF22" s="1381"/>
    </row>
    <row r="23" spans="1:37" ht="27.4" hidden="1" thickBot="1">
      <c r="A23" s="2665" t="s">
        <v>2890</v>
      </c>
      <c r="B23" s="2818" t="s">
        <v>2891</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2892</v>
      </c>
      <c r="O23" s="1564"/>
      <c r="P23" s="1565">
        <f>SUMPRODUCT((地价!A3:A21=YEAR(G19)&amp;"-"&amp;ROUNDUP(MONTH(G19)/3,0))*(地价!AD2:AH2=N23)*(地价!AD3:AH21))</f>
        <v>0</v>
      </c>
      <c r="R23" s="1379"/>
      <c r="S23" s="1379"/>
      <c r="T23" s="1374"/>
      <c r="U23" s="1374"/>
      <c r="V23" s="1374"/>
      <c r="W23" s="1373"/>
      <c r="X23" s="1373"/>
      <c r="Y23" s="1373"/>
      <c r="Z23" s="1380"/>
      <c r="AA23" s="1381"/>
      <c r="AB23" s="1381"/>
      <c r="AC23" s="1381"/>
      <c r="AD23" s="1381"/>
      <c r="AK23" s="2797"/>
    </row>
    <row r="24" spans="1:37" s="2739" customFormat="1" ht="14.25" thickBot="1">
      <c r="A24" s="2805" t="s">
        <v>812</v>
      </c>
      <c r="B24" s="2791" t="s">
        <v>2893</v>
      </c>
      <c r="C24" s="927">
        <f>SUMIF(A45:A88,E2,B45:B88)</f>
        <v>1.0490999999999999</v>
      </c>
      <c r="D24" s="2794"/>
      <c r="E24" s="2824"/>
      <c r="F24" s="2824"/>
      <c r="G24" s="2824"/>
      <c r="H24" s="2824"/>
      <c r="I24" s="2824"/>
      <c r="J24" s="2825"/>
      <c r="K24" s="1380"/>
      <c r="N24" s="2826" t="s">
        <v>2894</v>
      </c>
      <c r="O24" s="1566">
        <v>1.3100000000000001E-2</v>
      </c>
      <c r="P24" s="1567">
        <f>SUMPRODUCT((地价!A3:A21=YEAR(G19)&amp;"-"&amp;ROUNDUP(MONTH(G19)/3,0))*(地价!AD2:AH2=N24)*(地价!AD3:AH21))</f>
        <v>0</v>
      </c>
      <c r="R24" s="1379"/>
      <c r="S24" s="1379"/>
      <c r="T24" s="1374"/>
      <c r="U24" s="1374"/>
      <c r="V24" s="1374"/>
      <c r="W24" s="1373"/>
      <c r="X24" s="1373"/>
      <c r="Y24" s="1373"/>
      <c r="Z24" s="1380"/>
      <c r="AA24" s="1381"/>
      <c r="AB24" s="1381"/>
      <c r="AC24" s="1381"/>
      <c r="AD24" s="1381"/>
      <c r="AE24" s="1381"/>
      <c r="AF24" s="1381"/>
    </row>
    <row r="25" spans="1:37" ht="14.25" thickBot="1">
      <c r="A25" s="2805" t="s">
        <v>813</v>
      </c>
      <c r="B25" s="2827" t="s">
        <v>2895</v>
      </c>
      <c r="C25" s="933"/>
      <c r="D25" s="2749"/>
      <c r="E25" s="2749"/>
      <c r="F25" s="2828"/>
      <c r="G25" s="2749"/>
      <c r="H25" s="2749"/>
      <c r="I25" s="2749"/>
      <c r="J25" s="2750"/>
      <c r="K25" s="1373"/>
      <c r="N25" s="2829" t="s">
        <v>2896</v>
      </c>
      <c r="O25" s="1568"/>
      <c r="P25" s="1567">
        <f>SUMPRODUCT((地价!A3:A21=YEAR(G19)&amp;"-"&amp;ROUNDUP(MONTH(G19)/3,0))*(地价!AD2:AH2=N25)*(地价!AD3:AH21))</f>
        <v>0</v>
      </c>
      <c r="R25" s="1379"/>
      <c r="S25" s="1379"/>
      <c r="T25" s="1374"/>
      <c r="U25" s="1374"/>
      <c r="V25" s="1374"/>
      <c r="W25" s="1373"/>
      <c r="X25" s="1373"/>
      <c r="Y25" s="1373"/>
      <c r="Z25" s="1380"/>
      <c r="AA25" s="1381"/>
      <c r="AB25" s="1381"/>
      <c r="AC25" s="1381"/>
      <c r="AD25" s="1381"/>
    </row>
    <row r="26" spans="1:37" ht="13.9">
      <c r="A26" s="2830"/>
      <c r="B26" s="2817" t="s">
        <v>2897</v>
      </c>
      <c r="C26" s="206">
        <f ca="1">E29+SUM(E33:E39)</f>
        <v>71419</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4.25" thickBot="1">
      <c r="A27" s="2830"/>
      <c r="B27" s="2834" t="s">
        <v>2898</v>
      </c>
      <c r="C27" s="934">
        <f ca="1">E30+SUM(I33:I39)</f>
        <v>4475</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3.9">
      <c r="A28" s="2839"/>
      <c r="B28" s="2840" t="s">
        <v>2899</v>
      </c>
      <c r="C28" s="2841" t="s">
        <v>2900</v>
      </c>
      <c r="D28" s="2841" t="s">
        <v>2901</v>
      </c>
      <c r="E28" s="2842" t="s">
        <v>2902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2903</v>
      </c>
      <c r="C29" s="206">
        <f ca="1">ROUND(C5*C18*C19*C20*C21*C24,0)</f>
        <v>14245</v>
      </c>
      <c r="D29" s="2846">
        <f>'数据-汇总表'!F19</f>
        <v>37575</v>
      </c>
      <c r="E29" s="945">
        <f ca="1">ROUND(C29*D29/10000,0)</f>
        <v>53526</v>
      </c>
      <c r="F29" s="2847" t="s">
        <v>2904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6.25" thickBot="1">
      <c r="A30" s="2850"/>
      <c r="B30" s="2851" t="s">
        <v>2905</v>
      </c>
      <c r="C30" s="229">
        <f ca="1">ROUND(IF(E2="工业",C29*M39,C29*M38),0)</f>
        <v>3561</v>
      </c>
      <c r="D30" s="2852"/>
      <c r="E30" s="945">
        <f ca="1">ROUND(C30*D30/10000,0)</f>
        <v>0</v>
      </c>
      <c r="F30" s="2853" t="s">
        <v>2906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3.5">
      <c r="A31" s="2856"/>
      <c r="B31" s="2857" t="s">
        <v>2907</v>
      </c>
      <c r="C31" s="2858" t="s">
        <v>2908</v>
      </c>
      <c r="D31" s="2762"/>
      <c r="E31" s="2858"/>
      <c r="F31" s="2858"/>
      <c r="G31" s="2760" t="s">
        <v>2909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5.5">
      <c r="A32" s="2844"/>
      <c r="B32" s="2860"/>
      <c r="C32" s="501" t="s">
        <v>2900</v>
      </c>
      <c r="D32" s="498" t="s">
        <v>2901</v>
      </c>
      <c r="E32" s="498" t="s">
        <v>2902</v>
      </c>
      <c r="F32" s="388" t="s">
        <v>2910</v>
      </c>
      <c r="G32" s="2861" t="s">
        <v>2900</v>
      </c>
      <c r="H32" s="2861" t="s">
        <v>2901</v>
      </c>
      <c r="I32" s="2861" t="s">
        <v>2902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13.5" hidden="1">
      <c r="A33" s="3319" t="s">
        <v>2911</v>
      </c>
      <c r="B33" s="2862" t="s">
        <v>2912</v>
      </c>
      <c r="C33" s="206">
        <f ca="1">ROUND(D5*C19*C20*C24*F33,0)</f>
        <v>8803</v>
      </c>
      <c r="D33" s="2846"/>
      <c r="E33" s="200">
        <f ca="1">ROUND(C33*D33/10000,0)</f>
        <v>0</v>
      </c>
      <c r="F33" s="200">
        <f>SUMIF(修正!A45:A56,G2,修正!B45:B56)</f>
        <v>0.7</v>
      </c>
      <c r="G33" s="200">
        <f t="shared" ref="G33:G39" ca="1" si="6">ROUND(IF(E2="工业",C33*$M$39,C33*$M$38),0)</f>
        <v>2201</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5" hidden="1">
      <c r="A34" s="3320"/>
      <c r="B34" s="2766" t="s">
        <v>2913</v>
      </c>
      <c r="C34" s="206">
        <f ca="1">ROUND(D5*C19*C20*C24*F34,0)</f>
        <v>5031</v>
      </c>
      <c r="D34" s="2846"/>
      <c r="E34" s="200">
        <f t="shared" ref="E34:E39" ca="1" si="7">ROUND(C34*D34/10000,0)</f>
        <v>0</v>
      </c>
      <c r="F34" s="200">
        <f>SUMIF(修正!A45:A56,G2,修正!C45:C56)</f>
        <v>0.4</v>
      </c>
      <c r="G34" s="200">
        <f t="shared" ca="1" si="6"/>
        <v>1258</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ht="13.15" hidden="1">
      <c r="A35" s="3320"/>
      <c r="B35" s="2766" t="s">
        <v>2914</v>
      </c>
      <c r="C35" s="206">
        <f ca="1">ROUND(D5*C19*C20*C24*F35,0)</f>
        <v>3521</v>
      </c>
      <c r="D35" s="2846"/>
      <c r="E35" s="200">
        <f t="shared" ca="1" si="7"/>
        <v>0</v>
      </c>
      <c r="F35" s="200">
        <f>SUMIF(修正!A45:A56,G2,修正!D45:D56)</f>
        <v>0.28000000000000003</v>
      </c>
      <c r="G35" s="200">
        <f t="shared" ca="1" si="6"/>
        <v>880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hidden="1" thickBot="1">
      <c r="A36" s="3321"/>
      <c r="B36" s="2766" t="s">
        <v>2915</v>
      </c>
      <c r="C36" s="206">
        <f ca="1">ROUND(D5*C19*C20*C24*F36,0)</f>
        <v>3144</v>
      </c>
      <c r="D36" s="2846"/>
      <c r="E36" s="200">
        <f t="shared" ca="1" si="7"/>
        <v>0</v>
      </c>
      <c r="F36" s="200">
        <f>SUMIF(修正!A45:A56,G2,修正!E45:E56)</f>
        <v>0.25</v>
      </c>
      <c r="G36" s="200">
        <f t="shared" ca="1" si="6"/>
        <v>786</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ht="13.15" hidden="1">
      <c r="A37" s="2864"/>
      <c r="B37" s="2766" t="s">
        <v>2916</v>
      </c>
      <c r="C37" s="200">
        <f ca="1">ROUND(C5*C19*C20*C24*F37,0)</f>
        <v>3144</v>
      </c>
      <c r="D37" s="2846"/>
      <c r="E37" s="200">
        <f t="shared" ca="1" si="7"/>
        <v>0</v>
      </c>
      <c r="F37" s="206">
        <f>SUMIF(修正!A45:A56,G2,修正!F45:F56)</f>
        <v>0.25</v>
      </c>
      <c r="G37" s="200">
        <f t="shared" ca="1" si="6"/>
        <v>786</v>
      </c>
      <c r="H37" s="200">
        <f t="shared" si="8"/>
        <v>0</v>
      </c>
      <c r="I37" s="200">
        <f t="shared" ca="1" si="9"/>
        <v>0</v>
      </c>
      <c r="J37" s="2863"/>
      <c r="K37" s="1373"/>
      <c r="L37" s="2865" t="s">
        <v>2917</v>
      </c>
      <c r="M37" s="2866"/>
      <c r="N37" s="1373"/>
      <c r="O37" s="1373"/>
      <c r="P37" s="1373"/>
      <c r="Q37" s="1373"/>
      <c r="R37" s="1373"/>
      <c r="S37" s="1373"/>
      <c r="T37" s="1373"/>
      <c r="U37" s="1373"/>
      <c r="V37" s="1373"/>
      <c r="W37" s="1373"/>
      <c r="X37" s="1373"/>
      <c r="Y37" s="1373"/>
      <c r="Z37" s="1374"/>
    </row>
    <row r="38" spans="1:37" ht="13.15" hidden="1">
      <c r="A38" s="2864"/>
      <c r="B38" s="2766" t="s">
        <v>2918</v>
      </c>
      <c r="C38" s="200">
        <f ca="1">ROUND(C5*C19*C20*C24*F38,0)</f>
        <v>3144</v>
      </c>
      <c r="D38" s="2846"/>
      <c r="E38" s="200">
        <f t="shared" ca="1" si="7"/>
        <v>0</v>
      </c>
      <c r="F38" s="206">
        <f>SUMIF(修正!A45:A56,G2,修正!G45:G56)</f>
        <v>0.25</v>
      </c>
      <c r="G38" s="200">
        <f t="shared" ca="1" si="6"/>
        <v>786</v>
      </c>
      <c r="H38" s="200">
        <f t="shared" si="8"/>
        <v>0</v>
      </c>
      <c r="I38" s="200">
        <f t="shared" ca="1" si="9"/>
        <v>0</v>
      </c>
      <c r="J38" s="2863"/>
      <c r="K38" s="1373"/>
      <c r="L38" s="1890" t="s">
        <v>2919</v>
      </c>
      <c r="M38" s="2867">
        <v>0.25</v>
      </c>
      <c r="N38" s="1373"/>
      <c r="O38" s="1373"/>
      <c r="P38" s="1373"/>
      <c r="Q38" s="1373"/>
      <c r="R38" s="1373"/>
      <c r="S38" s="1373"/>
      <c r="T38" s="1373"/>
      <c r="U38" s="1373"/>
      <c r="V38" s="1373"/>
      <c r="W38" s="1373"/>
      <c r="X38" s="1373"/>
      <c r="Y38" s="1373"/>
      <c r="Z38" s="1374"/>
    </row>
    <row r="39" spans="1:37" ht="13.5" thickBot="1">
      <c r="A39" s="2850"/>
      <c r="B39" s="2868" t="s">
        <v>2920</v>
      </c>
      <c r="C39" s="229">
        <f ca="1">ROUND(C5*C19*C20*C24*F39,0)</f>
        <v>2515</v>
      </c>
      <c r="D39" s="2852">
        <f>'数据-汇总表'!G20</f>
        <v>71144</v>
      </c>
      <c r="E39" s="229">
        <f t="shared" ca="1" si="7"/>
        <v>17893</v>
      </c>
      <c r="F39" s="935">
        <f>SUMIF(修正!A45:A56,G2,修正!H45:H56)</f>
        <v>0.2</v>
      </c>
      <c r="G39" s="229">
        <f t="shared" ca="1" si="6"/>
        <v>629</v>
      </c>
      <c r="H39" s="229">
        <f t="shared" si="8"/>
        <v>71144</v>
      </c>
      <c r="I39" s="229">
        <f t="shared" ca="1" si="9"/>
        <v>4475</v>
      </c>
      <c r="J39" s="2869"/>
      <c r="K39" s="1373"/>
      <c r="L39" s="2870" t="s">
        <v>2863</v>
      </c>
      <c r="M39" s="2871">
        <v>0.15</v>
      </c>
      <c r="N39" s="1373"/>
      <c r="O39" s="1373"/>
      <c r="P39" s="1373"/>
      <c r="Q39" s="1373"/>
      <c r="R39" s="1373"/>
      <c r="S39" s="1373"/>
      <c r="T39" s="1373"/>
      <c r="U39" s="1373"/>
      <c r="V39" s="1373"/>
      <c r="W39" s="1373"/>
      <c r="X39" s="1373"/>
      <c r="Y39" s="1373"/>
      <c r="Z39" s="1374"/>
    </row>
    <row r="40" spans="1:37" s="1373" customFormat="1" hidden="1">
      <c r="Z40" s="1374"/>
      <c r="AA40" s="1374"/>
      <c r="AB40" s="1374"/>
      <c r="AC40" s="1374"/>
      <c r="AD40" s="1374"/>
      <c r="AE40" s="1374"/>
      <c r="AF40" s="1374"/>
      <c r="AG40" s="1374"/>
      <c r="AH40" s="1374"/>
      <c r="AI40" s="1374"/>
      <c r="AJ40" s="1374"/>
    </row>
    <row r="41" spans="1:37" s="1373" customFormat="1" hidden="1">
      <c r="A41" s="1374"/>
      <c r="B41" s="2872"/>
      <c r="Z41" s="1374"/>
      <c r="AA41" s="1374"/>
      <c r="AB41" s="1374"/>
      <c r="AC41" s="1374"/>
      <c r="AD41" s="1374"/>
      <c r="AE41" s="1374"/>
      <c r="AF41" s="1374"/>
      <c r="AG41" s="1374"/>
      <c r="AH41" s="1374"/>
      <c r="AI41" s="1374"/>
      <c r="AJ41" s="1374"/>
    </row>
    <row r="42" spans="1:37" s="1373" customFormat="1" hidden="1">
      <c r="A42" s="1374"/>
      <c r="B42" s="2872"/>
      <c r="Z42" s="1374"/>
      <c r="AA42" s="1374"/>
      <c r="AB42" s="1374"/>
      <c r="AC42" s="1374"/>
      <c r="AD42" s="1374"/>
      <c r="AE42" s="1374"/>
      <c r="AF42" s="1374"/>
      <c r="AG42" s="1374"/>
      <c r="AH42" s="1374"/>
      <c r="AI42" s="1374"/>
      <c r="AJ42" s="1374"/>
    </row>
    <row r="43" spans="1:37" s="1373" customFormat="1" hidden="1">
      <c r="A43" s="1374"/>
      <c r="B43" s="2872"/>
      <c r="Z43" s="1374"/>
      <c r="AA43" s="1374"/>
      <c r="AB43" s="1374"/>
      <c r="AC43" s="1374"/>
      <c r="AD43" s="1374"/>
      <c r="AE43" s="1374"/>
      <c r="AF43" s="1374"/>
      <c r="AG43" s="1374"/>
      <c r="AH43" s="1374"/>
      <c r="AI43" s="1374"/>
      <c r="AJ43" s="1374"/>
    </row>
    <row r="44" spans="1:37" s="1373" customFormat="1" hidden="1">
      <c r="A44" s="1374"/>
      <c r="B44" s="2872"/>
      <c r="Z44" s="1374"/>
      <c r="AA44" s="1374"/>
      <c r="AB44" s="1374"/>
      <c r="AC44" s="1374"/>
      <c r="AD44" s="1374"/>
      <c r="AE44" s="1374"/>
      <c r="AF44" s="1374"/>
      <c r="AG44" s="1374"/>
      <c r="AH44" s="1374"/>
      <c r="AI44" s="1374"/>
      <c r="AJ44" s="1374"/>
    </row>
    <row r="45" spans="1:37" s="1373" customFormat="1" ht="14.25" hidden="1" thickBot="1">
      <c r="A45" s="2873" t="s">
        <v>2921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3.9">
      <c r="A46" s="2875" t="s">
        <v>2922</v>
      </c>
      <c r="B46" s="2876">
        <f>1+E48</f>
        <v>1.0490999999999999</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5.9">
      <c r="A47" s="2879" t="s">
        <v>2923</v>
      </c>
      <c r="B47" s="1812" t="s">
        <v>2924</v>
      </c>
      <c r="C47" s="1812" t="s">
        <v>2925</v>
      </c>
      <c r="D47" s="1812" t="s">
        <v>2926</v>
      </c>
      <c r="E47" s="819" t="s">
        <v>2927</v>
      </c>
      <c r="F47" s="2880" t="s">
        <v>2928</v>
      </c>
      <c r="G47" s="1812" t="s">
        <v>754</v>
      </c>
      <c r="H47" s="2881" t="s">
        <v>2929</v>
      </c>
      <c r="I47" s="1812" t="s">
        <v>2930</v>
      </c>
      <c r="J47" s="603" t="s">
        <v>2579</v>
      </c>
      <c r="K47" s="603" t="s">
        <v>2580</v>
      </c>
      <c r="L47" s="603" t="s">
        <v>2581</v>
      </c>
      <c r="M47" s="603" t="s">
        <v>2582</v>
      </c>
      <c r="N47" s="603" t="s">
        <v>2583</v>
      </c>
      <c r="AA47" s="1374"/>
      <c r="AB47" s="1374"/>
      <c r="AC47" s="1374"/>
      <c r="AD47" s="1374"/>
      <c r="AE47" s="1374"/>
      <c r="AF47" s="1374"/>
      <c r="AG47" s="1374"/>
      <c r="AH47" s="1374"/>
      <c r="AI47" s="1374"/>
      <c r="AJ47" s="1374"/>
      <c r="AK47" s="1374"/>
    </row>
    <row r="48" spans="1:37" s="1373" customFormat="1" ht="25.9">
      <c r="A48" s="2879" t="s">
        <v>2931</v>
      </c>
      <c r="B48" s="2882">
        <f>估价对象房地状况!C4</f>
        <v>0</v>
      </c>
      <c r="C48" s="3355" t="s">
        <v>3108</v>
      </c>
      <c r="D48" s="1289">
        <f t="shared" ref="D48:D56" si="10">SUMIF($J$47:$N$47,C48,J48:N48)</f>
        <v>2.1399999999999999E-2</v>
      </c>
      <c r="E48" s="821">
        <f>ROUND(SUM(D48:D56),4)</f>
        <v>4.9099999999999998E-2</v>
      </c>
      <c r="F48" s="2503">
        <f>IF(E2="商业",SUMIF(L1:L12,G2,N1:N12),"——")</f>
        <v>0.13</v>
      </c>
      <c r="G48" s="1287">
        <f>H48</f>
        <v>2.1399999999999999E-2</v>
      </c>
      <c r="H48" s="1291">
        <f t="shared" ref="H48:H56" si="11">IFERROR(ROUNDDOWN($F$48*I48/2,4),"——")</f>
        <v>2.1399999999999999E-2</v>
      </c>
      <c r="I48" s="820">
        <v>0.33</v>
      </c>
      <c r="J48" s="1288">
        <f t="shared" ref="J48:J56" si="12">K48+$G48</f>
        <v>4.2799999999999998E-2</v>
      </c>
      <c r="K48" s="1288">
        <f t="shared" ref="K48:K56" si="13">$L48+$G48</f>
        <v>2.1399999999999999E-2</v>
      </c>
      <c r="L48" s="1288">
        <v>0</v>
      </c>
      <c r="M48" s="1288">
        <f t="shared" ref="M48:N56" si="14">L48-$G48</f>
        <v>-2.1399999999999999E-2</v>
      </c>
      <c r="N48" s="1288">
        <f t="shared" si="14"/>
        <v>-4.2799999999999998E-2</v>
      </c>
      <c r="AA48" s="1374"/>
      <c r="AB48" s="1374"/>
      <c r="AC48" s="1374"/>
      <c r="AD48" s="1374"/>
      <c r="AE48" s="1374"/>
      <c r="AF48" s="1374"/>
      <c r="AG48" s="1374"/>
      <c r="AH48" s="1374"/>
      <c r="AI48" s="1374"/>
      <c r="AJ48" s="1374"/>
      <c r="AK48" s="1374"/>
    </row>
    <row r="49" spans="1:37" s="1373" customFormat="1" ht="13.5">
      <c r="A49" s="2879" t="s">
        <v>2932</v>
      </c>
      <c r="B49" s="2883">
        <f>估价对象房地状况!C18</f>
        <v>0</v>
      </c>
      <c r="C49" s="3355" t="s">
        <v>3108</v>
      </c>
      <c r="D49" s="1289">
        <f t="shared" si="10"/>
        <v>1.6199999999999999E-2</v>
      </c>
      <c r="E49" s="822"/>
      <c r="F49" s="2503"/>
      <c r="G49" s="1287">
        <f t="shared" ref="G49:G56" si="15">H49</f>
        <v>1.6199999999999999E-2</v>
      </c>
      <c r="H49" s="1291">
        <f t="shared" si="11"/>
        <v>1.6199999999999999E-2</v>
      </c>
      <c r="I49" s="820">
        <v>0.25</v>
      </c>
      <c r="J49" s="1288">
        <f t="shared" si="12"/>
        <v>3.2399999999999998E-2</v>
      </c>
      <c r="K49" s="1288">
        <f t="shared" si="13"/>
        <v>1.6199999999999999E-2</v>
      </c>
      <c r="L49" s="1288">
        <v>0</v>
      </c>
      <c r="M49" s="1288">
        <f t="shared" si="14"/>
        <v>-1.6199999999999999E-2</v>
      </c>
      <c r="N49" s="1288">
        <f t="shared" si="14"/>
        <v>-3.2399999999999998E-2</v>
      </c>
      <c r="AA49" s="1374"/>
      <c r="AB49" s="1374"/>
      <c r="AC49" s="1374"/>
      <c r="AD49" s="1374"/>
      <c r="AE49" s="1374"/>
      <c r="AF49" s="1374"/>
      <c r="AG49" s="1374"/>
      <c r="AH49" s="1374"/>
      <c r="AI49" s="1374"/>
      <c r="AJ49" s="1374"/>
      <c r="AK49" s="1374"/>
    </row>
    <row r="50" spans="1:37" s="1373" customFormat="1" ht="25.5">
      <c r="A50" s="2879" t="s">
        <v>2933</v>
      </c>
      <c r="B50" s="2883">
        <f>估价对象房地状况!C19</f>
        <v>0</v>
      </c>
      <c r="C50" s="3355" t="s">
        <v>3108</v>
      </c>
      <c r="D50" s="1289">
        <f t="shared" si="10"/>
        <v>3.2000000000000002E-3</v>
      </c>
      <c r="E50" s="822"/>
      <c r="F50" s="2503"/>
      <c r="G50" s="1287">
        <f t="shared" si="15"/>
        <v>3.2000000000000002E-3</v>
      </c>
      <c r="H50" s="1291">
        <f t="shared" si="11"/>
        <v>3.2000000000000002E-3</v>
      </c>
      <c r="I50" s="820">
        <v>0.05</v>
      </c>
      <c r="J50" s="1288">
        <f t="shared" si="12"/>
        <v>6.4000000000000003E-3</v>
      </c>
      <c r="K50" s="1288">
        <f t="shared" si="13"/>
        <v>3.2000000000000002E-3</v>
      </c>
      <c r="L50" s="1288">
        <v>0</v>
      </c>
      <c r="M50" s="1288">
        <f t="shared" si="14"/>
        <v>-3.2000000000000002E-3</v>
      </c>
      <c r="N50" s="1288">
        <f t="shared" si="14"/>
        <v>-6.4000000000000003E-3</v>
      </c>
      <c r="AA50" s="1374"/>
      <c r="AB50" s="1374"/>
      <c r="AC50" s="1374"/>
      <c r="AD50" s="1374"/>
      <c r="AE50" s="1374"/>
      <c r="AF50" s="1374"/>
      <c r="AG50" s="1374"/>
      <c r="AH50" s="1374"/>
      <c r="AI50" s="1374"/>
      <c r="AJ50" s="1374"/>
      <c r="AK50" s="1374"/>
    </row>
    <row r="51" spans="1:37" s="1373" customFormat="1" ht="25.5">
      <c r="A51" s="2879" t="s">
        <v>2934</v>
      </c>
      <c r="B51" s="2884"/>
      <c r="C51" s="3355" t="s">
        <v>3108</v>
      </c>
      <c r="D51" s="1289">
        <f t="shared" si="10"/>
        <v>3.2000000000000002E-3</v>
      </c>
      <c r="E51" s="822"/>
      <c r="F51" s="2503"/>
      <c r="G51" s="1287">
        <f t="shared" si="15"/>
        <v>3.2000000000000002E-3</v>
      </c>
      <c r="H51" s="1291">
        <f t="shared" si="11"/>
        <v>3.2000000000000002E-3</v>
      </c>
      <c r="I51" s="820">
        <v>0.05</v>
      </c>
      <c r="J51" s="1288">
        <f t="shared" si="12"/>
        <v>6.4000000000000003E-3</v>
      </c>
      <c r="K51" s="1288">
        <f t="shared" si="13"/>
        <v>3.2000000000000002E-3</v>
      </c>
      <c r="L51" s="1288">
        <v>0</v>
      </c>
      <c r="M51" s="1288">
        <f t="shared" si="14"/>
        <v>-3.2000000000000002E-3</v>
      </c>
      <c r="N51" s="1288">
        <f t="shared" si="14"/>
        <v>-6.4000000000000003E-3</v>
      </c>
      <c r="AA51" s="1374"/>
      <c r="AB51" s="1374"/>
      <c r="AC51" s="1374"/>
      <c r="AD51" s="1374"/>
      <c r="AE51" s="1374"/>
      <c r="AF51" s="1374"/>
      <c r="AG51" s="1374"/>
      <c r="AH51" s="1374"/>
      <c r="AI51" s="1374"/>
      <c r="AJ51" s="1374"/>
      <c r="AK51" s="1374"/>
    </row>
    <row r="52" spans="1:37" s="1373" customFormat="1" ht="25.5">
      <c r="A52" s="2879" t="s">
        <v>2935</v>
      </c>
      <c r="B52" s="2883">
        <f>估价对象房地状况!C24</f>
        <v>0</v>
      </c>
      <c r="C52" s="3355" t="s">
        <v>3109</v>
      </c>
      <c r="D52" s="1289">
        <f t="shared" si="10"/>
        <v>0</v>
      </c>
      <c r="E52" s="822"/>
      <c r="F52" s="2503"/>
      <c r="G52" s="1287">
        <f t="shared" si="15"/>
        <v>5.1999999999999998E-3</v>
      </c>
      <c r="H52" s="1291">
        <f t="shared" si="11"/>
        <v>5.1999999999999998E-3</v>
      </c>
      <c r="I52" s="820">
        <v>0.08</v>
      </c>
      <c r="J52" s="1288">
        <f t="shared" si="12"/>
        <v>1.04E-2</v>
      </c>
      <c r="K52" s="1288">
        <f t="shared" si="13"/>
        <v>5.1999999999999998E-3</v>
      </c>
      <c r="L52" s="1288">
        <v>0</v>
      </c>
      <c r="M52" s="1288">
        <f t="shared" si="14"/>
        <v>-5.1999999999999998E-3</v>
      </c>
      <c r="N52" s="1288">
        <f t="shared" si="14"/>
        <v>-1.04E-2</v>
      </c>
      <c r="AA52" s="1374"/>
      <c r="AB52" s="1374"/>
      <c r="AC52" s="1374"/>
      <c r="AD52" s="1374"/>
      <c r="AE52" s="1374"/>
      <c r="AF52" s="1374"/>
      <c r="AG52" s="1374"/>
      <c r="AH52" s="1374"/>
      <c r="AI52" s="1374"/>
      <c r="AJ52" s="1374"/>
      <c r="AK52" s="1374"/>
    </row>
    <row r="53" spans="1:37" s="1373" customFormat="1" ht="25.5">
      <c r="A53" s="2879" t="s">
        <v>2936</v>
      </c>
      <c r="B53" s="2885"/>
      <c r="C53" s="3355" t="s">
        <v>3108</v>
      </c>
      <c r="D53" s="1289">
        <f t="shared" si="10"/>
        <v>1.9E-3</v>
      </c>
      <c r="E53" s="822"/>
      <c r="F53" s="2503"/>
      <c r="G53" s="1287">
        <f t="shared" si="15"/>
        <v>1.9E-3</v>
      </c>
      <c r="H53" s="1291">
        <f t="shared" si="11"/>
        <v>1.9E-3</v>
      </c>
      <c r="I53" s="820">
        <v>0.03</v>
      </c>
      <c r="J53" s="1288">
        <f t="shared" si="12"/>
        <v>3.8E-3</v>
      </c>
      <c r="K53" s="1288">
        <f t="shared" si="13"/>
        <v>1.9E-3</v>
      </c>
      <c r="L53" s="1288">
        <v>0</v>
      </c>
      <c r="M53" s="1288">
        <f t="shared" si="14"/>
        <v>-1.9E-3</v>
      </c>
      <c r="N53" s="1288">
        <f t="shared" si="14"/>
        <v>-3.8E-3</v>
      </c>
      <c r="AA53" s="1374"/>
      <c r="AB53" s="1374"/>
      <c r="AC53" s="1374"/>
      <c r="AD53" s="1374"/>
      <c r="AE53" s="1374"/>
      <c r="AF53" s="1374"/>
      <c r="AG53" s="1374"/>
      <c r="AH53" s="1374"/>
      <c r="AI53" s="1374"/>
      <c r="AJ53" s="1374"/>
      <c r="AK53" s="1374"/>
    </row>
    <row r="54" spans="1:37" s="1373" customFormat="1" ht="25.5">
      <c r="A54" s="2886" t="s">
        <v>2938</v>
      </c>
      <c r="B54" s="1728">
        <f>估价对象房地状况!C21</f>
        <v>0</v>
      </c>
      <c r="C54" s="3355" t="s">
        <v>3108</v>
      </c>
      <c r="D54" s="1289">
        <f t="shared" si="10"/>
        <v>3.2000000000000002E-3</v>
      </c>
      <c r="E54" s="822"/>
      <c r="F54" s="2503"/>
      <c r="G54" s="1287">
        <f t="shared" si="15"/>
        <v>3.2000000000000002E-3</v>
      </c>
      <c r="H54" s="1291">
        <f t="shared" si="11"/>
        <v>3.2000000000000002E-3</v>
      </c>
      <c r="I54" s="820">
        <v>0.05</v>
      </c>
      <c r="J54" s="1288">
        <f t="shared" si="12"/>
        <v>6.4000000000000003E-3</v>
      </c>
      <c r="K54" s="1288">
        <f t="shared" si="13"/>
        <v>3.2000000000000002E-3</v>
      </c>
      <c r="L54" s="1288">
        <v>0</v>
      </c>
      <c r="M54" s="1288">
        <f t="shared" si="14"/>
        <v>-3.2000000000000002E-3</v>
      </c>
      <c r="N54" s="1288">
        <f t="shared" si="14"/>
        <v>-6.4000000000000003E-3</v>
      </c>
      <c r="AA54" s="1374"/>
      <c r="AB54" s="1374"/>
      <c r="AC54" s="1374"/>
      <c r="AD54" s="1374"/>
      <c r="AE54" s="1374"/>
      <c r="AF54" s="1374"/>
      <c r="AG54" s="1374"/>
      <c r="AH54" s="1374"/>
      <c r="AI54" s="1374"/>
      <c r="AJ54" s="1374"/>
      <c r="AK54" s="1374"/>
    </row>
    <row r="55" spans="1:37" s="1373" customFormat="1" ht="25.5">
      <c r="A55" s="2886" t="s">
        <v>2939</v>
      </c>
      <c r="B55" s="2883">
        <f>估价对象房地状况!C22</f>
        <v>0</v>
      </c>
      <c r="C55" s="3355" t="s">
        <v>3109</v>
      </c>
      <c r="D55" s="1289">
        <f t="shared" si="10"/>
        <v>0</v>
      </c>
      <c r="E55" s="822"/>
      <c r="F55" s="2503"/>
      <c r="G55" s="1287">
        <f t="shared" si="15"/>
        <v>6.4999999999999997E-3</v>
      </c>
      <c r="H55" s="1291">
        <f t="shared" si="11"/>
        <v>6.4999999999999997E-3</v>
      </c>
      <c r="I55" s="820">
        <v>0.1</v>
      </c>
      <c r="J55" s="1288">
        <f t="shared" si="12"/>
        <v>1.2999999999999999E-2</v>
      </c>
      <c r="K55" s="1288">
        <f t="shared" si="13"/>
        <v>6.4999999999999997E-3</v>
      </c>
      <c r="L55" s="1288">
        <v>0</v>
      </c>
      <c r="M55" s="1288">
        <f t="shared" si="14"/>
        <v>-6.4999999999999997E-3</v>
      </c>
      <c r="N55" s="1288">
        <f t="shared" si="14"/>
        <v>-1.2999999999999999E-2</v>
      </c>
      <c r="AA55" s="1374"/>
      <c r="AB55" s="1374"/>
      <c r="AC55" s="1374"/>
      <c r="AD55" s="1374"/>
      <c r="AE55" s="1374"/>
      <c r="AF55" s="1374"/>
      <c r="AG55" s="1374"/>
      <c r="AH55" s="1374"/>
      <c r="AI55" s="1374"/>
      <c r="AJ55" s="1374"/>
      <c r="AK55" s="1374"/>
    </row>
    <row r="56" spans="1:37" s="1373" customFormat="1" ht="25.9" thickBot="1">
      <c r="A56" s="2887" t="s">
        <v>2940</v>
      </c>
      <c r="B56" s="2888">
        <f>估价对象房地状况!C20</f>
        <v>0</v>
      </c>
      <c r="C56" s="3355" t="s">
        <v>3109</v>
      </c>
      <c r="D56" s="1289">
        <f t="shared" si="10"/>
        <v>0</v>
      </c>
      <c r="E56" s="825"/>
      <c r="F56" s="2503"/>
      <c r="G56" s="1287">
        <f t="shared" si="15"/>
        <v>3.8999999999999998E-3</v>
      </c>
      <c r="H56" s="1291">
        <f t="shared" si="11"/>
        <v>3.8999999999999998E-3</v>
      </c>
      <c r="I56" s="824">
        <v>0.06</v>
      </c>
      <c r="J56" s="1288">
        <f t="shared" si="12"/>
        <v>7.7999999999999996E-3</v>
      </c>
      <c r="K56" s="1288">
        <f t="shared" si="13"/>
        <v>3.8999999999999998E-3</v>
      </c>
      <c r="L56" s="1288">
        <v>0</v>
      </c>
      <c r="M56" s="1288">
        <f t="shared" si="14"/>
        <v>-3.8999999999999998E-3</v>
      </c>
      <c r="N56" s="1288">
        <f t="shared" si="14"/>
        <v>-7.7999999999999996E-3</v>
      </c>
      <c r="AA56" s="1374"/>
      <c r="AB56" s="1374"/>
      <c r="AC56" s="1374"/>
      <c r="AD56" s="1374"/>
      <c r="AE56" s="1374"/>
      <c r="AF56" s="1374"/>
      <c r="AG56" s="1374"/>
      <c r="AH56" s="1374"/>
      <c r="AI56" s="1374"/>
      <c r="AJ56" s="1374"/>
      <c r="AK56" s="1374"/>
    </row>
    <row r="57" spans="1:37" s="1373" customFormat="1" ht="13.9">
      <c r="A57" s="2875" t="s">
        <v>2941</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9">
      <c r="A58" s="2879" t="s">
        <v>2923</v>
      </c>
      <c r="B58" s="1812"/>
      <c r="C58" s="1812" t="s">
        <v>2925</v>
      </c>
      <c r="D58" s="1812" t="s">
        <v>2926</v>
      </c>
      <c r="E58" s="819" t="s">
        <v>2927</v>
      </c>
      <c r="F58" s="2880" t="s">
        <v>2942</v>
      </c>
      <c r="G58" s="1812" t="s">
        <v>754</v>
      </c>
      <c r="H58" s="2881" t="s">
        <v>2929</v>
      </c>
      <c r="I58" s="1812" t="s">
        <v>2930</v>
      </c>
      <c r="J58" s="603" t="s">
        <v>2579</v>
      </c>
      <c r="K58" s="603" t="s">
        <v>2580</v>
      </c>
      <c r="L58" s="603" t="s">
        <v>2581</v>
      </c>
      <c r="M58" s="603" t="s">
        <v>2582</v>
      </c>
      <c r="N58" s="603" t="s">
        <v>2583</v>
      </c>
      <c r="AA58" s="1374"/>
      <c r="AB58" s="1374"/>
      <c r="AC58" s="1374"/>
      <c r="AD58" s="1374"/>
      <c r="AE58" s="1374"/>
      <c r="AF58" s="1374"/>
      <c r="AG58" s="1374"/>
      <c r="AH58" s="1374"/>
      <c r="AI58" s="1374"/>
      <c r="AJ58" s="1374"/>
      <c r="AK58" s="1374"/>
    </row>
    <row r="59" spans="1:37" s="1373" customFormat="1" ht="25.5">
      <c r="A59" s="2879" t="s">
        <v>2943</v>
      </c>
      <c r="B59" s="2882">
        <f>估价对象房地状况!C17</f>
        <v>0</v>
      </c>
      <c r="C59" s="3400" t="s">
        <v>3109</v>
      </c>
      <c r="D59" s="1289">
        <f t="shared" ref="D59:D67" si="16">SUMIF($J$58:$N$58,C59,J59:N59)</f>
        <v>0</v>
      </c>
      <c r="E59" s="821">
        <f>ROUND(SUM(D59:D67),4)</f>
        <v>0</v>
      </c>
      <c r="F59" s="2503"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13.5">
      <c r="A60" s="2879" t="s">
        <v>2932</v>
      </c>
      <c r="B60" s="2883">
        <f>估价对象房地状况!C18</f>
        <v>0</v>
      </c>
      <c r="C60" s="3400" t="s">
        <v>3108</v>
      </c>
      <c r="D60" s="1289">
        <f t="shared" si="16"/>
        <v>0</v>
      </c>
      <c r="E60" s="822"/>
      <c r="F60" s="2503"/>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5.5">
      <c r="A61" s="2879" t="s">
        <v>2933</v>
      </c>
      <c r="B61" s="2883">
        <f>估价对象房地状况!C19</f>
        <v>0</v>
      </c>
      <c r="C61" s="3400" t="s">
        <v>3109</v>
      </c>
      <c r="D61" s="1289">
        <f t="shared" si="16"/>
        <v>0</v>
      </c>
      <c r="E61" s="822"/>
      <c r="F61" s="2503"/>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25.5">
      <c r="A62" s="2879" t="s">
        <v>2934</v>
      </c>
      <c r="B62" s="2884"/>
      <c r="C62" s="3400" t="s">
        <v>3108</v>
      </c>
      <c r="D62" s="1289">
        <f t="shared" si="16"/>
        <v>0</v>
      </c>
      <c r="E62" s="822"/>
      <c r="F62" s="2503"/>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5.5">
      <c r="A63" s="2879" t="s">
        <v>2935</v>
      </c>
      <c r="B63" s="2883">
        <f>估价对象房地状况!C24</f>
        <v>0</v>
      </c>
      <c r="C63" s="3400" t="s">
        <v>3109</v>
      </c>
      <c r="D63" s="1289">
        <f t="shared" si="16"/>
        <v>0</v>
      </c>
      <c r="E63" s="822"/>
      <c r="F63" s="2503"/>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5.5">
      <c r="A64" s="2879" t="s">
        <v>2936</v>
      </c>
      <c r="B64" s="2885"/>
      <c r="C64" s="3400" t="s">
        <v>3108</v>
      </c>
      <c r="D64" s="1289">
        <f t="shared" si="16"/>
        <v>0</v>
      </c>
      <c r="E64" s="822"/>
      <c r="F64" s="2503"/>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79" t="s">
        <v>2938</v>
      </c>
      <c r="B65" s="1728">
        <f>估价对象房地状况!C21</f>
        <v>0</v>
      </c>
      <c r="C65" s="3400" t="s">
        <v>3108</v>
      </c>
      <c r="D65" s="1289">
        <f t="shared" si="16"/>
        <v>0</v>
      </c>
      <c r="E65" s="822"/>
      <c r="F65" s="2503"/>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79" t="s">
        <v>2939</v>
      </c>
      <c r="B66" s="1728">
        <f>估价对象房地状况!C22</f>
        <v>0</v>
      </c>
      <c r="C66" s="3400" t="s">
        <v>3109</v>
      </c>
      <c r="D66" s="1289">
        <f t="shared" si="16"/>
        <v>0</v>
      </c>
      <c r="E66" s="822"/>
      <c r="F66" s="2503"/>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25.9" thickBot="1">
      <c r="A67" s="2887" t="s">
        <v>2940</v>
      </c>
      <c r="B67" s="2889">
        <f>估价对象房地状况!C20</f>
        <v>0</v>
      </c>
      <c r="C67" s="3400" t="s">
        <v>3109</v>
      </c>
      <c r="D67" s="1289">
        <f t="shared" si="16"/>
        <v>0</v>
      </c>
      <c r="E67" s="825"/>
      <c r="F67" s="2503"/>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3.9" hidden="1">
      <c r="A68" s="2875" t="s">
        <v>2944</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9" hidden="1">
      <c r="A69" s="2879" t="s">
        <v>2923</v>
      </c>
      <c r="B69" s="1812"/>
      <c r="C69" s="1812" t="s">
        <v>2925</v>
      </c>
      <c r="D69" s="1812" t="s">
        <v>2926</v>
      </c>
      <c r="E69" s="819" t="s">
        <v>2927</v>
      </c>
      <c r="F69" s="2880" t="s">
        <v>2942</v>
      </c>
      <c r="G69" s="1812" t="s">
        <v>754</v>
      </c>
      <c r="H69" s="2881" t="s">
        <v>2929</v>
      </c>
      <c r="I69" s="1812" t="s">
        <v>2930</v>
      </c>
      <c r="J69" s="603" t="s">
        <v>2579</v>
      </c>
      <c r="K69" s="603" t="s">
        <v>2580</v>
      </c>
      <c r="L69" s="603" t="s">
        <v>2581</v>
      </c>
      <c r="M69" s="603" t="s">
        <v>2582</v>
      </c>
      <c r="N69" s="603" t="s">
        <v>2583</v>
      </c>
      <c r="AA69" s="1374"/>
      <c r="AB69" s="1374"/>
      <c r="AC69" s="1374"/>
      <c r="AD69" s="1374"/>
      <c r="AE69" s="1374"/>
      <c r="AF69" s="1374"/>
      <c r="AG69" s="1374"/>
      <c r="AH69" s="1374"/>
      <c r="AI69" s="1374"/>
      <c r="AJ69" s="1374"/>
      <c r="AK69" s="1374"/>
    </row>
    <row r="70" spans="1:37" s="1373" customFormat="1" ht="25.5" hidden="1">
      <c r="A70" s="2879" t="s">
        <v>2945</v>
      </c>
      <c r="B70" s="2882">
        <f>估价对象房地状况!C15</f>
        <v>0</v>
      </c>
      <c r="C70" s="2771"/>
      <c r="D70" s="1289">
        <f t="shared" ref="D70:D78" si="21">SUMIF($J$69:$N$69,C70,J70:N70)</f>
        <v>0</v>
      </c>
      <c r="E70" s="821">
        <f>ROUND(SUM(D70:D78),4)</f>
        <v>0</v>
      </c>
      <c r="F70" s="2503"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13.5" hidden="1">
      <c r="A71" s="2879" t="s">
        <v>2932</v>
      </c>
      <c r="B71" s="2883">
        <f>估价对象房地状况!C18</f>
        <v>0</v>
      </c>
      <c r="C71" s="2771"/>
      <c r="D71" s="1289">
        <f t="shared" si="21"/>
        <v>0</v>
      </c>
      <c r="E71" s="826"/>
      <c r="F71" s="2503"/>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5.5" hidden="1">
      <c r="A72" s="2879" t="s">
        <v>2933</v>
      </c>
      <c r="B72" s="2883">
        <f>估价对象房地状况!C19</f>
        <v>0</v>
      </c>
      <c r="C72" s="2771"/>
      <c r="D72" s="1289">
        <f t="shared" si="21"/>
        <v>0</v>
      </c>
      <c r="E72" s="826"/>
      <c r="F72" s="2503"/>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3.5" hidden="1">
      <c r="A73" s="2879" t="s">
        <v>2946</v>
      </c>
      <c r="B73" s="2883">
        <f>估价对象房地状况!C24</f>
        <v>0</v>
      </c>
      <c r="C73" s="2771"/>
      <c r="D73" s="1289">
        <f t="shared" si="21"/>
        <v>0</v>
      </c>
      <c r="E73" s="826"/>
      <c r="F73" s="2503"/>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hidden="1">
      <c r="A74" s="2879" t="s">
        <v>2938</v>
      </c>
      <c r="B74" s="1728">
        <f>估价对象房地状况!C21</f>
        <v>0</v>
      </c>
      <c r="C74" s="2771"/>
      <c r="D74" s="1289">
        <f t="shared" si="21"/>
        <v>0</v>
      </c>
      <c r="E74" s="826"/>
      <c r="F74" s="2503"/>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hidden="1">
      <c r="A75" s="2879" t="s">
        <v>2939</v>
      </c>
      <c r="B75" s="1728">
        <f>估价对象房地状况!C22</f>
        <v>0</v>
      </c>
      <c r="C75" s="2771"/>
      <c r="D75" s="1289">
        <f t="shared" si="21"/>
        <v>0</v>
      </c>
      <c r="E75" s="826"/>
      <c r="F75" s="2503"/>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0" customFormat="1" ht="25.5" hidden="1">
      <c r="A76" s="2879" t="s">
        <v>2936</v>
      </c>
      <c r="B76" s="2885" t="s">
        <v>2937</v>
      </c>
      <c r="C76" s="2771"/>
      <c r="D76" s="1289">
        <f t="shared" si="21"/>
        <v>0</v>
      </c>
      <c r="E76" s="826"/>
      <c r="F76" s="2503"/>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25.5" hidden="1">
      <c r="A77" s="2879" t="s">
        <v>2940</v>
      </c>
      <c r="B77" s="2882">
        <f>估价对象房地状况!C20</f>
        <v>0</v>
      </c>
      <c r="C77" s="2771"/>
      <c r="D77" s="1289">
        <f t="shared" si="21"/>
        <v>0</v>
      </c>
      <c r="E77" s="826"/>
      <c r="F77" s="2503"/>
      <c r="G77" s="1287"/>
      <c r="H77" s="1291" t="str">
        <f t="shared" si="22"/>
        <v>——</v>
      </c>
      <c r="I77" s="820">
        <v>0.15</v>
      </c>
      <c r="J77" s="1288">
        <f t="shared" si="23"/>
        <v>0</v>
      </c>
      <c r="K77" s="1288">
        <f t="shared" si="24"/>
        <v>0</v>
      </c>
      <c r="L77" s="1288">
        <v>0</v>
      </c>
      <c r="M77" s="1288">
        <f t="shared" si="25"/>
        <v>0</v>
      </c>
      <c r="N77" s="1288">
        <f t="shared" si="25"/>
        <v>0</v>
      </c>
      <c r="Z77" s="2721"/>
      <c r="AA77" s="2797"/>
      <c r="AG77" s="1375"/>
      <c r="AK77" s="2797"/>
    </row>
    <row r="78" spans="1:37" ht="25.9" hidden="1" thickBot="1">
      <c r="A78" s="2887" t="s">
        <v>2947</v>
      </c>
      <c r="B78" s="2891"/>
      <c r="C78" s="2771"/>
      <c r="D78" s="1289">
        <f t="shared" si="21"/>
        <v>0</v>
      </c>
      <c r="E78" s="827"/>
      <c r="F78" s="2503"/>
      <c r="G78" s="1287"/>
      <c r="H78" s="1291" t="str">
        <f t="shared" si="22"/>
        <v>——</v>
      </c>
      <c r="I78" s="824">
        <v>0.04</v>
      </c>
      <c r="J78" s="1288">
        <f t="shared" si="23"/>
        <v>0</v>
      </c>
      <c r="K78" s="1288">
        <f t="shared" si="24"/>
        <v>0</v>
      </c>
      <c r="L78" s="1288">
        <v>0</v>
      </c>
      <c r="M78" s="1288">
        <f t="shared" si="25"/>
        <v>0</v>
      </c>
      <c r="N78" s="1288">
        <f t="shared" si="25"/>
        <v>0</v>
      </c>
      <c r="Z78" s="2721"/>
      <c r="AA78" s="2797"/>
      <c r="AG78" s="1375"/>
      <c r="AK78" s="2797"/>
    </row>
    <row r="79" spans="1:37" ht="13.9" hidden="1">
      <c r="A79" s="2875" t="s">
        <v>2948</v>
      </c>
      <c r="B79" s="2876">
        <f>1+E81</f>
        <v>1</v>
      </c>
      <c r="C79" s="814"/>
      <c r="D79" s="814"/>
      <c r="E79" s="815"/>
      <c r="F79" s="2878"/>
      <c r="G79" s="6"/>
      <c r="H79" s="6"/>
      <c r="I79" s="6"/>
      <c r="J79" s="7"/>
      <c r="K79" s="7"/>
      <c r="L79" s="7"/>
      <c r="M79" s="7"/>
      <c r="N79" s="7"/>
      <c r="Z79" s="2721"/>
      <c r="AA79" s="2797"/>
      <c r="AG79" s="1375"/>
      <c r="AK79" s="2797"/>
    </row>
    <row r="80" spans="1:37" ht="25.9" hidden="1">
      <c r="A80" s="2879" t="s">
        <v>2923</v>
      </c>
      <c r="B80" s="1812"/>
      <c r="C80" s="1812" t="s">
        <v>2925</v>
      </c>
      <c r="D80" s="1812" t="s">
        <v>2926</v>
      </c>
      <c r="E80" s="819" t="s">
        <v>2927</v>
      </c>
      <c r="F80" s="2880" t="s">
        <v>2942</v>
      </c>
      <c r="G80" s="1812" t="s">
        <v>754</v>
      </c>
      <c r="H80" s="2881" t="s">
        <v>2929</v>
      </c>
      <c r="I80" s="1812" t="s">
        <v>2930</v>
      </c>
      <c r="J80" s="603" t="s">
        <v>2579</v>
      </c>
      <c r="K80" s="603" t="s">
        <v>2580</v>
      </c>
      <c r="L80" s="603" t="s">
        <v>2581</v>
      </c>
      <c r="M80" s="603" t="s">
        <v>2582</v>
      </c>
      <c r="N80" s="603" t="s">
        <v>2583</v>
      </c>
      <c r="Z80" s="2721"/>
      <c r="AA80" s="2797"/>
      <c r="AG80" s="1375"/>
      <c r="AK80" s="2797"/>
    </row>
    <row r="81" spans="1:37" ht="25.5" hidden="1">
      <c r="A81" s="2879" t="s">
        <v>2949</v>
      </c>
      <c r="B81" s="2883">
        <f>估价对象房地状况!G15</f>
        <v>0</v>
      </c>
      <c r="C81" s="2771"/>
      <c r="D81" s="1289">
        <f t="shared" ref="D81:D88" si="26">SUMIF($J$80:$N$80,C81,J81:N81)</f>
        <v>0</v>
      </c>
      <c r="E81" s="821">
        <f>ROUND(SUM(D81:D88),4)</f>
        <v>0</v>
      </c>
      <c r="F81" s="2503"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1"/>
      <c r="AA81" s="2797"/>
      <c r="AG81" s="1375"/>
      <c r="AK81" s="2797"/>
    </row>
    <row r="82" spans="1:37" ht="13.5" hidden="1">
      <c r="A82" s="2879" t="s">
        <v>2932</v>
      </c>
      <c r="B82" s="2883">
        <f>估价对象房地状况!G16</f>
        <v>0</v>
      </c>
      <c r="C82" s="2771"/>
      <c r="D82" s="1289">
        <f t="shared" si="26"/>
        <v>0</v>
      </c>
      <c r="E82" s="826"/>
      <c r="F82" s="2503"/>
      <c r="G82" s="1287"/>
      <c r="H82" s="1291" t="str">
        <f t="shared" si="27"/>
        <v>——</v>
      </c>
      <c r="I82" s="820">
        <v>0.33</v>
      </c>
      <c r="J82" s="1288">
        <f t="shared" si="28"/>
        <v>0</v>
      </c>
      <c r="K82" s="1288">
        <f t="shared" si="29"/>
        <v>0</v>
      </c>
      <c r="L82" s="1288">
        <v>0</v>
      </c>
      <c r="M82" s="1288">
        <f t="shared" si="30"/>
        <v>0</v>
      </c>
      <c r="N82" s="1288">
        <f t="shared" si="30"/>
        <v>0</v>
      </c>
      <c r="Z82" s="2721"/>
      <c r="AA82" s="2797"/>
      <c r="AG82" s="1375"/>
      <c r="AK82" s="2797"/>
    </row>
    <row r="83" spans="1:37" ht="25.5" hidden="1">
      <c r="A83" s="2879" t="s">
        <v>2933</v>
      </c>
      <c r="B83" s="2883">
        <f>估价对象房地状况!G17</f>
        <v>0</v>
      </c>
      <c r="C83" s="2771"/>
      <c r="D83" s="1289">
        <f t="shared" si="26"/>
        <v>0</v>
      </c>
      <c r="E83" s="826"/>
      <c r="F83" s="2503"/>
      <c r="G83" s="1287"/>
      <c r="H83" s="1291" t="str">
        <f t="shared" si="27"/>
        <v>——</v>
      </c>
      <c r="I83" s="820">
        <v>0.05</v>
      </c>
      <c r="J83" s="1288">
        <f t="shared" si="28"/>
        <v>0</v>
      </c>
      <c r="K83" s="1288">
        <f t="shared" si="29"/>
        <v>0</v>
      </c>
      <c r="L83" s="1288">
        <v>0</v>
      </c>
      <c r="M83" s="1288">
        <f t="shared" si="30"/>
        <v>0</v>
      </c>
      <c r="N83" s="1288">
        <f t="shared" si="30"/>
        <v>0</v>
      </c>
      <c r="Z83" s="2721"/>
      <c r="AA83" s="2797"/>
      <c r="AG83" s="1375"/>
      <c r="AK83" s="2797"/>
    </row>
    <row r="84" spans="1:37" ht="13.5" hidden="1">
      <c r="A84" s="2879" t="s">
        <v>2946</v>
      </c>
      <c r="B84" s="2883">
        <f>估价对象房地状况!G22</f>
        <v>0</v>
      </c>
      <c r="C84" s="2771"/>
      <c r="D84" s="1289">
        <f t="shared" si="26"/>
        <v>0</v>
      </c>
      <c r="E84" s="826"/>
      <c r="F84" s="2503"/>
      <c r="G84" s="1287"/>
      <c r="H84" s="1291" t="str">
        <f t="shared" si="27"/>
        <v>——</v>
      </c>
      <c r="I84" s="820">
        <v>0.04</v>
      </c>
      <c r="J84" s="1288">
        <f t="shared" si="28"/>
        <v>0</v>
      </c>
      <c r="K84" s="1288">
        <f t="shared" si="29"/>
        <v>0</v>
      </c>
      <c r="L84" s="1288">
        <v>0</v>
      </c>
      <c r="M84" s="1288">
        <f t="shared" si="30"/>
        <v>0</v>
      </c>
      <c r="N84" s="1288">
        <f t="shared" si="30"/>
        <v>0</v>
      </c>
      <c r="Z84" s="2721"/>
      <c r="AA84" s="2797"/>
      <c r="AG84" s="1375"/>
      <c r="AK84" s="2797"/>
    </row>
    <row r="85" spans="1:37" ht="25.5" hidden="1">
      <c r="A85" s="2879" t="s">
        <v>2938</v>
      </c>
      <c r="B85" s="1728">
        <f>估价对象房地状况!G19</f>
        <v>0</v>
      </c>
      <c r="C85" s="2771"/>
      <c r="D85" s="1289">
        <f t="shared" si="26"/>
        <v>0</v>
      </c>
      <c r="E85" s="826"/>
      <c r="F85" s="2503"/>
      <c r="G85" s="1287"/>
      <c r="H85" s="1291" t="str">
        <f t="shared" si="27"/>
        <v>——</v>
      </c>
      <c r="I85" s="820">
        <v>0.06</v>
      </c>
      <c r="J85" s="1288">
        <f t="shared" si="28"/>
        <v>0</v>
      </c>
      <c r="K85" s="1288">
        <f t="shared" si="29"/>
        <v>0</v>
      </c>
      <c r="L85" s="1288">
        <v>0</v>
      </c>
      <c r="M85" s="1288">
        <f t="shared" si="30"/>
        <v>0</v>
      </c>
      <c r="N85" s="1288">
        <f t="shared" si="30"/>
        <v>0</v>
      </c>
      <c r="Z85" s="2721"/>
      <c r="AA85" s="2797"/>
      <c r="AG85" s="1375"/>
      <c r="AK85" s="2797"/>
    </row>
    <row r="86" spans="1:37" ht="25.5" hidden="1">
      <c r="A86" s="2879" t="s">
        <v>2939</v>
      </c>
      <c r="B86" s="1728">
        <f>估价对象房地状况!G20</f>
        <v>0</v>
      </c>
      <c r="C86" s="2771"/>
      <c r="D86" s="1289">
        <f t="shared" si="26"/>
        <v>0</v>
      </c>
      <c r="E86" s="826"/>
      <c r="F86" s="2503"/>
      <c r="G86" s="1287"/>
      <c r="H86" s="1291" t="str">
        <f t="shared" si="27"/>
        <v>——</v>
      </c>
      <c r="I86" s="820">
        <v>0.15</v>
      </c>
      <c r="J86" s="1288">
        <f t="shared" si="28"/>
        <v>0</v>
      </c>
      <c r="K86" s="1288">
        <f t="shared" si="29"/>
        <v>0</v>
      </c>
      <c r="L86" s="1288">
        <v>0</v>
      </c>
      <c r="M86" s="1288">
        <f t="shared" si="30"/>
        <v>0</v>
      </c>
      <c r="N86" s="1288">
        <f t="shared" si="30"/>
        <v>0</v>
      </c>
      <c r="Z86" s="2721"/>
      <c r="AA86" s="2797"/>
      <c r="AG86" s="1375"/>
      <c r="AK86" s="2797"/>
    </row>
    <row r="87" spans="1:37" ht="25.5" hidden="1">
      <c r="A87" s="2879" t="s">
        <v>2936</v>
      </c>
      <c r="B87" s="2885" t="s">
        <v>2950</v>
      </c>
      <c r="C87" s="2771"/>
      <c r="D87" s="1289">
        <f t="shared" si="26"/>
        <v>0</v>
      </c>
      <c r="E87" s="826"/>
      <c r="F87" s="2503"/>
      <c r="G87" s="1287"/>
      <c r="H87" s="1291" t="str">
        <f t="shared" si="27"/>
        <v>——</v>
      </c>
      <c r="I87" s="820">
        <v>0.05</v>
      </c>
      <c r="J87" s="1288">
        <f t="shared" si="28"/>
        <v>0</v>
      </c>
      <c r="K87" s="1288">
        <f t="shared" si="29"/>
        <v>0</v>
      </c>
      <c r="L87" s="1288">
        <v>0</v>
      </c>
      <c r="M87" s="1288">
        <f t="shared" si="30"/>
        <v>0</v>
      </c>
      <c r="N87" s="1288">
        <f t="shared" si="30"/>
        <v>0</v>
      </c>
      <c r="Z87" s="2721"/>
      <c r="AA87" s="2797"/>
      <c r="AG87" s="1375"/>
      <c r="AK87" s="2797"/>
    </row>
    <row r="88" spans="1:37" ht="13.9" hidden="1" thickBot="1">
      <c r="A88" s="2887" t="s">
        <v>2951</v>
      </c>
      <c r="B88" s="2892">
        <f>估价对象房地状况!G18</f>
        <v>0</v>
      </c>
      <c r="C88" s="2771"/>
      <c r="D88" s="1289">
        <f t="shared" si="26"/>
        <v>0</v>
      </c>
      <c r="E88" s="827"/>
      <c r="F88" s="2503"/>
      <c r="G88" s="1287"/>
      <c r="H88" s="1291" t="str">
        <f t="shared" si="27"/>
        <v>——</v>
      </c>
      <c r="I88" s="824">
        <v>0.06</v>
      </c>
      <c r="J88" s="1288">
        <f t="shared" si="28"/>
        <v>0</v>
      </c>
      <c r="K88" s="1288">
        <f t="shared" si="29"/>
        <v>0</v>
      </c>
      <c r="L88" s="1288">
        <v>0</v>
      </c>
      <c r="M88" s="1288">
        <f t="shared" si="30"/>
        <v>0</v>
      </c>
      <c r="N88" s="1288">
        <f t="shared" si="30"/>
        <v>0</v>
      </c>
      <c r="Z88" s="2721"/>
      <c r="AA88" s="2797"/>
      <c r="AG88" s="1375"/>
      <c r="AK88" s="2797"/>
    </row>
    <row r="89" spans="1:37" hidden="1"/>
    <row r="90" spans="1:37" ht="13.15" hidden="1">
      <c r="A90" s="3313" t="s">
        <v>2952</v>
      </c>
      <c r="B90" s="3313"/>
      <c r="C90" s="3313"/>
      <c r="D90" s="3313"/>
      <c r="E90" s="3313"/>
      <c r="F90" s="3313"/>
      <c r="G90" s="3313"/>
      <c r="H90" s="3313"/>
      <c r="I90" s="3313"/>
      <c r="J90" s="3313"/>
      <c r="K90" s="2893"/>
      <c r="L90" s="2893"/>
      <c r="M90" s="2893"/>
      <c r="N90" s="2893"/>
    </row>
    <row r="91" spans="1:37" hidden="1">
      <c r="A91" s="3315" t="s">
        <v>2953</v>
      </c>
      <c r="B91" s="3315" t="s">
        <v>2954</v>
      </c>
      <c r="C91" s="2847" t="s">
        <v>2955</v>
      </c>
      <c r="D91" s="2848"/>
      <c r="E91" s="2848"/>
      <c r="F91" s="2848"/>
      <c r="G91" s="2848"/>
      <c r="H91" s="2848"/>
      <c r="I91" s="2848"/>
      <c r="J91" s="2894"/>
      <c r="K91" s="2895"/>
      <c r="L91" s="2895"/>
      <c r="M91" s="2895"/>
      <c r="N91" s="2895"/>
    </row>
    <row r="92" spans="1:37" hidden="1">
      <c r="A92" s="3315"/>
      <c r="B92" s="3315"/>
      <c r="C92" s="945" t="s">
        <v>2822</v>
      </c>
      <c r="D92" s="945" t="s">
        <v>2823</v>
      </c>
      <c r="E92" s="945" t="s">
        <v>2824</v>
      </c>
      <c r="F92" s="945" t="s">
        <v>2825</v>
      </c>
      <c r="G92" s="945" t="s">
        <v>2826</v>
      </c>
      <c r="H92" s="945" t="s">
        <v>2827</v>
      </c>
      <c r="I92" s="945" t="s">
        <v>2828</v>
      </c>
      <c r="J92" s="945" t="s">
        <v>2829</v>
      </c>
      <c r="K92" s="945" t="s">
        <v>2830</v>
      </c>
      <c r="L92" s="945" t="s">
        <v>2831</v>
      </c>
      <c r="M92" s="945" t="s">
        <v>2832</v>
      </c>
      <c r="N92" s="945" t="s">
        <v>2833</v>
      </c>
    </row>
    <row r="93" spans="1:37" hidden="1">
      <c r="A93" s="3316" t="s">
        <v>2956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hidden="1">
      <c r="A94" s="331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hidden="1">
      <c r="A95" s="331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hidden="1">
      <c r="A96" s="331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hidden="1">
      <c r="A97" s="331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hidden="1">
      <c r="A98" s="331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hidden="1">
      <c r="A99" s="3317"/>
      <c r="B99" s="2896" t="s">
        <v>2838</v>
      </c>
      <c r="C99" s="2898">
        <f>$I$3</f>
        <v>0</v>
      </c>
      <c r="D99" s="2898">
        <f t="shared" ref="D99:M99" si="31">$I$3</f>
        <v>0</v>
      </c>
      <c r="E99" s="2898">
        <f t="shared" si="31"/>
        <v>0</v>
      </c>
      <c r="F99" s="2898">
        <f t="shared" si="31"/>
        <v>0</v>
      </c>
      <c r="G99" s="2898">
        <f t="shared" si="31"/>
        <v>0</v>
      </c>
      <c r="H99" s="2898">
        <f t="shared" si="31"/>
        <v>0</v>
      </c>
      <c r="I99" s="2898">
        <f t="shared" si="31"/>
        <v>0</v>
      </c>
      <c r="J99" s="2898">
        <f t="shared" si="31"/>
        <v>0</v>
      </c>
      <c r="K99" s="2898">
        <f t="shared" si="31"/>
        <v>0</v>
      </c>
      <c r="L99" s="2898">
        <f t="shared" si="31"/>
        <v>0</v>
      </c>
      <c r="M99" s="2898">
        <f t="shared" si="31"/>
        <v>0</v>
      </c>
      <c r="N99" s="2898">
        <f>$I$3</f>
        <v>0</v>
      </c>
    </row>
    <row r="100" spans="1:14" hidden="1">
      <c r="A100" s="331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hidden="1">
      <c r="A101" s="3316" t="s">
        <v>2957</v>
      </c>
      <c r="B101" s="2900" t="s">
        <v>2958</v>
      </c>
      <c r="C101" s="2901">
        <f>$G$3</f>
        <v>1.79</v>
      </c>
      <c r="D101" s="2901">
        <f t="shared" ref="D101:N101" si="32">$G$3</f>
        <v>1.79</v>
      </c>
      <c r="E101" s="2901">
        <f t="shared" si="32"/>
        <v>1.79</v>
      </c>
      <c r="F101" s="2901">
        <f t="shared" si="32"/>
        <v>1.79</v>
      </c>
      <c r="G101" s="2901">
        <f t="shared" si="32"/>
        <v>1.79</v>
      </c>
      <c r="H101" s="2901">
        <f t="shared" si="32"/>
        <v>1.79</v>
      </c>
      <c r="I101" s="2901">
        <f t="shared" si="32"/>
        <v>1.79</v>
      </c>
      <c r="J101" s="2901">
        <f t="shared" si="32"/>
        <v>1.79</v>
      </c>
      <c r="K101" s="2901">
        <f t="shared" si="32"/>
        <v>1.79</v>
      </c>
      <c r="L101" s="2901">
        <f t="shared" si="32"/>
        <v>1.79</v>
      </c>
      <c r="M101" s="2901">
        <f t="shared" si="32"/>
        <v>1.79</v>
      </c>
      <c r="N101" s="2901">
        <f t="shared" si="32"/>
        <v>1.79</v>
      </c>
    </row>
    <row r="102" spans="1:14" hidden="1">
      <c r="A102" s="3317"/>
      <c r="B102" s="2896">
        <v>1</v>
      </c>
      <c r="C102" s="2897">
        <f>1.9362/C101</f>
        <v>1.0816759776536313</v>
      </c>
      <c r="D102" s="2897">
        <f>1.9362/D101</f>
        <v>1.0816759776536313</v>
      </c>
      <c r="E102" s="2897">
        <f>1.8629/E101</f>
        <v>1.0407262569832403</v>
      </c>
      <c r="F102" s="2897">
        <f>1.8629/F101</f>
        <v>1.0407262569832403</v>
      </c>
      <c r="G102" s="2897">
        <f>1.8629/G101</f>
        <v>1.0407262569832403</v>
      </c>
      <c r="H102" s="2897">
        <f>1.8629/H101</f>
        <v>1.0407262569832403</v>
      </c>
      <c r="I102" s="2897">
        <f>1.8629/I101</f>
        <v>1.0407262569832403</v>
      </c>
      <c r="J102" s="2897">
        <f>1.942/J101</f>
        <v>1.0849162011173183</v>
      </c>
      <c r="K102" s="2897">
        <f>1.942/K101</f>
        <v>1.0849162011173183</v>
      </c>
      <c r="L102" s="2897">
        <f>1.942/L101</f>
        <v>1.0849162011173183</v>
      </c>
      <c r="M102" s="2897">
        <f>1.942/M101</f>
        <v>1.0849162011173183</v>
      </c>
      <c r="N102" s="2897">
        <f>1.942/N101</f>
        <v>1.0849162011173183</v>
      </c>
    </row>
    <row r="103" spans="1:14" hidden="1">
      <c r="A103" s="3317"/>
      <c r="B103" s="2896">
        <v>2</v>
      </c>
      <c r="C103" s="2897">
        <f>1.4198/C101</f>
        <v>0.79318435754189942</v>
      </c>
      <c r="D103" s="2897">
        <f>1.4198/D101</f>
        <v>0.79318435754189942</v>
      </c>
      <c r="E103" s="2897">
        <f>1.3372/E101</f>
        <v>0.74703910614525137</v>
      </c>
      <c r="F103" s="2897">
        <f>1.3372/F101</f>
        <v>0.74703910614525137</v>
      </c>
      <c r="G103" s="2897">
        <f>1.3372/G101</f>
        <v>0.74703910614525137</v>
      </c>
      <c r="H103" s="2897">
        <f>1.3372/H101</f>
        <v>0.74703910614525137</v>
      </c>
      <c r="I103" s="2897">
        <f>1.3372/I101</f>
        <v>0.74703910614525137</v>
      </c>
      <c r="J103" s="2897">
        <f>1.2799/J101</f>
        <v>0.71502793296089384</v>
      </c>
      <c r="K103" s="2897">
        <f>1.2799/K101</f>
        <v>0.71502793296089384</v>
      </c>
      <c r="L103" s="2897">
        <f>1.2799/L101</f>
        <v>0.71502793296089384</v>
      </c>
      <c r="M103" s="2897">
        <f>1.2799/M101</f>
        <v>0.71502793296089384</v>
      </c>
      <c r="N103" s="2897">
        <f>1.2799/N101</f>
        <v>0.71502793296089384</v>
      </c>
    </row>
    <row r="104" spans="1:14" hidden="1">
      <c r="A104" s="3317"/>
      <c r="B104" s="2896">
        <v>3</v>
      </c>
      <c r="C104" s="2897">
        <f>1.1594/C101</f>
        <v>0.6477094972067039</v>
      </c>
      <c r="D104" s="2897">
        <f>1.1594/D101</f>
        <v>0.6477094972067039</v>
      </c>
      <c r="E104" s="2897">
        <f>1.0788/E101</f>
        <v>0.60268156424580999</v>
      </c>
      <c r="F104" s="2897">
        <f>1.0788/F101</f>
        <v>0.60268156424580999</v>
      </c>
      <c r="G104" s="2897">
        <f>1.0788/G101</f>
        <v>0.60268156424580999</v>
      </c>
      <c r="H104" s="2897">
        <f>1.0788/H101</f>
        <v>0.60268156424580999</v>
      </c>
      <c r="I104" s="2897">
        <f>1.0788/I101</f>
        <v>0.60268156424580999</v>
      </c>
      <c r="J104" s="2897">
        <f>1.0072/J101</f>
        <v>0.56268156424581006</v>
      </c>
      <c r="K104" s="2897">
        <f>1.0072/K101</f>
        <v>0.56268156424581006</v>
      </c>
      <c r="L104" s="2897">
        <f>1.0072/L101</f>
        <v>0.56268156424581006</v>
      </c>
      <c r="M104" s="2897">
        <f>1.0072/M101</f>
        <v>0.56268156424581006</v>
      </c>
      <c r="N104" s="2897">
        <f>1.0072/N101</f>
        <v>0.56268156424581006</v>
      </c>
    </row>
    <row r="105" spans="1:14" hidden="1">
      <c r="A105" s="3317"/>
      <c r="B105" s="2896">
        <v>4</v>
      </c>
      <c r="C105" s="2897">
        <f>0.9622/C101</f>
        <v>0.53754189944134079</v>
      </c>
      <c r="D105" s="2897">
        <f>0.9622/D101</f>
        <v>0.53754189944134079</v>
      </c>
      <c r="E105" s="2897">
        <f>0.8656/E101</f>
        <v>0.48357541899441342</v>
      </c>
      <c r="F105" s="2897">
        <f>0.8656/F101</f>
        <v>0.48357541899441342</v>
      </c>
      <c r="G105" s="2897">
        <f>0.8656/G101</f>
        <v>0.48357541899441342</v>
      </c>
      <c r="H105" s="2897">
        <f>0.8656/H101</f>
        <v>0.48357541899441342</v>
      </c>
      <c r="I105" s="2897">
        <f>0.8656/I101</f>
        <v>0.48357541899441342</v>
      </c>
      <c r="J105" s="2897">
        <f>0.7525/J101</f>
        <v>0.42039106145251393</v>
      </c>
      <c r="K105" s="2897">
        <f>0.7525/K101</f>
        <v>0.42039106145251393</v>
      </c>
      <c r="L105" s="2897">
        <f>0.7525/L101</f>
        <v>0.42039106145251393</v>
      </c>
      <c r="M105" s="2897">
        <f>0.7525/M101</f>
        <v>0.42039106145251393</v>
      </c>
      <c r="N105" s="2897">
        <f>0.7525/N101</f>
        <v>0.42039106145251393</v>
      </c>
    </row>
    <row r="106" spans="1:14" hidden="1">
      <c r="A106" s="3317"/>
      <c r="B106" s="2896">
        <v>5</v>
      </c>
      <c r="C106" s="2897">
        <f>0.8417/C101</f>
        <v>0.47022346368715084</v>
      </c>
      <c r="D106" s="2897">
        <f>0.8417/D101</f>
        <v>0.47022346368715084</v>
      </c>
      <c r="E106" s="2897">
        <f>0.7371/E101</f>
        <v>0.41178770949720667</v>
      </c>
      <c r="F106" s="2897">
        <f>0.7371/F101</f>
        <v>0.41178770949720667</v>
      </c>
      <c r="G106" s="2897">
        <f>0.7371/G101</f>
        <v>0.41178770949720667</v>
      </c>
      <c r="H106" s="2897">
        <f>0.7371/H101</f>
        <v>0.41178770949720667</v>
      </c>
      <c r="I106" s="2897">
        <f>0.7371/I101</f>
        <v>0.41178770949720667</v>
      </c>
      <c r="J106" s="2897">
        <f>0.5659/J101</f>
        <v>0.31614525139664801</v>
      </c>
      <c r="K106" s="2897">
        <f>0.5659/K101</f>
        <v>0.31614525139664801</v>
      </c>
      <c r="L106" s="2897">
        <f>0.5659/L101</f>
        <v>0.31614525139664801</v>
      </c>
      <c r="M106" s="2897">
        <f>0.5659/M101</f>
        <v>0.31614525139664801</v>
      </c>
      <c r="N106" s="2897">
        <f>0.5659/N101</f>
        <v>0.31614525139664801</v>
      </c>
    </row>
    <row r="107" spans="1:14" hidden="1">
      <c r="A107" s="3317"/>
      <c r="B107" s="2896">
        <v>6</v>
      </c>
      <c r="C107" s="2897">
        <f>0.7608/C101</f>
        <v>0.42502793296089386</v>
      </c>
      <c r="D107" s="2897">
        <f>0.7608/D101</f>
        <v>0.42502793296089386</v>
      </c>
      <c r="E107" s="2897">
        <f>0.6482/E101</f>
        <v>0.36212290502793293</v>
      </c>
      <c r="F107" s="2897">
        <f>0.6482/F101</f>
        <v>0.36212290502793293</v>
      </c>
      <c r="G107" s="2897">
        <f>0.6482/G101</f>
        <v>0.36212290502793293</v>
      </c>
      <c r="H107" s="2897">
        <f>0.6482/H101</f>
        <v>0.36212290502793293</v>
      </c>
      <c r="I107" s="2897">
        <f>0.6482/I101</f>
        <v>0.36212290502793293</v>
      </c>
      <c r="J107" s="2897">
        <f>0.4525/J101</f>
        <v>0.2527932960893855</v>
      </c>
      <c r="K107" s="2897">
        <f>0.4525/K101</f>
        <v>0.2527932960893855</v>
      </c>
      <c r="L107" s="2897">
        <f>0.4525/L101</f>
        <v>0.2527932960893855</v>
      </c>
      <c r="M107" s="2897">
        <f>0.4525/M101</f>
        <v>0.2527932960893855</v>
      </c>
      <c r="N107" s="2897">
        <f>0.4525/N101</f>
        <v>0.2527932960893855</v>
      </c>
    </row>
    <row r="108" spans="1:14" hidden="1">
      <c r="A108" s="3317"/>
      <c r="B108" s="3145" t="s">
        <v>2959</v>
      </c>
      <c r="C108" s="2898">
        <f>C99</f>
        <v>0</v>
      </c>
      <c r="D108" s="2898">
        <f t="shared" ref="D108:N108" si="33">D99</f>
        <v>0</v>
      </c>
      <c r="E108" s="2898">
        <f t="shared" si="33"/>
        <v>0</v>
      </c>
      <c r="F108" s="2898">
        <f t="shared" si="33"/>
        <v>0</v>
      </c>
      <c r="G108" s="2898">
        <f t="shared" si="33"/>
        <v>0</v>
      </c>
      <c r="H108" s="2898">
        <f t="shared" si="33"/>
        <v>0</v>
      </c>
      <c r="I108" s="2898">
        <f t="shared" si="33"/>
        <v>0</v>
      </c>
      <c r="J108" s="2898">
        <f t="shared" si="33"/>
        <v>0</v>
      </c>
      <c r="K108" s="2898">
        <f t="shared" si="33"/>
        <v>0</v>
      </c>
      <c r="L108" s="2898">
        <f t="shared" si="33"/>
        <v>0</v>
      </c>
      <c r="M108" s="2898">
        <f t="shared" si="33"/>
        <v>0</v>
      </c>
      <c r="N108" s="2898">
        <f t="shared" si="33"/>
        <v>0</v>
      </c>
    </row>
    <row r="109" spans="1:14" hidden="1">
      <c r="A109" s="3318"/>
      <c r="B109" s="3146"/>
      <c r="C109" s="2899">
        <f>(-0.163*(C108^2)-0.59*C108+7617)*(10^(-4))/C101</f>
        <v>0.42553072625698324</v>
      </c>
      <c r="D109" s="2899">
        <f>(-0.163*(D108^2)-0.59*D108+7617)*(10^(-4))/D101</f>
        <v>0.42553072625698324</v>
      </c>
      <c r="E109" s="2899">
        <f>(-0.161*(E108^2)-7.509*E108+6533)*(10^(-4))/E101</f>
        <v>0.36497206703910612</v>
      </c>
      <c r="F109" s="2899">
        <f>(-0.161*(F108^2)-7.509*F108+6533)*(10^(-4))/F101</f>
        <v>0.36497206703910612</v>
      </c>
      <c r="G109" s="2899">
        <f>(-0.161*(G108^2)-7.509*G108+6533)*(10^(-4))/G101</f>
        <v>0.36497206703910612</v>
      </c>
      <c r="H109" s="2899">
        <f>(-0.161*(H108^2)-7.509*H108+6533)*(10^(-4))/H101</f>
        <v>0.36497206703910612</v>
      </c>
      <c r="I109" s="2899">
        <f>(-0.161*(I108^2)-7.509*I108+6533)*(10^(-4))/I101</f>
        <v>0.36497206703910612</v>
      </c>
      <c r="J109" s="2899">
        <f>(-0.214*(J108^2)-21.991*J108+4665)*(10^(-4))/J101</f>
        <v>0.26061452513966482</v>
      </c>
      <c r="K109" s="2899">
        <f>(-0.214*(K108^2)-21.991*K108+4665)*(10^(-4))/K101</f>
        <v>0.26061452513966482</v>
      </c>
      <c r="L109" s="2899">
        <f>(-0.214*(L108^2)-21.991*L108+4665)*(10^(-4))/L101</f>
        <v>0.26061452513966482</v>
      </c>
      <c r="M109" s="2899">
        <f>(-0.214*(M108^2)-21.991*M108+4665)*(10^(-4))/M101</f>
        <v>0.26061452513966482</v>
      </c>
      <c r="N109" s="2899">
        <f>(-0.214*(N108^2)-21.991*N108+4665)*(10^(-4))/N101</f>
        <v>0.26061452513966482</v>
      </c>
    </row>
    <row r="110" spans="1:14" hidden="1">
      <c r="A110" s="3314" t="s">
        <v>2960</v>
      </c>
      <c r="B110" s="3314"/>
      <c r="C110" s="3314"/>
      <c r="D110" s="3314"/>
      <c r="E110" s="3314"/>
      <c r="F110" s="3314"/>
      <c r="G110" s="3314"/>
      <c r="H110" s="3314"/>
      <c r="I110" s="3314"/>
      <c r="J110" s="3314"/>
      <c r="K110" s="2902"/>
      <c r="L110" s="2902"/>
      <c r="M110" s="2902"/>
      <c r="N110" s="2902"/>
    </row>
    <row r="111" spans="1:14" hidden="1"/>
    <row r="112" spans="1:14" ht="13.15" hidden="1" thickBot="1"/>
    <row r="113" spans="1:13" ht="25.9" hidden="1" thickBot="1">
      <c r="A113" s="903" t="s">
        <v>2961</v>
      </c>
      <c r="B113" s="1290">
        <f>G3</f>
        <v>1.79</v>
      </c>
      <c r="C113" s="904" t="s">
        <v>2962</v>
      </c>
      <c r="D113" s="905">
        <f>SUMPRODUCT((A115:A118=F113)*(B114:M114=H113)*B115:M118)</f>
        <v>0.81359999999999999</v>
      </c>
      <c r="E113" s="2725" t="s">
        <v>2796</v>
      </c>
      <c r="F113" s="2904" t="str">
        <f>E2</f>
        <v>商业</v>
      </c>
      <c r="G113" s="2725" t="s">
        <v>2797</v>
      </c>
      <c r="H113" s="2904" t="str">
        <f>G2</f>
        <v>六级</v>
      </c>
      <c r="I113" s="2725"/>
      <c r="J113" s="2905"/>
      <c r="K113" s="2905"/>
      <c r="L113" s="2905"/>
      <c r="M113" s="2905"/>
    </row>
    <row r="114" spans="1:13" hidden="1">
      <c r="A114" s="908"/>
      <c r="B114" s="2906" t="s">
        <v>2963</v>
      </c>
      <c r="C114" s="2906" t="s">
        <v>2964</v>
      </c>
      <c r="D114" s="2906" t="s">
        <v>2965</v>
      </c>
      <c r="E114" s="2907" t="s">
        <v>2966</v>
      </c>
      <c r="F114" s="2907" t="s">
        <v>2967</v>
      </c>
      <c r="G114" s="2907" t="s">
        <v>2968</v>
      </c>
      <c r="H114" s="2908" t="s">
        <v>2969</v>
      </c>
      <c r="I114" s="2908" t="s">
        <v>2970</v>
      </c>
      <c r="J114" s="2909" t="s">
        <v>2971</v>
      </c>
      <c r="K114" s="2909" t="s">
        <v>2972</v>
      </c>
      <c r="L114" s="2909" t="s">
        <v>2973</v>
      </c>
      <c r="M114" s="2910" t="s">
        <v>2974</v>
      </c>
    </row>
    <row r="115" spans="1:13" hidden="1">
      <c r="A115" s="909" t="s">
        <v>2860</v>
      </c>
      <c r="B115" s="910">
        <f>ROUND(0.9335-0.0094*B113,4)</f>
        <v>0.91669999999999996</v>
      </c>
      <c r="C115" s="910">
        <f>B115</f>
        <v>0.91669999999999996</v>
      </c>
      <c r="D115" s="910">
        <f>ROUND(0.8331-0.0109*B113,4)</f>
        <v>0.81359999999999999</v>
      </c>
      <c r="E115" s="910">
        <f>D115</f>
        <v>0.81359999999999999</v>
      </c>
      <c r="F115" s="910">
        <f>E115</f>
        <v>0.81359999999999999</v>
      </c>
      <c r="G115" s="910">
        <f>F115</f>
        <v>0.81359999999999999</v>
      </c>
      <c r="H115" s="910">
        <f>G115</f>
        <v>0.81359999999999999</v>
      </c>
      <c r="I115" s="910">
        <f>ROUND(0.689-0.0155*B113,4)</f>
        <v>0.6613</v>
      </c>
      <c r="J115" s="910">
        <f t="shared" ref="J115:M118" si="34">I115</f>
        <v>0.6613</v>
      </c>
      <c r="K115" s="910">
        <f t="shared" si="34"/>
        <v>0.6613</v>
      </c>
      <c r="L115" s="910">
        <f t="shared" si="34"/>
        <v>0.6613</v>
      </c>
      <c r="M115" s="911">
        <f t="shared" si="34"/>
        <v>0.6613</v>
      </c>
    </row>
    <row r="116" spans="1:13" hidden="1">
      <c r="A116" s="909" t="s">
        <v>2861</v>
      </c>
      <c r="B116" s="910">
        <f>ROUND(0.949-0.012*B113,4)</f>
        <v>0.92749999999999999</v>
      </c>
      <c r="C116" s="910">
        <f>B116</f>
        <v>0.92749999999999999</v>
      </c>
      <c r="D116" s="910">
        <f>ROUND(0.8567-0.013*B113,4)</f>
        <v>0.83340000000000003</v>
      </c>
      <c r="E116" s="910">
        <f t="shared" ref="E116:H117" si="35">D116</f>
        <v>0.83340000000000003</v>
      </c>
      <c r="F116" s="910">
        <f t="shared" si="35"/>
        <v>0.83340000000000003</v>
      </c>
      <c r="G116" s="910">
        <f t="shared" si="35"/>
        <v>0.83340000000000003</v>
      </c>
      <c r="H116" s="910">
        <f t="shared" si="35"/>
        <v>0.83340000000000003</v>
      </c>
      <c r="I116" s="910">
        <f>ROUND(0.7694-0.014*B113,4)</f>
        <v>0.74429999999999996</v>
      </c>
      <c r="J116" s="910">
        <f t="shared" si="34"/>
        <v>0.74429999999999996</v>
      </c>
      <c r="K116" s="910">
        <f t="shared" si="34"/>
        <v>0.74429999999999996</v>
      </c>
      <c r="L116" s="910">
        <f t="shared" si="34"/>
        <v>0.74429999999999996</v>
      </c>
      <c r="M116" s="911">
        <f t="shared" si="34"/>
        <v>0.74429999999999996</v>
      </c>
    </row>
    <row r="117" spans="1:13" hidden="1">
      <c r="A117" s="909" t="s">
        <v>2862</v>
      </c>
      <c r="B117" s="910">
        <f>ROUND(0.8808-0.006*B113,4)</f>
        <v>0.87009999999999998</v>
      </c>
      <c r="C117" s="910">
        <f>B117</f>
        <v>0.87009999999999998</v>
      </c>
      <c r="D117" s="910">
        <f>ROUND(0.8748-0.008*B113,4)</f>
        <v>0.86050000000000004</v>
      </c>
      <c r="E117" s="910">
        <f t="shared" si="35"/>
        <v>0.86050000000000004</v>
      </c>
      <c r="F117" s="910">
        <f t="shared" si="35"/>
        <v>0.86050000000000004</v>
      </c>
      <c r="G117" s="910">
        <f t="shared" si="35"/>
        <v>0.86050000000000004</v>
      </c>
      <c r="H117" s="910">
        <f t="shared" si="35"/>
        <v>0.86050000000000004</v>
      </c>
      <c r="I117" s="910">
        <f>ROUND(0.7412-0.0095*B113,4)</f>
        <v>0.72419999999999995</v>
      </c>
      <c r="J117" s="910">
        <f t="shared" si="34"/>
        <v>0.72419999999999995</v>
      </c>
      <c r="K117" s="910">
        <f t="shared" si="34"/>
        <v>0.72419999999999995</v>
      </c>
      <c r="L117" s="910">
        <f t="shared" si="34"/>
        <v>0.72419999999999995</v>
      </c>
      <c r="M117" s="911">
        <f t="shared" si="34"/>
        <v>0.72419999999999995</v>
      </c>
    </row>
    <row r="118" spans="1:13" ht="13.15" hidden="1" thickBot="1">
      <c r="A118" s="714" t="s">
        <v>2863</v>
      </c>
      <c r="B118" s="912">
        <f>ROUND(0.7275-0.01*B113,4)</f>
        <v>0.70960000000000001</v>
      </c>
      <c r="C118" s="912">
        <f>B118</f>
        <v>0.70960000000000001</v>
      </c>
      <c r="D118" s="912">
        <f>ROUND(0.7043-0.012*B113,4)</f>
        <v>0.68279999999999996</v>
      </c>
      <c r="E118" s="912">
        <f>D118</f>
        <v>0.68279999999999996</v>
      </c>
      <c r="F118" s="912">
        <f>E118</f>
        <v>0.68279999999999996</v>
      </c>
      <c r="G118" s="912">
        <f>ROUND(0.6299-0.0122*B113,4)</f>
        <v>0.60809999999999997</v>
      </c>
      <c r="H118" s="912">
        <f>G118</f>
        <v>0.60809999999999997</v>
      </c>
      <c r="I118" s="912">
        <f>ROUND(0.5667-0.0136*B113,4)</f>
        <v>0.54239999999999999</v>
      </c>
      <c r="J118" s="912">
        <f t="shared" si="34"/>
        <v>0.54239999999999999</v>
      </c>
      <c r="K118" s="912">
        <f t="shared" si="34"/>
        <v>0.54239999999999999</v>
      </c>
      <c r="L118" s="912">
        <f t="shared" si="34"/>
        <v>0.54239999999999999</v>
      </c>
      <c r="M118" s="913">
        <f t="shared" si="34"/>
        <v>0.54239999999999999</v>
      </c>
    </row>
    <row r="119" spans="1:13" hidden="1"/>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G16:J16" xr:uid="{00000000-0002-0000-2100-000003000000}">
      <formula1>七通一平</formula1>
    </dataValidation>
    <dataValidation type="list" allowBlank="1" showInputMessage="1" showErrorMessage="1" sqref="F16" xr:uid="{00000000-0002-0000-2100-000004000000}">
      <formula1>"缺少,增加,一致"</formula1>
    </dataValidation>
    <dataValidation type="list" allowBlank="1" showInputMessage="1" showErrorMessage="1" sqref="E16" xr:uid="{00000000-0002-0000-2100-000005000000}">
      <formula1>"三通一平,四通一平,五通一平,六通一平,七通一平"</formula1>
    </dataValidation>
    <dataValidation type="list" allowBlank="1" showInputMessage="1" showErrorMessage="1" sqref="E2" xr:uid="{00000000-0002-0000-2100-000006000000}">
      <formula1>"商业,办公,住宅,工业"</formula1>
    </dataValidation>
    <dataValidation type="list" allowBlank="1" showInputMessage="1" showErrorMessage="1" sqref="F3" xr:uid="{00000000-0002-0000-2100-000007000000}">
      <formula1>"宗地容积率,估价对象容积率,自定义容积率"</formula1>
    </dataValidation>
    <dataValidation type="list" allowBlank="1" showInputMessage="1" showErrorMessage="1" sqref="C8" xr:uid="{00000000-0002-0000-2100-000008000000}">
      <formula1>商业街名称</formula1>
    </dataValidation>
    <dataValidation type="list" allowBlank="1" showInputMessage="1" showErrorMessage="1" sqref="E3" xr:uid="{00000000-0002-0000-2100-000009000000}">
      <formula1>二级分类</formula1>
    </dataValidation>
    <dataValidation type="list" allowBlank="1" showInputMessage="1" showErrorMessage="1" sqref="C81:C88 C70:C78 C48:C56 C59:C67" xr:uid="{00000000-0002-0000-2100-00000A000000}">
      <formula1>五等判定</formula1>
    </dataValidation>
    <dataValidation type="list" allowBlank="1" showInputMessage="1" showErrorMessage="1" sqref="H19" xr:uid="{00000000-0002-0000-21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CFC98-E1EF-4ED9-9D76-39F1DF26EB98}">
  <sheetPr>
    <tabColor rgb="FF92D050"/>
  </sheetPr>
  <dimension ref="A1:AK119"/>
  <sheetViews>
    <sheetView view="pageBreakPreview" topLeftCell="A18" zoomScaleNormal="80" zoomScaleSheetLayoutView="100" workbookViewId="0">
      <selection activeCell="H26" sqref="H26"/>
    </sheetView>
  </sheetViews>
  <sheetFormatPr defaultColWidth="12" defaultRowHeight="12.75"/>
  <cols>
    <col min="1" max="1" width="9.73046875" style="2797" customWidth="1"/>
    <col min="2" max="2" width="19.265625" style="2903" customWidth="1"/>
    <col min="3" max="4" width="12" style="2721"/>
    <col min="5" max="5" width="14.59765625" style="2721" customWidth="1"/>
    <col min="6" max="8" width="12" style="2721"/>
    <col min="9" max="9" width="12.265625" style="2721" bestFit="1" customWidth="1"/>
    <col min="10" max="10" width="12" style="2721"/>
    <col min="11" max="11" width="31.796875" style="2789" customWidth="1"/>
    <col min="12" max="12" width="12" style="2721"/>
    <col min="13" max="13" width="8.46484375" style="2721" customWidth="1"/>
    <col min="14" max="14" width="9.73046875" style="2721" customWidth="1"/>
    <col min="15" max="25" width="12" style="2721"/>
    <col min="26" max="26" width="9.3984375" style="2797" customWidth="1"/>
    <col min="27" max="32" width="9.3984375" style="1375" customWidth="1"/>
    <col min="33" max="36" width="9.3984375" style="2797" customWidth="1"/>
    <col min="37" max="38" width="9.3984375" style="2721" customWidth="1"/>
    <col min="39" max="16384" width="12" style="2721"/>
  </cols>
  <sheetData>
    <row r="1" spans="1:36" ht="31.5">
      <c r="A1" s="3356" t="s">
        <v>2786</v>
      </c>
      <c r="B1" s="3357"/>
      <c r="C1" s="3358" t="s">
        <v>2787</v>
      </c>
      <c r="D1" s="388">
        <f>SUM(D29:D30,D33:D39)</f>
        <v>58241</v>
      </c>
      <c r="E1" s="2718"/>
      <c r="F1" s="2718"/>
      <c r="G1" s="2718"/>
      <c r="H1" s="2718"/>
      <c r="I1" s="2718"/>
      <c r="J1" s="2718"/>
      <c r="K1" s="1373"/>
      <c r="L1" s="2719" t="s">
        <v>2788</v>
      </c>
      <c r="M1" s="1083">
        <f>SUMPRODUCT((区片价!B5:B9=I2)*(区片价!C3:F3=E2)*(区片价!C5:F9))</f>
        <v>0</v>
      </c>
      <c r="N1" s="1086">
        <f>SUMPRODUCT((因素修正幅度!B5:B9=I2)*(因素修正幅度!C3:F3=E2)*(因素修正幅度!C5:F9))</f>
        <v>0</v>
      </c>
      <c r="O1" s="2720"/>
      <c r="P1" s="2720"/>
      <c r="Q1" s="1373"/>
      <c r="R1" s="3366" t="s">
        <v>2789</v>
      </c>
      <c r="S1" s="3366" t="s">
        <v>2790</v>
      </c>
      <c r="T1" s="3366" t="s">
        <v>2791</v>
      </c>
      <c r="U1" s="3366" t="s">
        <v>2792</v>
      </c>
      <c r="V1" s="3366" t="s">
        <v>2793</v>
      </c>
      <c r="W1" s="3370"/>
      <c r="X1" s="3370"/>
      <c r="Y1" s="3370"/>
      <c r="Z1" s="3370"/>
      <c r="AA1" s="3370"/>
      <c r="AB1" s="3370"/>
      <c r="AC1" s="3371"/>
      <c r="AD1" s="3372"/>
      <c r="AE1" s="3372"/>
      <c r="AF1" s="3372"/>
      <c r="AG1" s="3372"/>
      <c r="AH1" s="3372"/>
      <c r="AI1" s="3372"/>
      <c r="AJ1" s="3373"/>
    </row>
    <row r="2" spans="1:36" ht="15.75">
      <c r="A2" s="3358" t="s">
        <v>2794</v>
      </c>
      <c r="B2" s="3360">
        <f ca="1">C26</f>
        <v>41124</v>
      </c>
      <c r="C2" s="3383" t="s">
        <v>2795</v>
      </c>
      <c r="D2" s="2723" t="s">
        <v>2796</v>
      </c>
      <c r="E2" s="2724" t="s">
        <v>27</v>
      </c>
      <c r="F2" s="2723" t="s">
        <v>2797</v>
      </c>
      <c r="G2" s="2725" t="str">
        <f>IF(E2="商业",项目基本情况!B37,IF(E2="办公",项目基本情况!C37,IF(E2="住宅",项目基本情况!D37,项目基本情况!E37)))</f>
        <v>六级</v>
      </c>
      <c r="H2" s="2723" t="s">
        <v>2798</v>
      </c>
      <c r="I2" s="2725" t="str">
        <f>IF(E2="商业",项目基本情况!B38,IF(E2="办公",项目基本情况!C38,IF(E2="住宅",项目基本情况!D38,项目基本情况!E38)))</f>
        <v>Ⅵ-12</v>
      </c>
      <c r="J2" s="2726"/>
      <c r="K2" s="1373"/>
      <c r="L2" s="2727" t="s">
        <v>2799</v>
      </c>
      <c r="M2" s="1084">
        <f>SUMPRODUCT((区片价!B10:B28=I2)*(区片价!C3:F3=E2)*(区片价!C10:F28))</f>
        <v>0</v>
      </c>
      <c r="N2" s="1086">
        <f>SUMPRODUCT((因素修正幅度!B10:B28=I2)*(因素修正幅度!C3:F3=E2)*(因素修正幅度!C10:F28))</f>
        <v>0</v>
      </c>
      <c r="O2" s="1373"/>
      <c r="P2" s="1373"/>
      <c r="Q2" s="1373"/>
      <c r="R2" s="3366">
        <v>1</v>
      </c>
      <c r="S2" s="3366">
        <f>ROUND(IF(G3&gt;1,IF(R2&lt;7,SUMPRODUCT((B93:B98=R2)*(C92:N92=G2)*(C93:N98)),SUMIF(C92:N92,G2,C100:N100)),IF(R2&lt;7,SUMPRODUCT((B102:B107=R2)*(C92:N92=G2)*(C102:N107)),SUMIF(C92:N92,G2,C109:N109))),4)</f>
        <v>1.8629</v>
      </c>
      <c r="T2" s="3366">
        <f ca="1">ROUND($C$5*$C$18*$C$19*$C$20*S2*$C$24,0)</f>
        <v>11855</v>
      </c>
      <c r="U2" s="3367"/>
      <c r="V2" s="3366">
        <f ca="1">ROUND(T2*U2/10000,0)</f>
        <v>0</v>
      </c>
      <c r="W2" s="3370"/>
      <c r="X2" s="3370"/>
      <c r="Y2" s="3370"/>
      <c r="Z2" s="3370"/>
      <c r="AA2" s="3370"/>
      <c r="AB2" s="3370"/>
      <c r="AC2" s="3371"/>
      <c r="AD2" s="3372"/>
      <c r="AE2" s="3372"/>
      <c r="AF2" s="3372"/>
      <c r="AG2" s="3372"/>
      <c r="AH2" s="3372"/>
      <c r="AI2" s="3372"/>
      <c r="AJ2" s="3373"/>
    </row>
    <row r="3" spans="1:36" ht="38.25">
      <c r="A3" s="3359" t="s">
        <v>2800</v>
      </c>
      <c r="B3" s="3360">
        <f ca="1">ROUND(B2*10000/D1,0)</f>
        <v>7061</v>
      </c>
      <c r="C3" s="3383" t="s">
        <v>2801</v>
      </c>
      <c r="D3" s="2723" t="s">
        <v>2802</v>
      </c>
      <c r="E3" s="2728" t="s">
        <v>3112</v>
      </c>
      <c r="F3" s="2729" t="s">
        <v>3097</v>
      </c>
      <c r="G3" s="916">
        <f>IF(F3="宗地容积率",'数据-汇总表'!I4,IF(F3="估价对象容积率",'数据-汇总表'!I6,'数据-汇总表'!I7))</f>
        <v>1.79</v>
      </c>
      <c r="H3" s="198" t="s">
        <v>2803</v>
      </c>
      <c r="I3" s="947"/>
      <c r="J3" s="2726" t="s">
        <v>2804</v>
      </c>
      <c r="K3" s="1373"/>
      <c r="L3" s="2727" t="s">
        <v>2805</v>
      </c>
      <c r="M3" s="1084">
        <f>SUMPRODUCT((区片价!B29:B48=I2)*(区片价!C3:F3=E2)*(区片价!C29:F48))</f>
        <v>0</v>
      </c>
      <c r="N3" s="1086">
        <f>SUMPRODUCT((因素修正幅度!B29:B48=I2)*(因素修正幅度!C3:F3=E2)*(因素修正幅度!C29:F48))</f>
        <v>0</v>
      </c>
      <c r="O3" s="1373"/>
      <c r="P3" s="1373"/>
      <c r="Q3" s="1373"/>
      <c r="R3" s="3366">
        <v>2</v>
      </c>
      <c r="S3" s="3366">
        <f>ROUND(IF(G3&gt;1,IF(R3&lt;7,SUMPRODUCT((B93:B98=R3)*(C92:N92=G2)*(C93:N98)),SUMIF(C92:N92,G2,C100:N100)),IF(R3&lt;7,SUMPRODUCT((B102:B107=R3)*(C92:N92=G2)*(C102:N107)),SUMIF(C92:N92,G2,C109:N109))),4)</f>
        <v>1.3371999999999999</v>
      </c>
      <c r="T3" s="3366">
        <f t="shared" ref="T3:T16" ca="1" si="0">ROUND($C$5*$C$18*$C$19*$C$20*S3*$C$24,0)</f>
        <v>8510</v>
      </c>
      <c r="U3" s="3367"/>
      <c r="V3" s="3366">
        <f t="shared" ref="V3:V16" ca="1" si="1">ROUND(T3*U3/10000,0)</f>
        <v>0</v>
      </c>
      <c r="W3" s="3370"/>
      <c r="X3" s="3370"/>
      <c r="Y3" s="3370"/>
      <c r="Z3" s="3370"/>
      <c r="AA3" s="3370"/>
      <c r="AB3" s="3370"/>
      <c r="AC3" s="3371"/>
      <c r="AD3" s="3372"/>
      <c r="AE3" s="3372"/>
      <c r="AF3" s="3372"/>
      <c r="AG3" s="3372"/>
      <c r="AH3" s="3372"/>
      <c r="AI3" s="3372"/>
      <c r="AJ3" s="3373"/>
    </row>
    <row r="4" spans="1:36" ht="15">
      <c r="A4" s="3325"/>
      <c r="B4" s="3326"/>
      <c r="C4" s="3326"/>
      <c r="D4" s="3327"/>
      <c r="E4" s="3327"/>
      <c r="F4" s="3327"/>
      <c r="G4" s="3327"/>
      <c r="H4" s="3327"/>
      <c r="I4" s="3327"/>
      <c r="J4" s="3328"/>
      <c r="K4" s="1373"/>
      <c r="L4" s="2727" t="s">
        <v>2806</v>
      </c>
      <c r="M4" s="1084">
        <f>SUMPRODUCT((区片价!B49:B75=I2)*(区片价!C3:F3=E2)*(区片价!C49:F75))</f>
        <v>0</v>
      </c>
      <c r="N4" s="1086">
        <f>SUMPRODUCT((因素修正幅度!B49:B75=I2)*(因素修正幅度!C3:F3=E2)*(因素修正幅度!C49:F75))</f>
        <v>0</v>
      </c>
      <c r="O4" s="1373"/>
      <c r="P4" s="1373"/>
      <c r="Q4" s="1373"/>
      <c r="R4" s="3366">
        <v>3</v>
      </c>
      <c r="S4" s="3366">
        <f>ROUND(IF(G3&gt;1,IF(R4&lt;7,SUMPRODUCT((B93:B98=R4)*(C92:N92=G2)*(C93:N98)),SUMIF(C92:N92,G2,C100:N100)),IF(R4&lt;7,SUMPRODUCT((B102:B107=R4)*(C92:N92=G2)*(C102:N107)),SUMIF(C92:N92,G2,C109:N109))),4)</f>
        <v>1.0788</v>
      </c>
      <c r="T4" s="3366">
        <f t="shared" ca="1" si="0"/>
        <v>6865</v>
      </c>
      <c r="U4" s="3367"/>
      <c r="V4" s="3366">
        <f t="shared" ca="1" si="1"/>
        <v>0</v>
      </c>
      <c r="W4" s="3370"/>
      <c r="X4" s="3370"/>
      <c r="Y4" s="3370"/>
      <c r="Z4" s="3370"/>
      <c r="AA4" s="3370"/>
      <c r="AB4" s="3370"/>
      <c r="AC4" s="3371"/>
      <c r="AD4" s="3372"/>
      <c r="AE4" s="3372"/>
      <c r="AF4" s="3372"/>
      <c r="AG4" s="3372"/>
      <c r="AH4" s="3372"/>
      <c r="AI4" s="3372"/>
      <c r="AJ4" s="3373"/>
    </row>
    <row r="5" spans="1:36" s="2739" customFormat="1" ht="15.4" thickBot="1">
      <c r="A5" s="2730" t="s">
        <v>807</v>
      </c>
      <c r="B5" s="2731" t="s">
        <v>2807</v>
      </c>
      <c r="C5" s="917">
        <f>ROUND(IF(E2="商业",IF(F16="增加",C6*C7+C16,C6*C7-C16),IF(E2="住宅",IF(F16="增加",C6*C12+C16,C6*C12-C16),IF(F16="增加",C6+C16,C6-C16))),0)</f>
        <v>9984</v>
      </c>
      <c r="D5" s="1790">
        <f>ROUND(IF(E2="商业",IF(F16="增加",C6+C16,C6-C16)),0)</f>
        <v>0</v>
      </c>
      <c r="E5" s="2732"/>
      <c r="F5" s="2732"/>
      <c r="G5" s="2733"/>
      <c r="H5" s="2733"/>
      <c r="I5" s="2733"/>
      <c r="J5" s="2734"/>
      <c r="K5" s="2735"/>
      <c r="L5" s="2727" t="s">
        <v>2808</v>
      </c>
      <c r="M5" s="1084">
        <f>SUMPRODUCT((区片价!B76:B109=I2)*(区片价!C3:F3=E2)*(区片价!C76:F109))</f>
        <v>0</v>
      </c>
      <c r="N5" s="1086">
        <f>SUMPRODUCT((因素修正幅度!B76:B109=I2)*(因素修正幅度!C3:F3=E2)*(因素修正幅度!C76:F109))</f>
        <v>0</v>
      </c>
      <c r="O5" s="1373"/>
      <c r="P5" s="1373"/>
      <c r="Q5" s="1373"/>
      <c r="R5" s="3366">
        <v>4</v>
      </c>
      <c r="S5" s="3366">
        <f>ROUND(IF(G3&gt;1,IF(R5&lt;7,SUMPRODUCT((B93:B98=R5)*(C92:N92=G2)*(C93:N98)),SUMIF(C92:N92,G2,C100:N100)),IF(R5&lt;7,SUMPRODUCT((B102:B107=R5)*(C92:N92=G2)*(C102:N107)),SUMIF(C92:N92,G2,C109:N109))),4)</f>
        <v>0.86560000000000004</v>
      </c>
      <c r="T5" s="3366">
        <f t="shared" ca="1" si="0"/>
        <v>5509</v>
      </c>
      <c r="U5" s="3367"/>
      <c r="V5" s="3366">
        <f t="shared" ca="1" si="1"/>
        <v>0</v>
      </c>
      <c r="W5" s="3370"/>
      <c r="X5" s="3370"/>
      <c r="Y5" s="3370"/>
      <c r="Z5" s="3370"/>
      <c r="AA5" s="3370"/>
      <c r="AB5" s="3370"/>
      <c r="AC5" s="3384"/>
      <c r="AD5" s="3385"/>
      <c r="AE5" s="3385"/>
      <c r="AF5" s="3385"/>
      <c r="AG5" s="3385"/>
      <c r="AH5" s="3385"/>
      <c r="AI5" s="3385"/>
      <c r="AJ5" s="3386"/>
    </row>
    <row r="6" spans="1:36" ht="15.4" thickBot="1">
      <c r="A6" s="2740" t="s">
        <v>2809</v>
      </c>
      <c r="B6" s="2741" t="s">
        <v>2810</v>
      </c>
      <c r="C6" s="918">
        <f>SUMIF(L1:L12,G2,M1:M12)</f>
        <v>10040</v>
      </c>
      <c r="D6" s="2742" t="s">
        <v>2811</v>
      </c>
      <c r="E6" s="2743"/>
      <c r="F6" s="2743"/>
      <c r="G6" s="2744"/>
      <c r="H6" s="2744"/>
      <c r="I6" s="2744"/>
      <c r="J6" s="2745"/>
      <c r="K6" s="1845"/>
      <c r="L6" s="2727" t="s">
        <v>2812</v>
      </c>
      <c r="M6" s="1084">
        <f>SUMPRODUCT((区片价!B110:B157=I2)*(区片价!C3:F3=E2)*(区片价!C110:F157))</f>
        <v>10040</v>
      </c>
      <c r="N6" s="1086">
        <f>SUMPRODUCT((因素修正幅度!B110:B157=I2)*(因素修正幅度!C3:F3=E2)*(因素修正幅度!C110:F157))</f>
        <v>0.13</v>
      </c>
      <c r="O6" s="1373"/>
      <c r="P6" s="1373"/>
      <c r="Q6" s="1373"/>
      <c r="R6" s="3366">
        <v>5</v>
      </c>
      <c r="S6" s="3366">
        <f>ROUND(IF(G3&gt;1,IF(R6&lt;7,SUMPRODUCT((B93:B98=R6)*(C92:N92=G2)*(C93:N98)),SUMIF(C92:N92,G2,C100:N100)),IF(R6&lt;7,SUMPRODUCT((B102:B107=R6)*(C92:N92=G2)*(C102:N107)),SUMIF(C92:N92,G2,C109:N109))),4)</f>
        <v>0.73709999999999998</v>
      </c>
      <c r="T6" s="3366">
        <f t="shared" ca="1" si="0"/>
        <v>4691</v>
      </c>
      <c r="U6" s="3367"/>
      <c r="V6" s="3366">
        <f t="shared" ca="1" si="1"/>
        <v>0</v>
      </c>
      <c r="W6" s="3370"/>
      <c r="X6" s="3370"/>
      <c r="Y6" s="3370"/>
      <c r="Z6" s="3370"/>
      <c r="AA6" s="3370"/>
      <c r="AB6" s="3370"/>
      <c r="AC6" s="3384"/>
      <c r="AD6" s="3385"/>
      <c r="AE6" s="3385"/>
      <c r="AF6" s="3385"/>
      <c r="AG6" s="3385"/>
      <c r="AH6" s="3385"/>
      <c r="AI6" s="3385"/>
      <c r="AJ6" s="3386"/>
    </row>
    <row r="7" spans="1:36" ht="25.5">
      <c r="A7" s="3311" t="str">
        <f>IF(E2="商业",IF(C8="不临58条商业街","",2),"")</f>
        <v/>
      </c>
      <c r="B7" s="2746" t="s">
        <v>2813</v>
      </c>
      <c r="C7" s="919">
        <f>IF(C8="不临58条商业街",1,ROUND(1+(1.6*E8+1.2*E9+0.8*E10+0.4*E11)*C9,4))</f>
        <v>1</v>
      </c>
      <c r="D7" s="2747" t="s">
        <v>2814</v>
      </c>
      <c r="E7" s="948">
        <v>5</v>
      </c>
      <c r="F7" s="2748"/>
      <c r="G7" s="2749"/>
      <c r="H7" s="2749"/>
      <c r="I7" s="2749"/>
      <c r="J7" s="2750"/>
      <c r="K7" s="1845"/>
      <c r="L7" s="2727" t="s">
        <v>2815</v>
      </c>
      <c r="M7" s="1084">
        <f>SUMPRODUCT((区片价!B158:B205=I2)*(区片价!C3:F3=E2)*(区片价!C158:F205))</f>
        <v>0</v>
      </c>
      <c r="N7" s="1086">
        <f>SUMPRODUCT((因素修正幅度!B158:B205=I2)*(因素修正幅度!C3:F3=E2)*(因素修正幅度!C158:F205))</f>
        <v>0</v>
      </c>
      <c r="O7" s="1373"/>
      <c r="P7" s="1373"/>
      <c r="Q7" s="1373"/>
      <c r="R7" s="3366">
        <v>6</v>
      </c>
      <c r="S7" s="3366">
        <f>ROUND(IF(G3&gt;1,IF(R7&lt;7,SUMPRODUCT((B93:B98=R7)*(C92:N92=G2)*(C93:N98)),SUMIF(C92:N92,G2,C100:N100)),IF(R7&lt;7,SUMPRODUCT((B102:B107=R7)*(C92:N92=G2)*(C102:N107)),SUMIF(C92:N92,G2,C109:N109))),4)</f>
        <v>0.6482</v>
      </c>
      <c r="T7" s="3366">
        <f t="shared" ca="1" si="0"/>
        <v>4125</v>
      </c>
      <c r="U7" s="3367"/>
      <c r="V7" s="3366">
        <f t="shared" ca="1" si="1"/>
        <v>0</v>
      </c>
      <c r="W7" s="3382" t="s">
        <v>2816</v>
      </c>
      <c r="X7" s="3368" t="str">
        <f>G2</f>
        <v>六级</v>
      </c>
      <c r="Y7" s="3368" t="s">
        <v>2817</v>
      </c>
      <c r="Z7" s="3369">
        <f>G3</f>
        <v>1.79</v>
      </c>
      <c r="AA7" s="3370"/>
      <c r="AB7" s="3370"/>
      <c r="AC7" s="3371"/>
      <c r="AD7" s="3372"/>
      <c r="AE7" s="3372"/>
      <c r="AF7" s="3372"/>
      <c r="AG7" s="3372"/>
      <c r="AH7" s="3372"/>
      <c r="AI7" s="3372"/>
      <c r="AJ7" s="3373"/>
    </row>
    <row r="8" spans="1:36" ht="25.9" thickBot="1">
      <c r="A8" s="3312"/>
      <c r="B8" s="198" t="s">
        <v>2818</v>
      </c>
      <c r="C8" s="2751" t="s">
        <v>3098</v>
      </c>
      <c r="D8" s="920" t="s">
        <v>139</v>
      </c>
      <c r="E8" s="921">
        <f>ROUND(C11/E7,4)</f>
        <v>0</v>
      </c>
      <c r="F8" s="2752" t="s">
        <v>2819</v>
      </c>
      <c r="G8" s="2753"/>
      <c r="H8" s="2753"/>
      <c r="I8" s="2753"/>
      <c r="J8" s="2754"/>
      <c r="K8" s="1373"/>
      <c r="L8" s="2727" t="s">
        <v>2820</v>
      </c>
      <c r="M8" s="1084">
        <f>SUMPRODUCT((区片价!B206:B244=I2)*(区片价!C3:F3=E2)*(区片价!C206:F244))</f>
        <v>0</v>
      </c>
      <c r="N8" s="1086">
        <f>SUMPRODUCT((因素修正幅度!B206:B244=I2)*(因素修正幅度!C3:F3=E2)*(因素修正幅度!C206:F244))</f>
        <v>0</v>
      </c>
      <c r="O8" s="1373"/>
      <c r="P8" s="1373"/>
      <c r="Q8" s="1373"/>
      <c r="R8" s="3366">
        <v>7</v>
      </c>
      <c r="S8" s="3367"/>
      <c r="T8" s="3366">
        <f t="shared" ca="1" si="0"/>
        <v>0</v>
      </c>
      <c r="U8" s="3367"/>
      <c r="V8" s="3366">
        <f t="shared" ca="1" si="1"/>
        <v>0</v>
      </c>
      <c r="W8" s="3322" t="s">
        <v>2821</v>
      </c>
      <c r="X8" s="3323"/>
      <c r="Y8" s="3374" t="s">
        <v>2822</v>
      </c>
      <c r="Z8" s="3374" t="s">
        <v>2823</v>
      </c>
      <c r="AA8" s="3374" t="s">
        <v>2824</v>
      </c>
      <c r="AB8" s="3374" t="s">
        <v>2825</v>
      </c>
      <c r="AC8" s="3374" t="s">
        <v>2826</v>
      </c>
      <c r="AD8" s="3374" t="s">
        <v>2827</v>
      </c>
      <c r="AE8" s="3374" t="s">
        <v>2828</v>
      </c>
      <c r="AF8" s="3374" t="s">
        <v>2829</v>
      </c>
      <c r="AG8" s="3374" t="s">
        <v>2830</v>
      </c>
      <c r="AH8" s="3374" t="s">
        <v>2831</v>
      </c>
      <c r="AI8" s="3374" t="s">
        <v>2832</v>
      </c>
      <c r="AJ8" s="3374" t="s">
        <v>2833</v>
      </c>
    </row>
    <row r="9" spans="1:36" ht="15.4" hidden="1" thickBot="1">
      <c r="A9" s="3312"/>
      <c r="B9" s="198" t="s">
        <v>2834</v>
      </c>
      <c r="C9" s="922">
        <f>SUMIF(修正!C59:C119,C8,修正!E59:E119)</f>
        <v>0</v>
      </c>
      <c r="D9" s="200" t="s">
        <v>140</v>
      </c>
      <c r="E9" s="200">
        <f>ROUND(C11/E7,4)</f>
        <v>0</v>
      </c>
      <c r="F9" s="2752" t="s">
        <v>2835</v>
      </c>
      <c r="G9" s="2753"/>
      <c r="H9" s="2753"/>
      <c r="I9" s="2753"/>
      <c r="J9" s="2754"/>
      <c r="K9" s="1373"/>
      <c r="L9" s="2727" t="s">
        <v>2836</v>
      </c>
      <c r="M9" s="1084">
        <f>SUMPRODUCT((区片价!B245:B289=I2)*(区片价!C3:F3=E2)*(区片价!C245:F289))</f>
        <v>0</v>
      </c>
      <c r="N9" s="1086">
        <f>SUMPRODUCT((因素修正幅度!B245:B289=I2)*(因素修正幅度!C3:F3=E2)*(因素修正幅度!C245:F289))</f>
        <v>0</v>
      </c>
      <c r="O9" s="1373"/>
      <c r="P9" s="1373"/>
      <c r="Q9" s="1373"/>
      <c r="R9" s="3366">
        <v>8</v>
      </c>
      <c r="S9" s="3367"/>
      <c r="T9" s="3366">
        <f t="shared" ca="1" si="0"/>
        <v>0</v>
      </c>
      <c r="U9" s="3367"/>
      <c r="V9" s="3366">
        <f t="shared" ca="1" si="1"/>
        <v>0</v>
      </c>
      <c r="W9" s="3324" t="s">
        <v>2837</v>
      </c>
      <c r="X9" s="3375" t="s">
        <v>2838</v>
      </c>
      <c r="Y9" s="3381"/>
      <c r="Z9" s="3376">
        <f>$Y$9</f>
        <v>0</v>
      </c>
      <c r="AA9" s="3376">
        <f t="shared" ref="AA9:AJ9" si="2">$Y$9</f>
        <v>0</v>
      </c>
      <c r="AB9" s="3376">
        <f t="shared" si="2"/>
        <v>0</v>
      </c>
      <c r="AC9" s="3376">
        <f t="shared" si="2"/>
        <v>0</v>
      </c>
      <c r="AD9" s="3376">
        <f t="shared" si="2"/>
        <v>0</v>
      </c>
      <c r="AE9" s="3376">
        <f t="shared" si="2"/>
        <v>0</v>
      </c>
      <c r="AF9" s="3376">
        <f t="shared" si="2"/>
        <v>0</v>
      </c>
      <c r="AG9" s="3376">
        <f t="shared" si="2"/>
        <v>0</v>
      </c>
      <c r="AH9" s="3376">
        <f t="shared" si="2"/>
        <v>0</v>
      </c>
      <c r="AI9" s="3376">
        <f t="shared" si="2"/>
        <v>0</v>
      </c>
      <c r="AJ9" s="3376">
        <f t="shared" si="2"/>
        <v>0</v>
      </c>
    </row>
    <row r="10" spans="1:36" ht="15.4" hidden="1" thickBot="1">
      <c r="A10" s="3312"/>
      <c r="B10" s="198" t="s">
        <v>2839</v>
      </c>
      <c r="C10" s="200">
        <f>SUMIF(修正!C59:C119,C8,修正!F59:F119)</f>
        <v>0</v>
      </c>
      <c r="D10" s="200" t="s">
        <v>141</v>
      </c>
      <c r="E10" s="200">
        <f>ROUND(C11/E7,4)</f>
        <v>0</v>
      </c>
      <c r="F10" s="2752" t="s">
        <v>2840</v>
      </c>
      <c r="G10" s="2753"/>
      <c r="H10" s="2753"/>
      <c r="I10" s="2753"/>
      <c r="J10" s="2754"/>
      <c r="K10" s="1373"/>
      <c r="L10" s="2727" t="s">
        <v>2841</v>
      </c>
      <c r="M10" s="1084">
        <f>SUMPRODUCT((区片价!B290:B316=I2)*(区片价!C3:F3=E2)*(区片价!C290:F316))</f>
        <v>0</v>
      </c>
      <c r="N10" s="1086">
        <f>SUMPRODUCT((因素修正幅度!B290:B316=I2)*(因素修正幅度!C3:F3=E2)*(因素修正幅度!C290:F316))</f>
        <v>0</v>
      </c>
      <c r="O10" s="1373"/>
      <c r="P10" s="1373"/>
      <c r="Q10" s="1373"/>
      <c r="R10" s="3366">
        <v>9</v>
      </c>
      <c r="S10" s="3367"/>
      <c r="T10" s="3366">
        <f t="shared" ca="1" si="0"/>
        <v>0</v>
      </c>
      <c r="U10" s="3367"/>
      <c r="V10" s="3366">
        <f t="shared" ca="1" si="1"/>
        <v>0</v>
      </c>
      <c r="W10" s="3324"/>
      <c r="X10" s="3375">
        <v>7</v>
      </c>
      <c r="Y10" s="3377">
        <f>(-0.163*(Y9^2)-0.59*Y9+7617)*(10^(-4))</f>
        <v>0.76170000000000004</v>
      </c>
      <c r="Z10" s="3377">
        <f>(-0.163*(Z9^2)-0.59*Z9+7617)*(10^(-4))</f>
        <v>0.76170000000000004</v>
      </c>
      <c r="AA10" s="3377">
        <f>(-0.161*(AA9^2)-7.509*AA9+6533)*(10^(-4))</f>
        <v>0.65329999999999999</v>
      </c>
      <c r="AB10" s="3377">
        <f>(-0.161*(AB9^2)-7.509*AB9+6533)*(10^(-4))</f>
        <v>0.65329999999999999</v>
      </c>
      <c r="AC10" s="3377">
        <f>(-0.161*(AC9^2)-7.509*AC9+6533)*(10^(-4))</f>
        <v>0.65329999999999999</v>
      </c>
      <c r="AD10" s="3377">
        <f>(-0.161*(AD9^2)-7.509*AD9+6533)*(10^(-4))</f>
        <v>0.65329999999999999</v>
      </c>
      <c r="AE10" s="3377">
        <f>(-0.161*(AE9^2)-7.509*AE9+6533)*(10^(-4))</f>
        <v>0.65329999999999999</v>
      </c>
      <c r="AF10" s="3377">
        <f>(-0.214*(AF9^2)-21.991*AF9+4665)*(10^(-4))</f>
        <v>0.46650000000000003</v>
      </c>
      <c r="AG10" s="3377">
        <f>(-0.214*(AG9^2)-21.991*AG9+4665)*(10^(-4))</f>
        <v>0.46650000000000003</v>
      </c>
      <c r="AH10" s="3377">
        <f>(-0.214*(AH9^2)-21.991*AH9+4665)*(10^(-4))</f>
        <v>0.46650000000000003</v>
      </c>
      <c r="AI10" s="3377">
        <f>(-0.214*(AI9^2)-21.991*AI9+4665)*(10^(-4))</f>
        <v>0.46650000000000003</v>
      </c>
      <c r="AJ10" s="3377">
        <f>(-0.214*(AJ9^2)-21.991*AJ9+4665)*(10^(-4))</f>
        <v>0.46650000000000003</v>
      </c>
    </row>
    <row r="11" spans="1:36" ht="15.4" hidden="1" thickBot="1">
      <c r="A11" s="3312"/>
      <c r="B11" s="2755" t="s">
        <v>2842</v>
      </c>
      <c r="C11" s="923">
        <f>C10/4</f>
        <v>0</v>
      </c>
      <c r="D11" s="923" t="s">
        <v>142</v>
      </c>
      <c r="E11" s="923">
        <f>ROUND(C11/E7,4)</f>
        <v>0</v>
      </c>
      <c r="F11" s="2756" t="s">
        <v>2843</v>
      </c>
      <c r="G11" s="2757"/>
      <c r="H11" s="2757"/>
      <c r="I11" s="2757"/>
      <c r="J11" s="2758"/>
      <c r="K11" s="1373"/>
      <c r="L11" s="2727" t="s">
        <v>2844</v>
      </c>
      <c r="M11" s="1084">
        <f>SUMPRODUCT((区片价!B317:B337=I2)*(区片价!C3:F3=E2)*(区片价!C317:F337))</f>
        <v>0</v>
      </c>
      <c r="N11" s="1086">
        <f>SUMPRODUCT((因素修正幅度!B317:B337=I2)*(因素修正幅度!C3:F3=E2)*(因素修正幅度!C317:F337))</f>
        <v>0</v>
      </c>
      <c r="O11" s="1373"/>
      <c r="P11" s="1373"/>
      <c r="Q11" s="1373"/>
      <c r="R11" s="3366">
        <v>10</v>
      </c>
      <c r="S11" s="3367"/>
      <c r="T11" s="3366">
        <f t="shared" ca="1" si="0"/>
        <v>0</v>
      </c>
      <c r="U11" s="3367"/>
      <c r="V11" s="3366">
        <f t="shared" ca="1" si="1"/>
        <v>0</v>
      </c>
      <c r="W11" s="3324" t="s">
        <v>2845</v>
      </c>
      <c r="X11" s="3378" t="s">
        <v>2817</v>
      </c>
      <c r="Y11" s="3379">
        <f>$G$3</f>
        <v>1.79</v>
      </c>
      <c r="Z11" s="3379">
        <f t="shared" ref="Z11:AJ11" si="3">$G$3</f>
        <v>1.79</v>
      </c>
      <c r="AA11" s="3379">
        <f t="shared" si="3"/>
        <v>1.79</v>
      </c>
      <c r="AB11" s="3379">
        <f t="shared" si="3"/>
        <v>1.79</v>
      </c>
      <c r="AC11" s="3379">
        <f t="shared" si="3"/>
        <v>1.79</v>
      </c>
      <c r="AD11" s="3379">
        <f t="shared" si="3"/>
        <v>1.79</v>
      </c>
      <c r="AE11" s="3379">
        <f t="shared" si="3"/>
        <v>1.79</v>
      </c>
      <c r="AF11" s="3379">
        <f t="shared" si="3"/>
        <v>1.79</v>
      </c>
      <c r="AG11" s="3379">
        <f t="shared" si="3"/>
        <v>1.79</v>
      </c>
      <c r="AH11" s="3379">
        <f t="shared" si="3"/>
        <v>1.79</v>
      </c>
      <c r="AI11" s="3379">
        <f t="shared" si="3"/>
        <v>1.79</v>
      </c>
      <c r="AJ11" s="3379">
        <f t="shared" si="3"/>
        <v>1.79</v>
      </c>
    </row>
    <row r="12" spans="1:36" ht="26.25" hidden="1" thickBot="1">
      <c r="A12" s="3311" t="s">
        <v>2847</v>
      </c>
      <c r="B12" s="2759" t="s">
        <v>2848</v>
      </c>
      <c r="C12" s="919">
        <f>ROUND(C15*D15*E15*F15*G15*H15*I15*J15,4)</f>
        <v>1</v>
      </c>
      <c r="D12" s="2760" t="s">
        <v>2849</v>
      </c>
      <c r="E12" s="2761"/>
      <c r="F12" s="2761"/>
      <c r="G12" s="2762"/>
      <c r="H12" s="2762"/>
      <c r="I12" s="2762"/>
      <c r="J12" s="2763"/>
      <c r="K12" s="1373"/>
      <c r="L12" s="2764" t="s">
        <v>2850</v>
      </c>
      <c r="M12" s="1085">
        <f>SUMPRODUCT((区片价!B338:B344=I2)*(区片价!C3:F3=E2)*(区片价!C338:F344))</f>
        <v>0</v>
      </c>
      <c r="N12" s="1086">
        <f>SUMPRODUCT((因素修正幅度!B338:B344=I2)*(因素修正幅度!C3:F3=E2)*(因素修正幅度!C338:F344))</f>
        <v>0</v>
      </c>
      <c r="O12" s="1373"/>
      <c r="P12" s="1373"/>
      <c r="Q12" s="1373"/>
      <c r="R12" s="3366">
        <v>11</v>
      </c>
      <c r="S12" s="3367"/>
      <c r="T12" s="3366">
        <f t="shared" ca="1" si="0"/>
        <v>0</v>
      </c>
      <c r="U12" s="3367"/>
      <c r="V12" s="3366">
        <f t="shared" ca="1" si="1"/>
        <v>0</v>
      </c>
      <c r="W12" s="3324"/>
      <c r="X12" s="3380" t="s">
        <v>2851</v>
      </c>
      <c r="Y12" s="3376">
        <f t="shared" ref="Y12:AJ12" si="4">Y9</f>
        <v>0</v>
      </c>
      <c r="Z12" s="3376">
        <f t="shared" si="4"/>
        <v>0</v>
      </c>
      <c r="AA12" s="3376">
        <f t="shared" si="4"/>
        <v>0</v>
      </c>
      <c r="AB12" s="3376">
        <f t="shared" si="4"/>
        <v>0</v>
      </c>
      <c r="AC12" s="3376">
        <f t="shared" si="4"/>
        <v>0</v>
      </c>
      <c r="AD12" s="3376">
        <f t="shared" si="4"/>
        <v>0</v>
      </c>
      <c r="AE12" s="3376">
        <f t="shared" si="4"/>
        <v>0</v>
      </c>
      <c r="AF12" s="3376">
        <f t="shared" si="4"/>
        <v>0</v>
      </c>
      <c r="AG12" s="3376">
        <f t="shared" si="4"/>
        <v>0</v>
      </c>
      <c r="AH12" s="3376">
        <f t="shared" si="4"/>
        <v>0</v>
      </c>
      <c r="AI12" s="3376">
        <f t="shared" si="4"/>
        <v>0</v>
      </c>
      <c r="AJ12" s="3376">
        <f t="shared" si="4"/>
        <v>0</v>
      </c>
    </row>
    <row r="13" spans="1:36" ht="25.9" hidden="1" thickBot="1">
      <c r="A13" s="3329"/>
      <c r="B13" s="2765" t="s">
        <v>2852</v>
      </c>
      <c r="C13" s="2766" t="s">
        <v>2853</v>
      </c>
      <c r="D13" s="2947" t="s">
        <v>2854</v>
      </c>
      <c r="E13" s="2947" t="s">
        <v>2855</v>
      </c>
      <c r="F13" s="30" t="s">
        <v>2856</v>
      </c>
      <c r="G13" s="2767" t="s">
        <v>2857</v>
      </c>
      <c r="H13" s="2767" t="s">
        <v>2857</v>
      </c>
      <c r="I13" s="2767" t="s">
        <v>2857</v>
      </c>
      <c r="J13" s="2768" t="s">
        <v>2857</v>
      </c>
      <c r="K13" s="1373"/>
      <c r="L13" s="1373"/>
      <c r="M13" s="1373"/>
      <c r="N13" s="1373"/>
      <c r="O13" s="1373"/>
      <c r="P13" s="1373"/>
      <c r="Q13" s="1373"/>
      <c r="R13" s="3366">
        <v>12</v>
      </c>
      <c r="S13" s="3367"/>
      <c r="T13" s="3366">
        <f t="shared" ca="1" si="0"/>
        <v>0</v>
      </c>
      <c r="U13" s="3367"/>
      <c r="V13" s="3366">
        <f t="shared" ca="1" si="1"/>
        <v>0</v>
      </c>
      <c r="W13" s="3324"/>
      <c r="X13" s="3380"/>
      <c r="Y13" s="3377">
        <f>(-0.163*(Y12^2)-0.59*Y12+7617)*(10^(-4))/Y11</f>
        <v>0.42553072625698324</v>
      </c>
      <c r="Z13" s="3377">
        <f t="shared" ref="Z13:AJ13" si="5">(-0.163*(Z12^2)-0.59*Z12+7617)*(10^(-4))/Z11</f>
        <v>0.42553072625698324</v>
      </c>
      <c r="AA13" s="3377">
        <f t="shared" si="5"/>
        <v>0.42553072625698324</v>
      </c>
      <c r="AB13" s="3377">
        <f t="shared" si="5"/>
        <v>0.42553072625698324</v>
      </c>
      <c r="AC13" s="3377">
        <f t="shared" si="5"/>
        <v>0.42553072625698324</v>
      </c>
      <c r="AD13" s="3377">
        <f t="shared" si="5"/>
        <v>0.42553072625698324</v>
      </c>
      <c r="AE13" s="3377">
        <f t="shared" si="5"/>
        <v>0.42553072625698324</v>
      </c>
      <c r="AF13" s="3377">
        <f t="shared" si="5"/>
        <v>0.42553072625698324</v>
      </c>
      <c r="AG13" s="3377">
        <f t="shared" si="5"/>
        <v>0.42553072625698324</v>
      </c>
      <c r="AH13" s="3377">
        <f t="shared" si="5"/>
        <v>0.42553072625698324</v>
      </c>
      <c r="AI13" s="3377">
        <f t="shared" si="5"/>
        <v>0.42553072625698324</v>
      </c>
      <c r="AJ13" s="3377">
        <f t="shared" si="5"/>
        <v>0.42553072625698324</v>
      </c>
    </row>
    <row r="14" spans="1:36" ht="15.4" hidden="1" thickBot="1">
      <c r="A14" s="3329"/>
      <c r="B14" s="2769"/>
      <c r="C14" s="2770"/>
      <c r="D14" s="2771"/>
      <c r="E14" s="2771"/>
      <c r="F14" s="2772"/>
      <c r="G14" s="2773" t="s">
        <v>2858</v>
      </c>
      <c r="H14" s="2774"/>
      <c r="I14" s="2775"/>
      <c r="J14" s="2776"/>
      <c r="K14" s="1373"/>
      <c r="L14" s="1373"/>
      <c r="M14" s="1373"/>
      <c r="N14" s="1373"/>
      <c r="O14" s="1373"/>
      <c r="P14" s="1373"/>
      <c r="Q14" s="1373"/>
      <c r="R14" s="3366">
        <v>13</v>
      </c>
      <c r="S14" s="3367"/>
      <c r="T14" s="3366">
        <f t="shared" ca="1" si="0"/>
        <v>0</v>
      </c>
      <c r="U14" s="3367"/>
      <c r="V14" s="3366">
        <f t="shared" ca="1" si="1"/>
        <v>0</v>
      </c>
      <c r="W14" s="3370"/>
      <c r="X14" s="3370"/>
      <c r="Y14" s="3370"/>
      <c r="Z14" s="3370"/>
      <c r="AA14" s="3370"/>
      <c r="AB14" s="3370"/>
      <c r="AC14" s="3371"/>
      <c r="AD14" s="3372"/>
      <c r="AE14" s="3372"/>
      <c r="AF14" s="3372"/>
      <c r="AG14" s="3372"/>
      <c r="AH14" s="3372"/>
      <c r="AI14" s="3372"/>
      <c r="AJ14" s="3373"/>
    </row>
    <row r="15" spans="1:36" ht="15.4" hidden="1" thickBot="1">
      <c r="A15" s="3330"/>
      <c r="B15" s="2777" t="s">
        <v>2859</v>
      </c>
      <c r="C15" s="229">
        <f>IF(C14="有",1.1,1)</f>
        <v>1</v>
      </c>
      <c r="D15" s="229">
        <f>IF(D14="有",1.1,1)</f>
        <v>1</v>
      </c>
      <c r="E15" s="229">
        <f>IF(E14="有",1.1,1)</f>
        <v>1</v>
      </c>
      <c r="F15" s="229">
        <f>IF(F14="500米范围内",1.2,IF(F14="500-1000米",1.1,1))</f>
        <v>1</v>
      </c>
      <c r="G15" s="949">
        <v>1</v>
      </c>
      <c r="H15" s="949">
        <v>1</v>
      </c>
      <c r="I15" s="949">
        <v>1</v>
      </c>
      <c r="J15" s="950">
        <v>1</v>
      </c>
      <c r="K15" s="1373"/>
      <c r="L15" s="2778" t="s">
        <v>2796</v>
      </c>
      <c r="M15" s="920" t="s">
        <v>2860</v>
      </c>
      <c r="N15" s="920" t="s">
        <v>2861</v>
      </c>
      <c r="O15" s="920" t="s">
        <v>2862</v>
      </c>
      <c r="P15" s="2779" t="s">
        <v>2863</v>
      </c>
      <c r="Q15" s="1373"/>
      <c r="R15" s="3366">
        <v>14</v>
      </c>
      <c r="S15" s="3367"/>
      <c r="T15" s="3366">
        <f t="shared" ca="1" si="0"/>
        <v>0</v>
      </c>
      <c r="U15" s="3367"/>
      <c r="V15" s="3366">
        <f t="shared" ca="1" si="1"/>
        <v>0</v>
      </c>
      <c r="W15" s="3370"/>
      <c r="X15" s="3370"/>
      <c r="Y15" s="3370"/>
      <c r="Z15" s="3370"/>
      <c r="AA15" s="3370"/>
      <c r="AB15" s="3370"/>
      <c r="AC15" s="3371"/>
      <c r="AD15" s="3372"/>
      <c r="AE15" s="3372"/>
      <c r="AF15" s="3372"/>
      <c r="AG15" s="3372"/>
      <c r="AH15" s="3372"/>
      <c r="AI15" s="3372"/>
      <c r="AJ15" s="3373"/>
    </row>
    <row r="16" spans="1:36" ht="25.5">
      <c r="A16" s="3311" t="s">
        <v>2864</v>
      </c>
      <c r="B16" s="2746" t="s">
        <v>2865</v>
      </c>
      <c r="C16" s="2945">
        <f>ROUND(SUM(G17:J17)/C17,0)</f>
        <v>56</v>
      </c>
      <c r="D16" s="2780" t="s">
        <v>2866</v>
      </c>
      <c r="E16" s="2781" t="s">
        <v>3099</v>
      </c>
      <c r="F16" s="2782" t="s">
        <v>3100</v>
      </c>
      <c r="G16" s="2783" t="s">
        <v>3101</v>
      </c>
      <c r="H16" s="2783" t="s">
        <v>3102</v>
      </c>
      <c r="I16" s="2783" t="s">
        <v>3103</v>
      </c>
      <c r="J16" s="2784" t="s">
        <v>3104</v>
      </c>
      <c r="K16" s="1373"/>
      <c r="L16" s="2785" t="s">
        <v>2867</v>
      </c>
      <c r="M16" s="922">
        <v>0.25</v>
      </c>
      <c r="N16" s="922">
        <v>0.2</v>
      </c>
      <c r="O16" s="922">
        <v>0.15</v>
      </c>
      <c r="P16" s="1372">
        <v>0.1</v>
      </c>
      <c r="Q16" s="1373"/>
      <c r="R16" s="3366">
        <v>15</v>
      </c>
      <c r="S16" s="3367"/>
      <c r="T16" s="3366">
        <f t="shared" ca="1" si="0"/>
        <v>0</v>
      </c>
      <c r="U16" s="3367"/>
      <c r="V16" s="3366">
        <f t="shared" ca="1" si="1"/>
        <v>0</v>
      </c>
      <c r="W16" s="3370"/>
      <c r="X16" s="3370"/>
      <c r="Y16" s="3370"/>
      <c r="Z16" s="3370"/>
      <c r="AA16" s="3370"/>
      <c r="AB16" s="3370"/>
      <c r="AC16" s="3371"/>
      <c r="AD16" s="3372"/>
      <c r="AE16" s="3372"/>
      <c r="AF16" s="3372"/>
      <c r="AG16" s="3372"/>
      <c r="AH16" s="3372"/>
      <c r="AI16" s="3372"/>
      <c r="AJ16" s="3373"/>
    </row>
    <row r="17" spans="1:37" ht="13.15" thickBot="1">
      <c r="A17" s="3312"/>
      <c r="B17" s="2786" t="s">
        <v>2868</v>
      </c>
      <c r="C17" s="924">
        <f>SUMPRODUCT((修正!A2:A5=E2)*(修正!B1:M1=G2)*(修正!B2:M5))</f>
        <v>2.5</v>
      </c>
      <c r="D17" s="2787" t="s">
        <v>2869</v>
      </c>
      <c r="E17" s="923" t="str">
        <f>IF(OR(G2="八级",G2="九级",G2="十级",G2="十一级",G2="十二级"),"五通一平","七通一平")</f>
        <v>七通一平</v>
      </c>
      <c r="F17" s="924" t="s">
        <v>2870</v>
      </c>
      <c r="G17" s="924">
        <f>SUMPRODUCT((七通一平=G16)*(修正!B1:M1=G2)*(修正!B6:M14))</f>
        <v>15</v>
      </c>
      <c r="H17" s="924">
        <f>SUMPRODUCT((七通一平=H16)*(修正!B1:M1=G2)*(修正!B6:M14))</f>
        <v>35</v>
      </c>
      <c r="I17" s="924">
        <f>SUMPRODUCT((七通一平=I16)*(修正!B1:M1=G2)*(修正!B6:M14))</f>
        <v>50</v>
      </c>
      <c r="J17" s="925">
        <f>SUMPRODUCT((七通一平=J16)*(修正!B1:M1=G2)*(修正!B6:M14))</f>
        <v>40</v>
      </c>
      <c r="K17" s="1373"/>
      <c r="L17" s="2788" t="s">
        <v>2871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4.25" thickBot="1">
      <c r="A18" s="2790" t="s">
        <v>808</v>
      </c>
      <c r="B18" s="2791" t="s">
        <v>2872</v>
      </c>
      <c r="C18" s="926">
        <f>SUMIF(修正!C18:C39,E3,修正!E18:E39)</f>
        <v>0.5</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8.15" thickBot="1">
      <c r="A19" s="2790" t="s">
        <v>809</v>
      </c>
      <c r="B19" s="2791" t="s">
        <v>2873</v>
      </c>
      <c r="C19" s="927">
        <f>ROUND(IF(H19="按公示增长率计算",SUMPRODUCT((地价!A3:A21=YEAR(G19)&amp;"-"&amp;ROUNDUP(MONTH(G19)/3,0))*(地价!X2:AB2=E2)*(地价!X3:AB21)),IF(H19="地价指数",M20/M19,(1+I19)^O19)),4)</f>
        <v>1.2988</v>
      </c>
      <c r="D19" s="2798" t="s">
        <v>2874</v>
      </c>
      <c r="E19" s="928">
        <v>41640</v>
      </c>
      <c r="F19" s="2798" t="s">
        <v>2875</v>
      </c>
      <c r="G19" s="929">
        <f>'数据-取费表'!B2</f>
        <v>43215</v>
      </c>
      <c r="H19" s="3387" t="s">
        <v>3106</v>
      </c>
      <c r="I19" s="930">
        <f>IF(H19="季度增幅（自定义）",SUMIF(N21:N24,E2,O21:O24),"")</f>
        <v>1.55E-2</v>
      </c>
      <c r="J19" s="2796"/>
      <c r="K19" s="3350" t="s">
        <v>3107</v>
      </c>
      <c r="L19" s="2800" t="s">
        <v>2876</v>
      </c>
      <c r="M19" s="1737">
        <f>ROUND(SUMIF(地价!B2:F2,E2,地价!B21:F21),0)</f>
        <v>258</v>
      </c>
      <c r="N19" s="2801" t="s">
        <v>2877</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4" thickBot="1">
      <c r="A20" s="2805" t="s">
        <v>810</v>
      </c>
      <c r="B20" s="2806" t="s">
        <v>2878</v>
      </c>
      <c r="C20" s="932">
        <f ca="1">ROUND(POWER(1+G20,J20-I20)*(POWER(1+G20,I20)-1)/(POWER(1+G20,J20)-1),4)</f>
        <v>0.95369999999999999</v>
      </c>
      <c r="D20" s="2807" t="s">
        <v>2879</v>
      </c>
      <c r="E20" s="1771">
        <f ca="1">存贷款利率!D4/100</f>
        <v>4.3499999999999997E-2</v>
      </c>
      <c r="F20" s="2807" t="s">
        <v>2871</v>
      </c>
      <c r="G20" s="937">
        <f ca="1">SUMIF(M15:P15,E2,M17:P17)</f>
        <v>5.1999999999999998E-2</v>
      </c>
      <c r="H20" s="2807" t="s">
        <v>2880</v>
      </c>
      <c r="I20" s="3352">
        <f>项目基本情况!F15</f>
        <v>41.51</v>
      </c>
      <c r="J20" s="939">
        <f>IF(E2="住宅",70,IF(E2="商业",40,50))</f>
        <v>50</v>
      </c>
      <c r="K20" s="1380"/>
      <c r="L20" s="2808" t="s">
        <v>2881</v>
      </c>
      <c r="M20" s="1738">
        <f>ROUND(SUMPRODUCT((地价!A4:A21=YEAR(G19)&amp;"-"&amp;ROUNDUP(MONTH(G19)/3,0))*(地价!B2:F2=E2)*(地价!B4:F21)),0)</f>
        <v>0</v>
      </c>
      <c r="N20" s="3388" t="s">
        <v>2882</v>
      </c>
      <c r="O20" s="3389" t="s">
        <v>2883</v>
      </c>
      <c r="P20" s="3390" t="s">
        <v>2884</v>
      </c>
      <c r="R20" s="1379"/>
      <c r="S20" s="1379"/>
      <c r="T20" s="1374"/>
      <c r="U20" s="1374"/>
      <c r="V20" s="1374"/>
      <c r="W20" s="1373"/>
      <c r="X20" s="1373"/>
      <c r="Y20" s="1373"/>
      <c r="Z20" s="1380"/>
      <c r="AA20" s="1381"/>
      <c r="AB20" s="1381"/>
      <c r="AC20" s="1381"/>
      <c r="AD20" s="1381"/>
      <c r="AE20" s="1381"/>
      <c r="AF20" s="1381"/>
    </row>
    <row r="21" spans="1:37" s="2739" customFormat="1" ht="13.9">
      <c r="A21" s="2812" t="s">
        <v>811</v>
      </c>
      <c r="B21" s="2813" t="s">
        <v>3105</v>
      </c>
      <c r="C21" s="2949">
        <f>IF(B21="容积率修正",IF(G3&lt;=10,D22,J22),C23)</f>
        <v>1.1094999999999999</v>
      </c>
      <c r="D21" s="2814"/>
      <c r="E21" s="2814"/>
      <c r="F21" s="2814"/>
      <c r="G21" s="2814"/>
      <c r="H21" s="2814"/>
      <c r="I21" s="2814"/>
      <c r="J21" s="2815"/>
      <c r="K21" s="1380"/>
      <c r="N21" s="3391" t="s">
        <v>2885</v>
      </c>
      <c r="O21" s="3361">
        <v>1.55E-2</v>
      </c>
      <c r="P21" s="3362">
        <f>SUMPRODUCT((地价!A3:A21=YEAR(G19)&amp;"-"&amp;ROUNDUP(MONTH(G19)/3,0))*(地价!AD2:AH2=N21)*(地价!AD3:AH21))</f>
        <v>0</v>
      </c>
      <c r="R21" s="1379"/>
      <c r="S21" s="1379"/>
      <c r="T21" s="1374"/>
      <c r="U21" s="1374"/>
      <c r="V21" s="1374"/>
      <c r="W21" s="1373"/>
      <c r="X21" s="1373"/>
      <c r="Y21" s="1373"/>
      <c r="Z21" s="1380"/>
      <c r="AA21" s="1381"/>
      <c r="AB21" s="1381"/>
      <c r="AC21" s="1381"/>
      <c r="AD21" s="1381"/>
      <c r="AE21" s="1381"/>
      <c r="AF21" s="1381"/>
    </row>
    <row r="22" spans="1:37" s="2739" customFormat="1" ht="14.25" thickBot="1">
      <c r="A22" s="2665" t="s">
        <v>2886</v>
      </c>
      <c r="B22" s="2817" t="s">
        <v>2887</v>
      </c>
      <c r="C22" s="2948" t="s">
        <v>2888</v>
      </c>
      <c r="D22" s="2948">
        <f>IF(E22=G22,F22,IF(G3&lt;=10,ROUND(F22+(H22-F22)*(G3-E22)/(G22-E22),4),"——"))</f>
        <v>1.1094999999999999</v>
      </c>
      <c r="E22" s="916">
        <f>ROUNDDOWN(G3,1)</f>
        <v>1.7</v>
      </c>
      <c r="F22" s="294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1.1261000000000001</v>
      </c>
      <c r="G22" s="916">
        <f>ROUNDUP(G3,1)</f>
        <v>1.8</v>
      </c>
      <c r="H22" s="29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1.1076999999999999</v>
      </c>
      <c r="I22" s="2948" t="s">
        <v>155</v>
      </c>
      <c r="J22" s="941" t="str">
        <f>IF(G3&gt;10,D113,"——")</f>
        <v>——</v>
      </c>
      <c r="K22" s="1380"/>
      <c r="N22" s="3391" t="s">
        <v>2889</v>
      </c>
      <c r="O22" s="3361">
        <v>1.55E-2</v>
      </c>
      <c r="P22" s="3362">
        <f>SUMPRODUCT((地价!A3:A21=YEAR(G19)&amp;"-"&amp;ROUNDUP(MONTH(G19)/3,0))*(地价!AD2:AH2=N22)*(地价!AD3:AH21))</f>
        <v>0</v>
      </c>
      <c r="R22" s="1379"/>
      <c r="S22" s="1379"/>
      <c r="T22" s="1374"/>
      <c r="U22" s="1374"/>
      <c r="V22" s="1374"/>
      <c r="W22" s="1373"/>
      <c r="X22" s="1373"/>
      <c r="Y22" s="1373"/>
      <c r="Z22" s="1380"/>
      <c r="AA22" s="1381"/>
      <c r="AB22" s="1381"/>
      <c r="AC22" s="1381"/>
      <c r="AD22" s="1381"/>
      <c r="AE22" s="1381"/>
      <c r="AF22" s="1381"/>
    </row>
    <row r="23" spans="1:37" ht="27.4" hidden="1" thickBot="1">
      <c r="A23" s="2665" t="s">
        <v>2890</v>
      </c>
      <c r="B23" s="2818" t="s">
        <v>2891</v>
      </c>
      <c r="C23" s="1016">
        <f>ROUND(IF(G3&gt;1,IF(I3&lt;7,SUMPRODUCT((B93:B98=I3)*(C92:N92=G2)*(C93:N98)),SUMIF(C92:N92,G2,C100:N100)),IF(I3&lt;7,SUMPRODUCT((B102:B107=I3)*(C92:N92=G2)*(C102:N107)),SUMIF(C92:N92,G2,C109:N109))),4)</f>
        <v>0</v>
      </c>
      <c r="D23" s="2774"/>
      <c r="E23" s="2774"/>
      <c r="F23" s="2819"/>
      <c r="G23" s="2820"/>
      <c r="H23" s="2821"/>
      <c r="I23" s="2822"/>
      <c r="J23" s="2823"/>
      <c r="K23" s="1373"/>
      <c r="N23" s="3391" t="s">
        <v>2892</v>
      </c>
      <c r="O23" s="3361"/>
      <c r="P23" s="3362">
        <f>SUMPRODUCT((地价!A3:A21=YEAR(G19)&amp;"-"&amp;ROUNDUP(MONTH(G19)/3,0))*(地价!AD2:AH2=N23)*(地价!AD3:AH21))</f>
        <v>0</v>
      </c>
      <c r="R23" s="1379"/>
      <c r="S23" s="1379"/>
      <c r="T23" s="1374"/>
      <c r="U23" s="1374"/>
      <c r="V23" s="1374"/>
      <c r="W23" s="1373"/>
      <c r="X23" s="1373"/>
      <c r="Y23" s="1373"/>
      <c r="Z23" s="1380"/>
      <c r="AA23" s="1381"/>
      <c r="AB23" s="1381"/>
      <c r="AC23" s="1381"/>
      <c r="AD23" s="1381"/>
      <c r="AK23" s="2797"/>
    </row>
    <row r="24" spans="1:37" s="2739" customFormat="1" ht="14.25" thickBot="1">
      <c r="A24" s="2805" t="s">
        <v>812</v>
      </c>
      <c r="B24" s="2791" t="s">
        <v>2893</v>
      </c>
      <c r="C24" s="927">
        <f>SUMIF(A45:A88,E2,B45:B88)</f>
        <v>1.0291999999999999</v>
      </c>
      <c r="D24" s="2794"/>
      <c r="E24" s="2824"/>
      <c r="F24" s="2824"/>
      <c r="G24" s="2824"/>
      <c r="H24" s="2824"/>
      <c r="I24" s="2824"/>
      <c r="J24" s="2825"/>
      <c r="K24" s="1380"/>
      <c r="N24" s="3392" t="s">
        <v>2894</v>
      </c>
      <c r="O24" s="3363"/>
      <c r="P24" s="3364">
        <f>SUMPRODUCT((地价!A3:A21=YEAR(G19)&amp;"-"&amp;ROUNDUP(MONTH(G19)/3,0))*(地价!AD2:AH2=N24)*(地价!AD3:AH21))</f>
        <v>0</v>
      </c>
      <c r="R24" s="1379"/>
      <c r="S24" s="1379"/>
      <c r="T24" s="1374"/>
      <c r="U24" s="1374"/>
      <c r="V24" s="1374"/>
      <c r="W24" s="1373"/>
      <c r="X24" s="1373"/>
      <c r="Y24" s="1373"/>
      <c r="Z24" s="1380"/>
      <c r="AA24" s="1381"/>
      <c r="AB24" s="1381"/>
      <c r="AC24" s="1381"/>
      <c r="AD24" s="1381"/>
      <c r="AE24" s="1381"/>
      <c r="AF24" s="1381"/>
    </row>
    <row r="25" spans="1:37" ht="14.25" thickBot="1">
      <c r="A25" s="2805" t="s">
        <v>813</v>
      </c>
      <c r="B25" s="2827" t="s">
        <v>2895</v>
      </c>
      <c r="C25" s="933"/>
      <c r="D25" s="2749"/>
      <c r="E25" s="2749"/>
      <c r="F25" s="2828"/>
      <c r="G25" s="2749"/>
      <c r="H25" s="2749"/>
      <c r="I25" s="2749"/>
      <c r="J25" s="2750"/>
      <c r="K25" s="1373"/>
      <c r="N25" s="3393" t="s">
        <v>2896</v>
      </c>
      <c r="O25" s="3365"/>
      <c r="P25" s="3364">
        <f>SUMPRODUCT((地价!A3:A21=YEAR(G19)&amp;"-"&amp;ROUNDUP(MONTH(G19)/3,0))*(地价!AD2:AH2=N25)*(地价!AD3:AH21))</f>
        <v>0</v>
      </c>
      <c r="R25" s="1379"/>
      <c r="S25" s="1379"/>
      <c r="T25" s="1374"/>
      <c r="U25" s="1374"/>
      <c r="V25" s="1374"/>
      <c r="W25" s="1373"/>
      <c r="X25" s="1373"/>
      <c r="Y25" s="1373"/>
      <c r="Z25" s="1380"/>
      <c r="AA25" s="1381"/>
      <c r="AB25" s="1381"/>
      <c r="AC25" s="1381"/>
      <c r="AD25" s="1381"/>
    </row>
    <row r="26" spans="1:37" ht="13.9">
      <c r="A26" s="2830"/>
      <c r="B26" s="2817" t="s">
        <v>2897</v>
      </c>
      <c r="C26" s="206">
        <f ca="1">E29+SUM(E33:E39)</f>
        <v>41124</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4.25" thickBot="1">
      <c r="A27" s="2830"/>
      <c r="B27" s="2834" t="s">
        <v>2898</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3.9">
      <c r="A28" s="2839"/>
      <c r="B28" s="2840" t="s">
        <v>2899</v>
      </c>
      <c r="C28" s="2841" t="s">
        <v>2900</v>
      </c>
      <c r="D28" s="2841" t="s">
        <v>2901</v>
      </c>
      <c r="E28" s="2842" t="s">
        <v>2902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2903</v>
      </c>
      <c r="C29" s="206">
        <f ca="1">ROUND(C5*C18*C19*C20*C21*C24,0)</f>
        <v>7061</v>
      </c>
      <c r="D29" s="2846">
        <f>'数据-汇总表'!F20</f>
        <v>58241</v>
      </c>
      <c r="E29" s="2952">
        <f ca="1">ROUND(C29*D29/10000,0)</f>
        <v>41124</v>
      </c>
      <c r="F29" s="2847" t="s">
        <v>2904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6.25" thickBot="1">
      <c r="A30" s="2850"/>
      <c r="B30" s="2851" t="s">
        <v>2905</v>
      </c>
      <c r="C30" s="229">
        <f ca="1">ROUND(IF(E2="工业",C29*M39,C29*M38),0)</f>
        <v>1765</v>
      </c>
      <c r="D30" s="2852"/>
      <c r="E30" s="2952">
        <f ca="1">ROUND(C30*D30/10000,0)</f>
        <v>0</v>
      </c>
      <c r="F30" s="2853" t="s">
        <v>2906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3.5" hidden="1">
      <c r="A31" s="2856"/>
      <c r="B31" s="2857" t="s">
        <v>2907</v>
      </c>
      <c r="C31" s="2858" t="s">
        <v>2908</v>
      </c>
      <c r="D31" s="2762"/>
      <c r="E31" s="2858"/>
      <c r="F31" s="2858"/>
      <c r="G31" s="2760" t="s">
        <v>2909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5.5" hidden="1">
      <c r="A32" s="2844"/>
      <c r="B32" s="2860"/>
      <c r="C32" s="501" t="s">
        <v>2900</v>
      </c>
      <c r="D32" s="498" t="s">
        <v>2901</v>
      </c>
      <c r="E32" s="498" t="s">
        <v>2902</v>
      </c>
      <c r="F32" s="388" t="s">
        <v>2910</v>
      </c>
      <c r="G32" s="2861" t="s">
        <v>2900</v>
      </c>
      <c r="H32" s="2861" t="s">
        <v>2901</v>
      </c>
      <c r="I32" s="2861" t="s">
        <v>2902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13.5" hidden="1">
      <c r="A33" s="3319" t="s">
        <v>2911</v>
      </c>
      <c r="B33" s="2862" t="s">
        <v>2912</v>
      </c>
      <c r="C33" s="206">
        <f ca="1">ROUND(D5*C19*C20*C24*F33,0)</f>
        <v>0</v>
      </c>
      <c r="D33" s="2846"/>
      <c r="E33" s="200">
        <f ca="1">ROUND(C33*D33/10000,0)</f>
        <v>0</v>
      </c>
      <c r="F33" s="200">
        <f>SUMIF(修正!A45:A56,G2,修正!B45:B56)</f>
        <v>0.7</v>
      </c>
      <c r="G33" s="200">
        <f t="shared" ref="G33:G39"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5" hidden="1">
      <c r="A34" s="3320"/>
      <c r="B34" s="2766" t="s">
        <v>2913</v>
      </c>
      <c r="C34" s="206">
        <f ca="1">ROUND(D5*C19*C20*C24*F34,0)</f>
        <v>0</v>
      </c>
      <c r="D34" s="2846"/>
      <c r="E34" s="200">
        <f t="shared" ref="E34:E39" ca="1" si="7">ROUND(C34*D34/10000,0)</f>
        <v>0</v>
      </c>
      <c r="F34" s="200">
        <f>SUMIF(修正!A45:A56,G2,修正!C45:C56)</f>
        <v>0.4</v>
      </c>
      <c r="G34" s="200">
        <f t="shared" ca="1" si="6"/>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ht="13.15" hidden="1">
      <c r="A35" s="3320"/>
      <c r="B35" s="2766" t="s">
        <v>2914</v>
      </c>
      <c r="C35" s="206">
        <f ca="1">ROUND(D5*C19*C20*C24*F35,0)</f>
        <v>0</v>
      </c>
      <c r="D35" s="2846"/>
      <c r="E35" s="200">
        <f t="shared" ca="1" si="7"/>
        <v>0</v>
      </c>
      <c r="F35" s="200">
        <f>SUMIF(修正!A45:A56,G2,修正!D45:D56)</f>
        <v>0.28000000000000003</v>
      </c>
      <c r="G35" s="200">
        <f t="shared" ca="1" si="6"/>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15" hidden="1">
      <c r="A36" s="3321"/>
      <c r="B36" s="2766" t="s">
        <v>2915</v>
      </c>
      <c r="C36" s="206">
        <f ca="1">ROUND(D5*C19*C20*C24*F36,0)</f>
        <v>0</v>
      </c>
      <c r="D36" s="2846"/>
      <c r="E36" s="200">
        <f t="shared" ca="1" si="7"/>
        <v>0</v>
      </c>
      <c r="F36" s="200">
        <f>SUMIF(修正!A45:A56,G2,修正!E45:E56)</f>
        <v>0.25</v>
      </c>
      <c r="G36" s="200">
        <f t="shared" ca="1" si="6"/>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ht="13.15" hidden="1">
      <c r="A37" s="2864"/>
      <c r="B37" s="2766" t="s">
        <v>2916</v>
      </c>
      <c r="C37" s="200">
        <f ca="1">ROUND(C5*C19*C20*C24*F37,0)</f>
        <v>3182</v>
      </c>
      <c r="D37" s="2846"/>
      <c r="E37" s="200">
        <f t="shared" ca="1" si="7"/>
        <v>0</v>
      </c>
      <c r="F37" s="206">
        <f>SUMIF(修正!A45:A56,G2,修正!F45:F56)</f>
        <v>0.25</v>
      </c>
      <c r="G37" s="200">
        <f t="shared" ca="1" si="6"/>
        <v>796</v>
      </c>
      <c r="H37" s="200">
        <f t="shared" si="8"/>
        <v>0</v>
      </c>
      <c r="I37" s="200">
        <f t="shared" ca="1" si="9"/>
        <v>0</v>
      </c>
      <c r="J37" s="2863"/>
      <c r="K37" s="1373"/>
      <c r="L37" s="2865" t="s">
        <v>2917</v>
      </c>
      <c r="M37" s="2866"/>
      <c r="N37" s="1373"/>
      <c r="O37" s="1373"/>
      <c r="P37" s="1373"/>
      <c r="Q37" s="1373"/>
      <c r="R37" s="1373"/>
      <c r="S37" s="1373"/>
      <c r="T37" s="1373"/>
      <c r="U37" s="1373"/>
      <c r="V37" s="1373"/>
      <c r="W37" s="1373"/>
      <c r="X37" s="1373"/>
      <c r="Y37" s="1373"/>
      <c r="Z37" s="1374"/>
    </row>
    <row r="38" spans="1:37" ht="13.15" hidden="1">
      <c r="A38" s="2864"/>
      <c r="B38" s="2766" t="s">
        <v>2918</v>
      </c>
      <c r="C38" s="200">
        <f ca="1">ROUND(C5*C19*C20*C24*F38,0)</f>
        <v>3182</v>
      </c>
      <c r="D38" s="2846"/>
      <c r="E38" s="200">
        <f t="shared" ca="1" si="7"/>
        <v>0</v>
      </c>
      <c r="F38" s="206">
        <f>SUMIF(修正!A45:A56,G2,修正!G45:G56)</f>
        <v>0.25</v>
      </c>
      <c r="G38" s="200">
        <f t="shared" ca="1" si="6"/>
        <v>796</v>
      </c>
      <c r="H38" s="200">
        <f t="shared" si="8"/>
        <v>0</v>
      </c>
      <c r="I38" s="200">
        <f t="shared" ca="1" si="9"/>
        <v>0</v>
      </c>
      <c r="J38" s="2863"/>
      <c r="K38" s="1373"/>
      <c r="L38" s="1890" t="s">
        <v>2919</v>
      </c>
      <c r="M38" s="2867">
        <v>0.25</v>
      </c>
      <c r="N38" s="1373"/>
      <c r="O38" s="1373"/>
      <c r="P38" s="1373"/>
      <c r="Q38" s="1373"/>
      <c r="R38" s="1373"/>
      <c r="S38" s="1373"/>
      <c r="T38" s="1373"/>
      <c r="U38" s="1373"/>
      <c r="V38" s="1373"/>
      <c r="W38" s="1373"/>
      <c r="X38" s="1373"/>
      <c r="Y38" s="1373"/>
      <c r="Z38" s="1374"/>
    </row>
    <row r="39" spans="1:37" ht="13.5" hidden="1" thickBot="1">
      <c r="A39" s="2850"/>
      <c r="B39" s="2868" t="s">
        <v>2920</v>
      </c>
      <c r="C39" s="229">
        <f ca="1">ROUND(C5*C19*C20*C24*F39,0)</f>
        <v>2546</v>
      </c>
      <c r="D39" s="2852"/>
      <c r="E39" s="229">
        <f t="shared" ca="1" si="7"/>
        <v>0</v>
      </c>
      <c r="F39" s="935">
        <f>SUMIF(修正!A45:A56,G2,修正!H45:H56)</f>
        <v>0.2</v>
      </c>
      <c r="G39" s="229">
        <f t="shared" ca="1" si="6"/>
        <v>637</v>
      </c>
      <c r="H39" s="229">
        <f t="shared" si="8"/>
        <v>0</v>
      </c>
      <c r="I39" s="229">
        <f t="shared" ca="1" si="9"/>
        <v>0</v>
      </c>
      <c r="J39" s="2869"/>
      <c r="K39" s="1373"/>
      <c r="L39" s="2870" t="s">
        <v>2863</v>
      </c>
      <c r="M39" s="2871">
        <v>0.15</v>
      </c>
      <c r="N39" s="1373"/>
      <c r="O39" s="1373"/>
      <c r="P39" s="1373"/>
      <c r="Q39" s="1373"/>
      <c r="R39" s="1373"/>
      <c r="S39" s="1373"/>
      <c r="T39" s="1373"/>
      <c r="U39" s="1373"/>
      <c r="V39" s="1373"/>
      <c r="W39" s="1373"/>
      <c r="X39" s="1373"/>
      <c r="Y39" s="1373"/>
      <c r="Z39" s="1374"/>
    </row>
    <row r="40" spans="1:37" s="1373" customFormat="1" ht="13.15" hidden="1" thickBot="1">
      <c r="Z40" s="1374"/>
      <c r="AA40" s="1374"/>
      <c r="AB40" s="1374"/>
      <c r="AC40" s="1374"/>
      <c r="AD40" s="1374"/>
      <c r="AE40" s="1374"/>
      <c r="AF40" s="1374"/>
      <c r="AG40" s="1374"/>
      <c r="AH40" s="1374"/>
      <c r="AI40" s="1374"/>
      <c r="AJ40" s="1374"/>
    </row>
    <row r="41" spans="1:37" s="1373" customFormat="1" ht="13.15" hidden="1" thickBot="1">
      <c r="A41" s="1374"/>
      <c r="B41" s="2872"/>
      <c r="Z41" s="1374"/>
      <c r="AA41" s="1374"/>
      <c r="AB41" s="1374"/>
      <c r="AC41" s="1374"/>
      <c r="AD41" s="1374"/>
      <c r="AE41" s="1374"/>
      <c r="AF41" s="1374"/>
      <c r="AG41" s="1374"/>
      <c r="AH41" s="1374"/>
      <c r="AI41" s="1374"/>
      <c r="AJ41" s="1374"/>
    </row>
    <row r="42" spans="1:37" s="1373" customFormat="1" ht="13.15" hidden="1" thickBot="1">
      <c r="A42" s="1374"/>
      <c r="B42" s="2872"/>
      <c r="Z42" s="1374"/>
      <c r="AA42" s="1374"/>
      <c r="AB42" s="1374"/>
      <c r="AC42" s="1374"/>
      <c r="AD42" s="1374"/>
      <c r="AE42" s="1374"/>
      <c r="AF42" s="1374"/>
      <c r="AG42" s="1374"/>
      <c r="AH42" s="1374"/>
      <c r="AI42" s="1374"/>
      <c r="AJ42" s="1374"/>
    </row>
    <row r="43" spans="1:37" s="1373" customFormat="1" ht="13.15" hidden="1" thickBot="1">
      <c r="A43" s="1374"/>
      <c r="B43" s="2872"/>
      <c r="Z43" s="1374"/>
      <c r="AA43" s="1374"/>
      <c r="AB43" s="1374"/>
      <c r="AC43" s="1374"/>
      <c r="AD43" s="1374"/>
      <c r="AE43" s="1374"/>
      <c r="AF43" s="1374"/>
      <c r="AG43" s="1374"/>
      <c r="AH43" s="1374"/>
      <c r="AI43" s="1374"/>
      <c r="AJ43" s="1374"/>
    </row>
    <row r="44" spans="1:37" s="1373" customFormat="1" ht="13.15" hidden="1" thickBot="1">
      <c r="A44" s="1374"/>
      <c r="B44" s="2872"/>
      <c r="Z44" s="1374"/>
      <c r="AA44" s="1374"/>
      <c r="AB44" s="1374"/>
      <c r="AC44" s="1374"/>
      <c r="AD44" s="1374"/>
      <c r="AE44" s="1374"/>
      <c r="AF44" s="1374"/>
      <c r="AG44" s="1374"/>
      <c r="AH44" s="1374"/>
      <c r="AI44" s="1374"/>
      <c r="AJ44" s="1374"/>
    </row>
    <row r="45" spans="1:37" s="1373" customFormat="1" ht="14.25" hidden="1" thickBot="1">
      <c r="A45" s="2873" t="s">
        <v>2921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3.9" hidden="1">
      <c r="A46" s="2875" t="s">
        <v>2922</v>
      </c>
      <c r="B46" s="2876" t="e">
        <f>1+E48</f>
        <v>#VALUE!</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5.9" hidden="1">
      <c r="A47" s="2879" t="s">
        <v>2923</v>
      </c>
      <c r="B47" s="2946" t="s">
        <v>2924</v>
      </c>
      <c r="C47" s="2946" t="s">
        <v>2925</v>
      </c>
      <c r="D47" s="2946" t="s">
        <v>2926</v>
      </c>
      <c r="E47" s="819" t="s">
        <v>2927</v>
      </c>
      <c r="F47" s="2880" t="s">
        <v>2928</v>
      </c>
      <c r="G47" s="2946" t="s">
        <v>754</v>
      </c>
      <c r="H47" s="2881" t="s">
        <v>2929</v>
      </c>
      <c r="I47" s="2946" t="s">
        <v>2930</v>
      </c>
      <c r="J47" s="603" t="s">
        <v>2579</v>
      </c>
      <c r="K47" s="603" t="s">
        <v>2580</v>
      </c>
      <c r="L47" s="603" t="s">
        <v>2581</v>
      </c>
      <c r="M47" s="603" t="s">
        <v>2582</v>
      </c>
      <c r="N47" s="603" t="s">
        <v>2583</v>
      </c>
      <c r="AA47" s="1374"/>
      <c r="AB47" s="1374"/>
      <c r="AC47" s="1374"/>
      <c r="AD47" s="1374"/>
      <c r="AE47" s="1374"/>
      <c r="AF47" s="1374"/>
      <c r="AG47" s="1374"/>
      <c r="AH47" s="1374"/>
      <c r="AI47" s="1374"/>
      <c r="AJ47" s="1374"/>
      <c r="AK47" s="1374"/>
    </row>
    <row r="48" spans="1:37" s="1373" customFormat="1" ht="25.9" hidden="1">
      <c r="A48" s="2879" t="s">
        <v>2931</v>
      </c>
      <c r="B48" s="2882">
        <f>估价对象房地状况!C4</f>
        <v>0</v>
      </c>
      <c r="C48" s="3400" t="s">
        <v>3108</v>
      </c>
      <c r="D48" s="1289" t="e">
        <f t="shared" ref="D48:D56" si="10">SUMIF($J$47:$N$47,C48,J48:N48)</f>
        <v>#VALUE!</v>
      </c>
      <c r="E48" s="821" t="e">
        <f>ROUND(SUM(D48:D56),4)</f>
        <v>#VALUE!</v>
      </c>
      <c r="F48" s="2503" t="str">
        <f>IF(E2="商业",SUMIF(L1:L12,G2,N1:N12),"——")</f>
        <v>——</v>
      </c>
      <c r="G48" s="1287" t="str">
        <f>H48</f>
        <v>——</v>
      </c>
      <c r="H48" s="1291" t="str">
        <f t="shared" ref="H48:H56" si="11">IFERROR(ROUNDDOWN($F$48*I48/2,4),"——")</f>
        <v>——</v>
      </c>
      <c r="I48" s="820">
        <v>0.33</v>
      </c>
      <c r="J48" s="1288" t="e">
        <f t="shared" ref="J48:J56" si="12">K48+$G48</f>
        <v>#VALUE!</v>
      </c>
      <c r="K48" s="1288" t="e">
        <f t="shared" ref="K48:K56" si="13">$L48+$G48</f>
        <v>#VALUE!</v>
      </c>
      <c r="L48" s="1288">
        <v>0</v>
      </c>
      <c r="M48" s="1288" t="e">
        <f t="shared" ref="M48:N56" si="14">L48-$G48</f>
        <v>#VALUE!</v>
      </c>
      <c r="N48" s="1288" t="e">
        <f t="shared" si="14"/>
        <v>#VALUE!</v>
      </c>
      <c r="AA48" s="1374"/>
      <c r="AB48" s="1374"/>
      <c r="AC48" s="1374"/>
      <c r="AD48" s="1374"/>
      <c r="AE48" s="1374"/>
      <c r="AF48" s="1374"/>
      <c r="AG48" s="1374"/>
      <c r="AH48" s="1374"/>
      <c r="AI48" s="1374"/>
      <c r="AJ48" s="1374"/>
      <c r="AK48" s="1374"/>
    </row>
    <row r="49" spans="1:37" s="1373" customFormat="1" ht="13.5" hidden="1">
      <c r="A49" s="2879" t="s">
        <v>2932</v>
      </c>
      <c r="B49" s="2883">
        <f>估价对象房地状况!C18</f>
        <v>0</v>
      </c>
      <c r="C49" s="3400" t="s">
        <v>3108</v>
      </c>
      <c r="D49" s="1289" t="e">
        <f t="shared" si="10"/>
        <v>#VALUE!</v>
      </c>
      <c r="E49" s="822"/>
      <c r="F49" s="2503"/>
      <c r="G49" s="1287" t="str">
        <f t="shared" ref="G49:G56" si="15">H49</f>
        <v>——</v>
      </c>
      <c r="H49" s="1291" t="str">
        <f t="shared" si="11"/>
        <v>——</v>
      </c>
      <c r="I49" s="820">
        <v>0.25</v>
      </c>
      <c r="J49" s="1288" t="e">
        <f t="shared" si="12"/>
        <v>#VALUE!</v>
      </c>
      <c r="K49" s="1288" t="e">
        <f t="shared" si="13"/>
        <v>#VALUE!</v>
      </c>
      <c r="L49" s="1288">
        <v>0</v>
      </c>
      <c r="M49" s="1288" t="e">
        <f t="shared" si="14"/>
        <v>#VALUE!</v>
      </c>
      <c r="N49" s="1288" t="e">
        <f t="shared" si="14"/>
        <v>#VALUE!</v>
      </c>
      <c r="AA49" s="1374"/>
      <c r="AB49" s="1374"/>
      <c r="AC49" s="1374"/>
      <c r="AD49" s="1374"/>
      <c r="AE49" s="1374"/>
      <c r="AF49" s="1374"/>
      <c r="AG49" s="1374"/>
      <c r="AH49" s="1374"/>
      <c r="AI49" s="1374"/>
      <c r="AJ49" s="1374"/>
      <c r="AK49" s="1374"/>
    </row>
    <row r="50" spans="1:37" s="1373" customFormat="1" ht="25.5" hidden="1">
      <c r="A50" s="2879" t="s">
        <v>2933</v>
      </c>
      <c r="B50" s="2883">
        <f>估价对象房地状况!C19</f>
        <v>0</v>
      </c>
      <c r="C50" s="3400" t="s">
        <v>3108</v>
      </c>
      <c r="D50" s="1289" t="e">
        <f t="shared" si="10"/>
        <v>#VALUE!</v>
      </c>
      <c r="E50" s="822"/>
      <c r="F50" s="2503"/>
      <c r="G50" s="1287" t="str">
        <f t="shared" si="15"/>
        <v>——</v>
      </c>
      <c r="H50" s="1291" t="str">
        <f t="shared" si="11"/>
        <v>——</v>
      </c>
      <c r="I50" s="820">
        <v>0.05</v>
      </c>
      <c r="J50" s="1288" t="e">
        <f t="shared" si="12"/>
        <v>#VALUE!</v>
      </c>
      <c r="K50" s="1288" t="e">
        <f t="shared" si="13"/>
        <v>#VALUE!</v>
      </c>
      <c r="L50" s="1288">
        <v>0</v>
      </c>
      <c r="M50" s="1288" t="e">
        <f t="shared" si="14"/>
        <v>#VALUE!</v>
      </c>
      <c r="N50" s="1288" t="e">
        <f t="shared" si="14"/>
        <v>#VALUE!</v>
      </c>
      <c r="AA50" s="1374"/>
      <c r="AB50" s="1374"/>
      <c r="AC50" s="1374"/>
      <c r="AD50" s="1374"/>
      <c r="AE50" s="1374"/>
      <c r="AF50" s="1374"/>
      <c r="AG50" s="1374"/>
      <c r="AH50" s="1374"/>
      <c r="AI50" s="1374"/>
      <c r="AJ50" s="1374"/>
      <c r="AK50" s="1374"/>
    </row>
    <row r="51" spans="1:37" s="1373" customFormat="1" ht="25.5" hidden="1">
      <c r="A51" s="2879" t="s">
        <v>2934</v>
      </c>
      <c r="B51" s="2884"/>
      <c r="C51" s="3400" t="s">
        <v>3108</v>
      </c>
      <c r="D51" s="1289" t="e">
        <f t="shared" si="10"/>
        <v>#VALUE!</v>
      </c>
      <c r="E51" s="822"/>
      <c r="F51" s="2503"/>
      <c r="G51" s="1287" t="str">
        <f t="shared" si="15"/>
        <v>——</v>
      </c>
      <c r="H51" s="1291" t="str">
        <f t="shared" si="11"/>
        <v>——</v>
      </c>
      <c r="I51" s="820">
        <v>0.05</v>
      </c>
      <c r="J51" s="1288" t="e">
        <f t="shared" si="12"/>
        <v>#VALUE!</v>
      </c>
      <c r="K51" s="1288" t="e">
        <f t="shared" si="13"/>
        <v>#VALUE!</v>
      </c>
      <c r="L51" s="1288">
        <v>0</v>
      </c>
      <c r="M51" s="1288" t="e">
        <f t="shared" si="14"/>
        <v>#VALUE!</v>
      </c>
      <c r="N51" s="1288" t="e">
        <f t="shared" si="14"/>
        <v>#VALUE!</v>
      </c>
      <c r="AA51" s="1374"/>
      <c r="AB51" s="1374"/>
      <c r="AC51" s="1374"/>
      <c r="AD51" s="1374"/>
      <c r="AE51" s="1374"/>
      <c r="AF51" s="1374"/>
      <c r="AG51" s="1374"/>
      <c r="AH51" s="1374"/>
      <c r="AI51" s="1374"/>
      <c r="AJ51" s="1374"/>
      <c r="AK51" s="1374"/>
    </row>
    <row r="52" spans="1:37" s="1373" customFormat="1" ht="25.5" hidden="1">
      <c r="A52" s="2879" t="s">
        <v>2935</v>
      </c>
      <c r="B52" s="2883">
        <f>估价对象房地状况!C24</f>
        <v>0</v>
      </c>
      <c r="C52" s="3400" t="s">
        <v>3109</v>
      </c>
      <c r="D52" s="1289">
        <f t="shared" si="10"/>
        <v>0</v>
      </c>
      <c r="E52" s="822"/>
      <c r="F52" s="2503"/>
      <c r="G52" s="1287" t="str">
        <f t="shared" si="15"/>
        <v>——</v>
      </c>
      <c r="H52" s="1291" t="str">
        <f t="shared" si="11"/>
        <v>——</v>
      </c>
      <c r="I52" s="820">
        <v>0.08</v>
      </c>
      <c r="J52" s="1288" t="e">
        <f t="shared" si="12"/>
        <v>#VALUE!</v>
      </c>
      <c r="K52" s="1288" t="e">
        <f t="shared" si="13"/>
        <v>#VALUE!</v>
      </c>
      <c r="L52" s="1288">
        <v>0</v>
      </c>
      <c r="M52" s="1288" t="e">
        <f t="shared" si="14"/>
        <v>#VALUE!</v>
      </c>
      <c r="N52" s="1288" t="e">
        <f t="shared" si="14"/>
        <v>#VALUE!</v>
      </c>
      <c r="AA52" s="1374"/>
      <c r="AB52" s="1374"/>
      <c r="AC52" s="1374"/>
      <c r="AD52" s="1374"/>
      <c r="AE52" s="1374"/>
      <c r="AF52" s="1374"/>
      <c r="AG52" s="1374"/>
      <c r="AH52" s="1374"/>
      <c r="AI52" s="1374"/>
      <c r="AJ52" s="1374"/>
      <c r="AK52" s="1374"/>
    </row>
    <row r="53" spans="1:37" s="1373" customFormat="1" ht="25.5" hidden="1">
      <c r="A53" s="2879" t="s">
        <v>2936</v>
      </c>
      <c r="B53" s="2885"/>
      <c r="C53" s="3400" t="s">
        <v>3108</v>
      </c>
      <c r="D53" s="1289" t="e">
        <f t="shared" si="10"/>
        <v>#VALUE!</v>
      </c>
      <c r="E53" s="822"/>
      <c r="F53" s="2503"/>
      <c r="G53" s="1287" t="str">
        <f t="shared" si="15"/>
        <v>——</v>
      </c>
      <c r="H53" s="1291" t="str">
        <f t="shared" si="11"/>
        <v>——</v>
      </c>
      <c r="I53" s="820">
        <v>0.03</v>
      </c>
      <c r="J53" s="1288" t="e">
        <f t="shared" si="12"/>
        <v>#VALUE!</v>
      </c>
      <c r="K53" s="1288" t="e">
        <f t="shared" si="13"/>
        <v>#VALUE!</v>
      </c>
      <c r="L53" s="1288">
        <v>0</v>
      </c>
      <c r="M53" s="1288" t="e">
        <f t="shared" si="14"/>
        <v>#VALUE!</v>
      </c>
      <c r="N53" s="1288" t="e">
        <f t="shared" si="14"/>
        <v>#VALUE!</v>
      </c>
      <c r="AA53" s="1374"/>
      <c r="AB53" s="1374"/>
      <c r="AC53" s="1374"/>
      <c r="AD53" s="1374"/>
      <c r="AE53" s="1374"/>
      <c r="AF53" s="1374"/>
      <c r="AG53" s="1374"/>
      <c r="AH53" s="1374"/>
      <c r="AI53" s="1374"/>
      <c r="AJ53" s="1374"/>
      <c r="AK53" s="1374"/>
    </row>
    <row r="54" spans="1:37" s="1373" customFormat="1" ht="25.5" hidden="1">
      <c r="A54" s="2886" t="s">
        <v>2938</v>
      </c>
      <c r="B54" s="1728">
        <f>估价对象房地状况!C21</f>
        <v>0</v>
      </c>
      <c r="C54" s="3400" t="s">
        <v>3108</v>
      </c>
      <c r="D54" s="1289" t="e">
        <f t="shared" si="10"/>
        <v>#VALUE!</v>
      </c>
      <c r="E54" s="822"/>
      <c r="F54" s="2503"/>
      <c r="G54" s="1287" t="str">
        <f t="shared" si="15"/>
        <v>——</v>
      </c>
      <c r="H54" s="1291" t="str">
        <f t="shared" si="11"/>
        <v>——</v>
      </c>
      <c r="I54" s="820">
        <v>0.05</v>
      </c>
      <c r="J54" s="1288" t="e">
        <f t="shared" si="12"/>
        <v>#VALUE!</v>
      </c>
      <c r="K54" s="1288" t="e">
        <f t="shared" si="13"/>
        <v>#VALUE!</v>
      </c>
      <c r="L54" s="1288">
        <v>0</v>
      </c>
      <c r="M54" s="1288" t="e">
        <f t="shared" si="14"/>
        <v>#VALUE!</v>
      </c>
      <c r="N54" s="1288" t="e">
        <f t="shared" si="14"/>
        <v>#VALUE!</v>
      </c>
      <c r="AA54" s="1374"/>
      <c r="AB54" s="1374"/>
      <c r="AC54" s="1374"/>
      <c r="AD54" s="1374"/>
      <c r="AE54" s="1374"/>
      <c r="AF54" s="1374"/>
      <c r="AG54" s="1374"/>
      <c r="AH54" s="1374"/>
      <c r="AI54" s="1374"/>
      <c r="AJ54" s="1374"/>
      <c r="AK54" s="1374"/>
    </row>
    <row r="55" spans="1:37" s="1373" customFormat="1" ht="25.5" hidden="1">
      <c r="A55" s="2886" t="s">
        <v>2939</v>
      </c>
      <c r="B55" s="2883">
        <f>估价对象房地状况!C22</f>
        <v>0</v>
      </c>
      <c r="C55" s="3400" t="s">
        <v>3109</v>
      </c>
      <c r="D55" s="1289">
        <f t="shared" si="10"/>
        <v>0</v>
      </c>
      <c r="E55" s="822"/>
      <c r="F55" s="2503"/>
      <c r="G55" s="1287" t="str">
        <f t="shared" si="15"/>
        <v>——</v>
      </c>
      <c r="H55" s="1291" t="str">
        <f t="shared" si="11"/>
        <v>——</v>
      </c>
      <c r="I55" s="820">
        <v>0.1</v>
      </c>
      <c r="J55" s="1288" t="e">
        <f t="shared" si="12"/>
        <v>#VALUE!</v>
      </c>
      <c r="K55" s="1288" t="e">
        <f t="shared" si="13"/>
        <v>#VALUE!</v>
      </c>
      <c r="L55" s="1288">
        <v>0</v>
      </c>
      <c r="M55" s="1288" t="e">
        <f t="shared" si="14"/>
        <v>#VALUE!</v>
      </c>
      <c r="N55" s="1288" t="e">
        <f t="shared" si="14"/>
        <v>#VALUE!</v>
      </c>
      <c r="AA55" s="1374"/>
      <c r="AB55" s="1374"/>
      <c r="AC55" s="1374"/>
      <c r="AD55" s="1374"/>
      <c r="AE55" s="1374"/>
      <c r="AF55" s="1374"/>
      <c r="AG55" s="1374"/>
      <c r="AH55" s="1374"/>
      <c r="AI55" s="1374"/>
      <c r="AJ55" s="1374"/>
      <c r="AK55" s="1374"/>
    </row>
    <row r="56" spans="1:37" s="1373" customFormat="1" ht="25.9" hidden="1" thickBot="1">
      <c r="A56" s="2887" t="s">
        <v>2940</v>
      </c>
      <c r="B56" s="2888">
        <f>估价对象房地状况!C20</f>
        <v>0</v>
      </c>
      <c r="C56" s="3400" t="s">
        <v>3109</v>
      </c>
      <c r="D56" s="1289">
        <f t="shared" si="10"/>
        <v>0</v>
      </c>
      <c r="E56" s="825"/>
      <c r="F56" s="2503"/>
      <c r="G56" s="1287" t="str">
        <f t="shared" si="15"/>
        <v>——</v>
      </c>
      <c r="H56" s="1291" t="str">
        <f t="shared" si="11"/>
        <v>——</v>
      </c>
      <c r="I56" s="824">
        <v>0.06</v>
      </c>
      <c r="J56" s="1288" t="e">
        <f t="shared" si="12"/>
        <v>#VALUE!</v>
      </c>
      <c r="K56" s="1288" t="e">
        <f t="shared" si="13"/>
        <v>#VALUE!</v>
      </c>
      <c r="L56" s="1288">
        <v>0</v>
      </c>
      <c r="M56" s="1288" t="e">
        <f t="shared" si="14"/>
        <v>#VALUE!</v>
      </c>
      <c r="N56" s="1288" t="e">
        <f t="shared" si="14"/>
        <v>#VALUE!</v>
      </c>
      <c r="AA56" s="1374"/>
      <c r="AB56" s="1374"/>
      <c r="AC56" s="1374"/>
      <c r="AD56" s="1374"/>
      <c r="AE56" s="1374"/>
      <c r="AF56" s="1374"/>
      <c r="AG56" s="1374"/>
      <c r="AH56" s="1374"/>
      <c r="AI56" s="1374"/>
      <c r="AJ56" s="1374"/>
      <c r="AK56" s="1374"/>
    </row>
    <row r="57" spans="1:37" s="1373" customFormat="1" ht="13.9">
      <c r="A57" s="2875" t="s">
        <v>2941</v>
      </c>
      <c r="B57" s="2876">
        <f>1+E59</f>
        <v>1.0291999999999999</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9">
      <c r="A58" s="2879" t="s">
        <v>2923</v>
      </c>
      <c r="B58" s="2946"/>
      <c r="C58" s="2946" t="s">
        <v>2925</v>
      </c>
      <c r="D58" s="2946" t="s">
        <v>2926</v>
      </c>
      <c r="E58" s="819" t="s">
        <v>2927</v>
      </c>
      <c r="F58" s="2880" t="s">
        <v>2942</v>
      </c>
      <c r="G58" s="2946" t="s">
        <v>754</v>
      </c>
      <c r="H58" s="2881" t="s">
        <v>2929</v>
      </c>
      <c r="I58" s="2946" t="s">
        <v>2930</v>
      </c>
      <c r="J58" s="603" t="s">
        <v>2579</v>
      </c>
      <c r="K58" s="603" t="s">
        <v>2580</v>
      </c>
      <c r="L58" s="603" t="s">
        <v>2581</v>
      </c>
      <c r="M58" s="603" t="s">
        <v>2582</v>
      </c>
      <c r="N58" s="603" t="s">
        <v>2583</v>
      </c>
      <c r="AA58" s="1374"/>
      <c r="AB58" s="1374"/>
      <c r="AC58" s="1374"/>
      <c r="AD58" s="1374"/>
      <c r="AE58" s="1374"/>
      <c r="AF58" s="1374"/>
      <c r="AG58" s="1374"/>
      <c r="AH58" s="1374"/>
      <c r="AI58" s="1374"/>
      <c r="AJ58" s="1374"/>
      <c r="AK58" s="1374"/>
    </row>
    <row r="59" spans="1:37" s="1373" customFormat="1" ht="25.5">
      <c r="A59" s="2879" t="s">
        <v>2943</v>
      </c>
      <c r="B59" s="2882">
        <f>估价对象房地状况!C17</f>
        <v>0</v>
      </c>
      <c r="C59" s="3400" t="s">
        <v>3109</v>
      </c>
      <c r="D59" s="1289">
        <f t="shared" ref="D59:D67" si="16">SUMIF($J$58:$N$58,C59,J59:N59)</f>
        <v>0</v>
      </c>
      <c r="E59" s="821">
        <f>ROUND(SUM(D59:D67),4)</f>
        <v>2.92E-2</v>
      </c>
      <c r="F59" s="2503">
        <f>IF(E2="办公",SUMIF(L1:L12,G2,N1:N12),"——")</f>
        <v>0.13</v>
      </c>
      <c r="G59" s="1287">
        <f>H59</f>
        <v>1.5599999999999999E-2</v>
      </c>
      <c r="H59" s="1291">
        <f t="shared" ref="H59:H67" si="17">IFERROR(ROUNDDOWN($F$59*I59/2,4),"——")</f>
        <v>1.5599999999999999E-2</v>
      </c>
      <c r="I59" s="820">
        <v>0.24</v>
      </c>
      <c r="J59" s="1288">
        <f t="shared" ref="J59:J67" si="18">K59+$G59</f>
        <v>3.1199999999999999E-2</v>
      </c>
      <c r="K59" s="1288">
        <f t="shared" ref="K59:K67" si="19">$L59+$G59</f>
        <v>1.5599999999999999E-2</v>
      </c>
      <c r="L59" s="1288">
        <v>0</v>
      </c>
      <c r="M59" s="1288">
        <f t="shared" ref="M59:N67" si="20">L59-$G59</f>
        <v>-1.5599999999999999E-2</v>
      </c>
      <c r="N59" s="1288">
        <f t="shared" si="20"/>
        <v>-3.1199999999999999E-2</v>
      </c>
      <c r="AA59" s="1374"/>
      <c r="AB59" s="1374"/>
      <c r="AC59" s="1374"/>
      <c r="AD59" s="1374"/>
      <c r="AE59" s="1374"/>
      <c r="AF59" s="1374"/>
      <c r="AG59" s="1374"/>
      <c r="AH59" s="1374"/>
      <c r="AI59" s="1374"/>
      <c r="AJ59" s="1374"/>
      <c r="AK59" s="1374"/>
    </row>
    <row r="60" spans="1:37" s="1373" customFormat="1" ht="13.5">
      <c r="A60" s="2879" t="s">
        <v>2932</v>
      </c>
      <c r="B60" s="2883">
        <f>估价对象房地状况!C18</f>
        <v>0</v>
      </c>
      <c r="C60" s="3400" t="s">
        <v>3108</v>
      </c>
      <c r="D60" s="1289">
        <f t="shared" si="16"/>
        <v>1.95E-2</v>
      </c>
      <c r="E60" s="822"/>
      <c r="F60" s="2503"/>
      <c r="G60" s="1287">
        <f t="shared" ref="G60:G67" si="21">H60</f>
        <v>1.95E-2</v>
      </c>
      <c r="H60" s="1291">
        <f t="shared" si="17"/>
        <v>1.95E-2</v>
      </c>
      <c r="I60" s="820">
        <v>0.3</v>
      </c>
      <c r="J60" s="1288">
        <f t="shared" si="18"/>
        <v>3.9E-2</v>
      </c>
      <c r="K60" s="1288">
        <f t="shared" si="19"/>
        <v>1.95E-2</v>
      </c>
      <c r="L60" s="1288">
        <v>0</v>
      </c>
      <c r="M60" s="1288">
        <f t="shared" si="20"/>
        <v>-1.95E-2</v>
      </c>
      <c r="N60" s="1288">
        <f t="shared" si="20"/>
        <v>-3.9E-2</v>
      </c>
      <c r="AA60" s="1374"/>
      <c r="AB60" s="1374"/>
      <c r="AC60" s="1374"/>
      <c r="AD60" s="1374"/>
      <c r="AE60" s="1374"/>
      <c r="AF60" s="1374"/>
      <c r="AG60" s="1374"/>
      <c r="AH60" s="1374"/>
      <c r="AI60" s="1374"/>
      <c r="AJ60" s="1374"/>
      <c r="AK60" s="1374"/>
    </row>
    <row r="61" spans="1:37" s="1373" customFormat="1" ht="25.5">
      <c r="A61" s="2879" t="s">
        <v>2933</v>
      </c>
      <c r="B61" s="2883">
        <f>估价对象房地状况!C19</f>
        <v>0</v>
      </c>
      <c r="C61" s="3400" t="s">
        <v>3109</v>
      </c>
      <c r="D61" s="1289">
        <f t="shared" si="16"/>
        <v>0</v>
      </c>
      <c r="E61" s="822"/>
      <c r="F61" s="2503"/>
      <c r="G61" s="1287">
        <f t="shared" si="21"/>
        <v>5.1999999999999998E-3</v>
      </c>
      <c r="H61" s="1291">
        <f t="shared" si="17"/>
        <v>5.1999999999999998E-3</v>
      </c>
      <c r="I61" s="820">
        <v>0.08</v>
      </c>
      <c r="J61" s="1288">
        <f t="shared" si="18"/>
        <v>1.04E-2</v>
      </c>
      <c r="K61" s="1288">
        <f t="shared" si="19"/>
        <v>5.1999999999999998E-3</v>
      </c>
      <c r="L61" s="1288">
        <v>0</v>
      </c>
      <c r="M61" s="1288">
        <f t="shared" si="20"/>
        <v>-5.1999999999999998E-3</v>
      </c>
      <c r="N61" s="1288">
        <f t="shared" si="20"/>
        <v>-1.04E-2</v>
      </c>
      <c r="AA61" s="1374"/>
      <c r="AB61" s="1374"/>
      <c r="AC61" s="1374"/>
      <c r="AD61" s="1374"/>
      <c r="AE61" s="1374"/>
      <c r="AF61" s="1374"/>
      <c r="AG61" s="1374"/>
      <c r="AH61" s="1374"/>
      <c r="AI61" s="1374"/>
      <c r="AJ61" s="1374"/>
      <c r="AK61" s="1374"/>
    </row>
    <row r="62" spans="1:37" s="1373" customFormat="1" ht="25.5">
      <c r="A62" s="2879" t="s">
        <v>2934</v>
      </c>
      <c r="B62" s="2884"/>
      <c r="C62" s="3400" t="s">
        <v>3108</v>
      </c>
      <c r="D62" s="1289">
        <f t="shared" si="16"/>
        <v>2.5999999999999999E-3</v>
      </c>
      <c r="E62" s="822"/>
      <c r="F62" s="2503"/>
      <c r="G62" s="1287">
        <f t="shared" si="21"/>
        <v>2.5999999999999999E-3</v>
      </c>
      <c r="H62" s="1291">
        <f t="shared" si="17"/>
        <v>2.5999999999999999E-3</v>
      </c>
      <c r="I62" s="820">
        <v>0.04</v>
      </c>
      <c r="J62" s="1288">
        <f t="shared" si="18"/>
        <v>5.1999999999999998E-3</v>
      </c>
      <c r="K62" s="1288">
        <f t="shared" si="19"/>
        <v>2.5999999999999999E-3</v>
      </c>
      <c r="L62" s="1288">
        <v>0</v>
      </c>
      <c r="M62" s="1288">
        <f t="shared" si="20"/>
        <v>-2.5999999999999999E-3</v>
      </c>
      <c r="N62" s="1288">
        <f t="shared" si="20"/>
        <v>-5.1999999999999998E-3</v>
      </c>
      <c r="AA62" s="1374"/>
      <c r="AB62" s="1374"/>
      <c r="AC62" s="1374"/>
      <c r="AD62" s="1374"/>
      <c r="AE62" s="1374"/>
      <c r="AF62" s="1374"/>
      <c r="AG62" s="1374"/>
      <c r="AH62" s="1374"/>
      <c r="AI62" s="1374"/>
      <c r="AJ62" s="1374"/>
      <c r="AK62" s="1374"/>
    </row>
    <row r="63" spans="1:37" s="1373" customFormat="1" ht="25.5">
      <c r="A63" s="2879" t="s">
        <v>2935</v>
      </c>
      <c r="B63" s="2883">
        <f>估价对象房地状况!C24</f>
        <v>0</v>
      </c>
      <c r="C63" s="3400" t="s">
        <v>3109</v>
      </c>
      <c r="D63" s="1289">
        <f t="shared" si="16"/>
        <v>0</v>
      </c>
      <c r="E63" s="822"/>
      <c r="F63" s="2503"/>
      <c r="G63" s="1287">
        <f t="shared" si="21"/>
        <v>3.2000000000000002E-3</v>
      </c>
      <c r="H63" s="1291">
        <f t="shared" si="17"/>
        <v>3.2000000000000002E-3</v>
      </c>
      <c r="I63" s="820">
        <v>0.05</v>
      </c>
      <c r="J63" s="1288">
        <f t="shared" si="18"/>
        <v>6.4000000000000003E-3</v>
      </c>
      <c r="K63" s="1288">
        <f t="shared" si="19"/>
        <v>3.2000000000000002E-3</v>
      </c>
      <c r="L63" s="1288">
        <v>0</v>
      </c>
      <c r="M63" s="1288">
        <f t="shared" si="20"/>
        <v>-3.2000000000000002E-3</v>
      </c>
      <c r="N63" s="1288">
        <f t="shared" si="20"/>
        <v>-6.4000000000000003E-3</v>
      </c>
      <c r="AA63" s="1374"/>
      <c r="AB63" s="1374"/>
      <c r="AC63" s="1374"/>
      <c r="AD63" s="1374"/>
      <c r="AE63" s="1374"/>
      <c r="AF63" s="1374"/>
      <c r="AG63" s="1374"/>
      <c r="AH63" s="1374"/>
      <c r="AI63" s="1374"/>
      <c r="AJ63" s="1374"/>
      <c r="AK63" s="1374"/>
    </row>
    <row r="64" spans="1:37" s="1373" customFormat="1" ht="25.5">
      <c r="A64" s="2879" t="s">
        <v>2936</v>
      </c>
      <c r="B64" s="2885"/>
      <c r="C64" s="3400" t="s">
        <v>3108</v>
      </c>
      <c r="D64" s="1289">
        <f t="shared" si="16"/>
        <v>3.2000000000000002E-3</v>
      </c>
      <c r="E64" s="822"/>
      <c r="F64" s="2503"/>
      <c r="G64" s="1287">
        <f t="shared" si="21"/>
        <v>3.2000000000000002E-3</v>
      </c>
      <c r="H64" s="1291">
        <f t="shared" si="17"/>
        <v>3.2000000000000002E-3</v>
      </c>
      <c r="I64" s="820">
        <v>0.05</v>
      </c>
      <c r="J64" s="1288">
        <f t="shared" si="18"/>
        <v>6.4000000000000003E-3</v>
      </c>
      <c r="K64" s="1288">
        <f t="shared" si="19"/>
        <v>3.2000000000000002E-3</v>
      </c>
      <c r="L64" s="1288">
        <v>0</v>
      </c>
      <c r="M64" s="1288">
        <f t="shared" si="20"/>
        <v>-3.2000000000000002E-3</v>
      </c>
      <c r="N64" s="1288">
        <f t="shared" si="20"/>
        <v>-6.4000000000000003E-3</v>
      </c>
      <c r="AA64" s="1374"/>
      <c r="AB64" s="1374"/>
      <c r="AC64" s="1374"/>
      <c r="AD64" s="1374"/>
      <c r="AE64" s="1374"/>
      <c r="AF64" s="1374"/>
      <c r="AG64" s="1374"/>
      <c r="AH64" s="1374"/>
      <c r="AI64" s="1374"/>
      <c r="AJ64" s="1374"/>
      <c r="AK64" s="1374"/>
    </row>
    <row r="65" spans="1:37" s="1373" customFormat="1" ht="25.5">
      <c r="A65" s="2879" t="s">
        <v>2938</v>
      </c>
      <c r="B65" s="1728">
        <f>估价对象房地状况!C21</f>
        <v>0</v>
      </c>
      <c r="C65" s="3400" t="s">
        <v>3108</v>
      </c>
      <c r="D65" s="1289">
        <f t="shared" si="16"/>
        <v>3.8999999999999998E-3</v>
      </c>
      <c r="E65" s="822"/>
      <c r="F65" s="2503"/>
      <c r="G65" s="1287">
        <f t="shared" si="21"/>
        <v>3.8999999999999998E-3</v>
      </c>
      <c r="H65" s="1291">
        <f t="shared" si="17"/>
        <v>3.8999999999999998E-3</v>
      </c>
      <c r="I65" s="820">
        <v>0.06</v>
      </c>
      <c r="J65" s="1288">
        <f t="shared" si="18"/>
        <v>7.7999999999999996E-3</v>
      </c>
      <c r="K65" s="1288">
        <f t="shared" si="19"/>
        <v>3.8999999999999998E-3</v>
      </c>
      <c r="L65" s="1288">
        <v>0</v>
      </c>
      <c r="M65" s="1288">
        <f t="shared" si="20"/>
        <v>-3.8999999999999998E-3</v>
      </c>
      <c r="N65" s="1288">
        <f t="shared" si="20"/>
        <v>-7.7999999999999996E-3</v>
      </c>
      <c r="AA65" s="1374"/>
      <c r="AB65" s="1374"/>
      <c r="AC65" s="1374"/>
      <c r="AD65" s="1374"/>
      <c r="AE65" s="1374"/>
      <c r="AF65" s="1374"/>
      <c r="AG65" s="1374"/>
      <c r="AH65" s="1374"/>
      <c r="AI65" s="1374"/>
      <c r="AJ65" s="1374"/>
      <c r="AK65" s="1374"/>
    </row>
    <row r="66" spans="1:37" s="1373" customFormat="1" ht="25.5">
      <c r="A66" s="2879" t="s">
        <v>2939</v>
      </c>
      <c r="B66" s="1728">
        <f>估价对象房地状况!C22</f>
        <v>0</v>
      </c>
      <c r="C66" s="3400" t="s">
        <v>3109</v>
      </c>
      <c r="D66" s="1289">
        <f t="shared" si="16"/>
        <v>0</v>
      </c>
      <c r="E66" s="822"/>
      <c r="F66" s="2503"/>
      <c r="G66" s="1287">
        <f t="shared" si="21"/>
        <v>7.7999999999999996E-3</v>
      </c>
      <c r="H66" s="1291">
        <f t="shared" si="17"/>
        <v>7.7999999999999996E-3</v>
      </c>
      <c r="I66" s="820">
        <v>0.12</v>
      </c>
      <c r="J66" s="1288">
        <f t="shared" si="18"/>
        <v>1.5599999999999999E-2</v>
      </c>
      <c r="K66" s="1288">
        <f t="shared" si="19"/>
        <v>7.7999999999999996E-3</v>
      </c>
      <c r="L66" s="1288">
        <v>0</v>
      </c>
      <c r="M66" s="1288">
        <f t="shared" si="20"/>
        <v>-7.7999999999999996E-3</v>
      </c>
      <c r="N66" s="1288">
        <f t="shared" si="20"/>
        <v>-1.5599999999999999E-2</v>
      </c>
      <c r="AA66" s="1374"/>
      <c r="AB66" s="1374"/>
      <c r="AC66" s="1374"/>
      <c r="AD66" s="1374"/>
      <c r="AE66" s="1374"/>
      <c r="AF66" s="1374"/>
      <c r="AG66" s="1374"/>
      <c r="AH66" s="1374"/>
      <c r="AI66" s="1374"/>
      <c r="AJ66" s="1374"/>
      <c r="AK66" s="1374"/>
    </row>
    <row r="67" spans="1:37" s="1373" customFormat="1" ht="25.9" thickBot="1">
      <c r="A67" s="2887" t="s">
        <v>2940</v>
      </c>
      <c r="B67" s="2889">
        <f>估价对象房地状况!C20</f>
        <v>0</v>
      </c>
      <c r="C67" s="3400" t="s">
        <v>3109</v>
      </c>
      <c r="D67" s="1289">
        <f t="shared" si="16"/>
        <v>0</v>
      </c>
      <c r="E67" s="825"/>
      <c r="F67" s="2503"/>
      <c r="G67" s="1287">
        <f t="shared" si="21"/>
        <v>3.8999999999999998E-3</v>
      </c>
      <c r="H67" s="1291">
        <f t="shared" si="17"/>
        <v>3.8999999999999998E-3</v>
      </c>
      <c r="I67" s="824">
        <v>0.06</v>
      </c>
      <c r="J67" s="1288">
        <f t="shared" si="18"/>
        <v>7.7999999999999996E-3</v>
      </c>
      <c r="K67" s="1288">
        <f t="shared" si="19"/>
        <v>3.8999999999999998E-3</v>
      </c>
      <c r="L67" s="1288">
        <v>0</v>
      </c>
      <c r="M67" s="1288">
        <f t="shared" si="20"/>
        <v>-3.8999999999999998E-3</v>
      </c>
      <c r="N67" s="1288">
        <f t="shared" si="20"/>
        <v>-7.7999999999999996E-3</v>
      </c>
      <c r="AA67" s="1374"/>
      <c r="AB67" s="1374"/>
      <c r="AC67" s="1374"/>
      <c r="AD67" s="1374"/>
      <c r="AE67" s="1374"/>
      <c r="AF67" s="1374"/>
      <c r="AG67" s="1374"/>
      <c r="AH67" s="1374"/>
      <c r="AI67" s="1374"/>
      <c r="AJ67" s="1374"/>
      <c r="AK67" s="1374"/>
    </row>
    <row r="68" spans="1:37" s="1373" customFormat="1" ht="13.9" hidden="1">
      <c r="A68" s="2875" t="s">
        <v>2944</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9" hidden="1">
      <c r="A69" s="2879" t="s">
        <v>2923</v>
      </c>
      <c r="B69" s="2946"/>
      <c r="C69" s="2946" t="s">
        <v>2925</v>
      </c>
      <c r="D69" s="2946" t="s">
        <v>2926</v>
      </c>
      <c r="E69" s="819" t="s">
        <v>2927</v>
      </c>
      <c r="F69" s="2880" t="s">
        <v>2942</v>
      </c>
      <c r="G69" s="2946" t="s">
        <v>754</v>
      </c>
      <c r="H69" s="2881" t="s">
        <v>2929</v>
      </c>
      <c r="I69" s="2946" t="s">
        <v>2930</v>
      </c>
      <c r="J69" s="603" t="s">
        <v>2579</v>
      </c>
      <c r="K69" s="603" t="s">
        <v>2580</v>
      </c>
      <c r="L69" s="603" t="s">
        <v>2581</v>
      </c>
      <c r="M69" s="603" t="s">
        <v>2582</v>
      </c>
      <c r="N69" s="603" t="s">
        <v>2583</v>
      </c>
      <c r="AA69" s="1374"/>
      <c r="AB69" s="1374"/>
      <c r="AC69" s="1374"/>
      <c r="AD69" s="1374"/>
      <c r="AE69" s="1374"/>
      <c r="AF69" s="1374"/>
      <c r="AG69" s="1374"/>
      <c r="AH69" s="1374"/>
      <c r="AI69" s="1374"/>
      <c r="AJ69" s="1374"/>
      <c r="AK69" s="1374"/>
    </row>
    <row r="70" spans="1:37" s="1373" customFormat="1" ht="25.5" hidden="1">
      <c r="A70" s="2879" t="s">
        <v>2945</v>
      </c>
      <c r="B70" s="2882">
        <f>估价对象房地状况!C15</f>
        <v>0</v>
      </c>
      <c r="C70" s="2771"/>
      <c r="D70" s="1289">
        <f t="shared" ref="D70:D78" si="22">SUMIF($J$69:$N$69,C70,J70:N70)</f>
        <v>0</v>
      </c>
      <c r="E70" s="821">
        <f>ROUND(SUM(D70:D78),4)</f>
        <v>0</v>
      </c>
      <c r="F70" s="2503" t="str">
        <f>IF(E2="住宅",SUMIF(L1:L12,G2,N1:N12),"——")</f>
        <v>——</v>
      </c>
      <c r="G70" s="1287"/>
      <c r="H70" s="1291" t="str">
        <f t="shared" ref="H70:H78" si="23">IFERROR(ROUNDDOWN($F$70*I70/2,4),"——")</f>
        <v>——</v>
      </c>
      <c r="I70" s="820">
        <v>0.14000000000000001</v>
      </c>
      <c r="J70" s="1288">
        <f t="shared" ref="J70:J78" si="24">K70+$G70</f>
        <v>0</v>
      </c>
      <c r="K70" s="1288">
        <f t="shared" ref="K70:K78" si="25">$L70+$G70</f>
        <v>0</v>
      </c>
      <c r="L70" s="1288">
        <v>0</v>
      </c>
      <c r="M70" s="1288">
        <f t="shared" ref="M70:N78" si="26">L70-$G70</f>
        <v>0</v>
      </c>
      <c r="N70" s="1288">
        <f t="shared" si="26"/>
        <v>0</v>
      </c>
      <c r="AA70" s="1374"/>
      <c r="AB70" s="1374"/>
      <c r="AC70" s="1374"/>
      <c r="AD70" s="1374"/>
      <c r="AE70" s="1374"/>
      <c r="AF70" s="1374"/>
      <c r="AG70" s="1374"/>
      <c r="AH70" s="1374"/>
      <c r="AI70" s="1374"/>
      <c r="AJ70" s="1374"/>
      <c r="AK70" s="1374"/>
    </row>
    <row r="71" spans="1:37" s="1373" customFormat="1" ht="13.5" hidden="1">
      <c r="A71" s="2879" t="s">
        <v>2932</v>
      </c>
      <c r="B71" s="2883">
        <f>估价对象房地状况!C18</f>
        <v>0</v>
      </c>
      <c r="C71" s="2771"/>
      <c r="D71" s="1289">
        <f t="shared" si="22"/>
        <v>0</v>
      </c>
      <c r="E71" s="826"/>
      <c r="F71" s="2503"/>
      <c r="G71" s="1287"/>
      <c r="H71" s="1291" t="str">
        <f t="shared" si="23"/>
        <v>——</v>
      </c>
      <c r="I71" s="820">
        <v>0.3</v>
      </c>
      <c r="J71" s="1288">
        <f t="shared" si="24"/>
        <v>0</v>
      </c>
      <c r="K71" s="1288">
        <f t="shared" si="25"/>
        <v>0</v>
      </c>
      <c r="L71" s="1288">
        <v>0</v>
      </c>
      <c r="M71" s="1288">
        <f t="shared" si="26"/>
        <v>0</v>
      </c>
      <c r="N71" s="1288">
        <f t="shared" si="26"/>
        <v>0</v>
      </c>
      <c r="AA71" s="1374"/>
      <c r="AB71" s="1374"/>
      <c r="AC71" s="1374"/>
      <c r="AD71" s="1374"/>
      <c r="AE71" s="1374"/>
      <c r="AF71" s="1374"/>
      <c r="AG71" s="1374"/>
      <c r="AH71" s="1374"/>
      <c r="AI71" s="1374"/>
      <c r="AJ71" s="1374"/>
      <c r="AK71" s="1374"/>
    </row>
    <row r="72" spans="1:37" s="1373" customFormat="1" ht="25.5" hidden="1">
      <c r="A72" s="2879" t="s">
        <v>2933</v>
      </c>
      <c r="B72" s="2883">
        <f>估价对象房地状况!C19</f>
        <v>0</v>
      </c>
      <c r="C72" s="2771"/>
      <c r="D72" s="1289">
        <f t="shared" si="22"/>
        <v>0</v>
      </c>
      <c r="E72" s="826"/>
      <c r="F72" s="2503"/>
      <c r="G72" s="1287"/>
      <c r="H72" s="1291" t="str">
        <f t="shared" si="23"/>
        <v>——</v>
      </c>
      <c r="I72" s="820">
        <v>0.08</v>
      </c>
      <c r="J72" s="1288">
        <f t="shared" si="24"/>
        <v>0</v>
      </c>
      <c r="K72" s="1288">
        <f t="shared" si="25"/>
        <v>0</v>
      </c>
      <c r="L72" s="1288">
        <v>0</v>
      </c>
      <c r="M72" s="1288">
        <f t="shared" si="26"/>
        <v>0</v>
      </c>
      <c r="N72" s="1288">
        <f t="shared" si="26"/>
        <v>0</v>
      </c>
      <c r="AA72" s="1374"/>
      <c r="AB72" s="1374"/>
      <c r="AC72" s="1374"/>
      <c r="AD72" s="1374"/>
      <c r="AE72" s="1374"/>
      <c r="AF72" s="1374"/>
      <c r="AG72" s="1374"/>
      <c r="AH72" s="1374"/>
      <c r="AI72" s="1374"/>
      <c r="AJ72" s="1374"/>
      <c r="AK72" s="1374"/>
    </row>
    <row r="73" spans="1:37" s="1373" customFormat="1" ht="13.5" hidden="1">
      <c r="A73" s="2879" t="s">
        <v>2946</v>
      </c>
      <c r="B73" s="2883">
        <f>估价对象房地状况!C24</f>
        <v>0</v>
      </c>
      <c r="C73" s="2771"/>
      <c r="D73" s="1289">
        <f t="shared" si="22"/>
        <v>0</v>
      </c>
      <c r="E73" s="826"/>
      <c r="F73" s="2503"/>
      <c r="G73" s="1287"/>
      <c r="H73" s="1291" t="str">
        <f t="shared" si="23"/>
        <v>——</v>
      </c>
      <c r="I73" s="820">
        <v>0.04</v>
      </c>
      <c r="J73" s="1288">
        <f t="shared" si="24"/>
        <v>0</v>
      </c>
      <c r="K73" s="1288">
        <f t="shared" si="25"/>
        <v>0</v>
      </c>
      <c r="L73" s="1288">
        <v>0</v>
      </c>
      <c r="M73" s="1288">
        <f t="shared" si="26"/>
        <v>0</v>
      </c>
      <c r="N73" s="1288">
        <f t="shared" si="26"/>
        <v>0</v>
      </c>
      <c r="AA73" s="1374"/>
      <c r="AB73" s="1374"/>
      <c r="AC73" s="1374"/>
      <c r="AD73" s="1374"/>
      <c r="AE73" s="1374"/>
      <c r="AF73" s="1374"/>
      <c r="AG73" s="1374"/>
      <c r="AH73" s="1374"/>
      <c r="AI73" s="1374"/>
      <c r="AJ73" s="1374"/>
      <c r="AK73" s="1374"/>
    </row>
    <row r="74" spans="1:37" s="1373" customFormat="1" ht="25.5" hidden="1">
      <c r="A74" s="2879" t="s">
        <v>2938</v>
      </c>
      <c r="B74" s="1728">
        <f>估价对象房地状况!C21</f>
        <v>0</v>
      </c>
      <c r="C74" s="2771"/>
      <c r="D74" s="1289">
        <f t="shared" si="22"/>
        <v>0</v>
      </c>
      <c r="E74" s="826"/>
      <c r="F74" s="2503"/>
      <c r="G74" s="1287"/>
      <c r="H74" s="1291" t="str">
        <f t="shared" si="23"/>
        <v>——</v>
      </c>
      <c r="I74" s="820">
        <v>0.08</v>
      </c>
      <c r="J74" s="1288">
        <f t="shared" si="24"/>
        <v>0</v>
      </c>
      <c r="K74" s="1288">
        <f t="shared" si="25"/>
        <v>0</v>
      </c>
      <c r="L74" s="1288">
        <v>0</v>
      </c>
      <c r="M74" s="1288">
        <f t="shared" si="26"/>
        <v>0</v>
      </c>
      <c r="N74" s="1288">
        <f t="shared" si="26"/>
        <v>0</v>
      </c>
      <c r="AA74" s="1374"/>
      <c r="AB74" s="1374"/>
      <c r="AC74" s="1374"/>
      <c r="AD74" s="1374"/>
      <c r="AE74" s="1374"/>
      <c r="AF74" s="1374"/>
      <c r="AG74" s="1374"/>
      <c r="AH74" s="1374"/>
      <c r="AI74" s="1374"/>
      <c r="AJ74" s="1374"/>
      <c r="AK74" s="1374"/>
    </row>
    <row r="75" spans="1:37" s="1373" customFormat="1" ht="25.5" hidden="1">
      <c r="A75" s="2879" t="s">
        <v>2939</v>
      </c>
      <c r="B75" s="1728">
        <f>估价对象房地状况!C22</f>
        <v>0</v>
      </c>
      <c r="C75" s="2771"/>
      <c r="D75" s="1289">
        <f t="shared" si="22"/>
        <v>0</v>
      </c>
      <c r="E75" s="826"/>
      <c r="F75" s="2503"/>
      <c r="G75" s="1287"/>
      <c r="H75" s="1291" t="str">
        <f t="shared" si="23"/>
        <v>——</v>
      </c>
      <c r="I75" s="820">
        <v>0.12</v>
      </c>
      <c r="J75" s="1288">
        <f t="shared" si="24"/>
        <v>0</v>
      </c>
      <c r="K75" s="1288">
        <f t="shared" si="25"/>
        <v>0</v>
      </c>
      <c r="L75" s="1288">
        <v>0</v>
      </c>
      <c r="M75" s="1288">
        <f t="shared" si="26"/>
        <v>0</v>
      </c>
      <c r="N75" s="1288">
        <f t="shared" si="26"/>
        <v>0</v>
      </c>
      <c r="AA75" s="1374"/>
      <c r="AB75" s="1374"/>
      <c r="AC75" s="1374"/>
      <c r="AD75" s="1374"/>
      <c r="AE75" s="1374"/>
      <c r="AF75" s="1374"/>
      <c r="AG75" s="1374"/>
      <c r="AH75" s="1374"/>
      <c r="AI75" s="1374"/>
      <c r="AJ75" s="1374"/>
      <c r="AK75" s="1374"/>
    </row>
    <row r="76" spans="1:37" s="2720" customFormat="1" ht="25.5" hidden="1">
      <c r="A76" s="2879" t="s">
        <v>2936</v>
      </c>
      <c r="B76" s="2885" t="s">
        <v>2937</v>
      </c>
      <c r="C76" s="2771"/>
      <c r="D76" s="1289">
        <f t="shared" si="22"/>
        <v>0</v>
      </c>
      <c r="E76" s="826"/>
      <c r="F76" s="2503"/>
      <c r="G76" s="1287"/>
      <c r="H76" s="1291" t="str">
        <f t="shared" si="23"/>
        <v>——</v>
      </c>
      <c r="I76" s="820">
        <v>0.05</v>
      </c>
      <c r="J76" s="1288">
        <f t="shared" si="24"/>
        <v>0</v>
      </c>
      <c r="K76" s="1288">
        <f t="shared" si="25"/>
        <v>0</v>
      </c>
      <c r="L76" s="1288">
        <v>0</v>
      </c>
      <c r="M76" s="1288">
        <f t="shared" si="26"/>
        <v>0</v>
      </c>
      <c r="N76" s="1288">
        <f t="shared" si="26"/>
        <v>0</v>
      </c>
      <c r="AA76" s="2890"/>
      <c r="AB76" s="1374"/>
      <c r="AC76" s="1374"/>
      <c r="AD76" s="1374"/>
      <c r="AE76" s="1374"/>
      <c r="AF76" s="1374"/>
      <c r="AG76" s="1374"/>
      <c r="AH76" s="2890"/>
      <c r="AI76" s="2890"/>
      <c r="AJ76" s="2890"/>
      <c r="AK76" s="2890"/>
    </row>
    <row r="77" spans="1:37" ht="25.5" hidden="1">
      <c r="A77" s="2879" t="s">
        <v>2940</v>
      </c>
      <c r="B77" s="2882">
        <f>估价对象房地状况!C20</f>
        <v>0</v>
      </c>
      <c r="C77" s="2771"/>
      <c r="D77" s="1289">
        <f t="shared" si="22"/>
        <v>0</v>
      </c>
      <c r="E77" s="826"/>
      <c r="F77" s="2503"/>
      <c r="G77" s="1287"/>
      <c r="H77" s="1291" t="str">
        <f t="shared" si="23"/>
        <v>——</v>
      </c>
      <c r="I77" s="820">
        <v>0.15</v>
      </c>
      <c r="J77" s="1288">
        <f t="shared" si="24"/>
        <v>0</v>
      </c>
      <c r="K77" s="1288">
        <f t="shared" si="25"/>
        <v>0</v>
      </c>
      <c r="L77" s="1288">
        <v>0</v>
      </c>
      <c r="M77" s="1288">
        <f t="shared" si="26"/>
        <v>0</v>
      </c>
      <c r="N77" s="1288">
        <f t="shared" si="26"/>
        <v>0</v>
      </c>
      <c r="Z77" s="2721"/>
      <c r="AA77" s="2797"/>
      <c r="AG77" s="1375"/>
      <c r="AK77" s="2797"/>
    </row>
    <row r="78" spans="1:37" ht="25.9" hidden="1" thickBot="1">
      <c r="A78" s="2887" t="s">
        <v>2947</v>
      </c>
      <c r="B78" s="2891"/>
      <c r="C78" s="2771"/>
      <c r="D78" s="1289">
        <f t="shared" si="22"/>
        <v>0</v>
      </c>
      <c r="E78" s="827"/>
      <c r="F78" s="2503"/>
      <c r="G78" s="1287"/>
      <c r="H78" s="1291" t="str">
        <f t="shared" si="23"/>
        <v>——</v>
      </c>
      <c r="I78" s="824">
        <v>0.04</v>
      </c>
      <c r="J78" s="1288">
        <f t="shared" si="24"/>
        <v>0</v>
      </c>
      <c r="K78" s="1288">
        <f t="shared" si="25"/>
        <v>0</v>
      </c>
      <c r="L78" s="1288">
        <v>0</v>
      </c>
      <c r="M78" s="1288">
        <f t="shared" si="26"/>
        <v>0</v>
      </c>
      <c r="N78" s="1288">
        <f t="shared" si="26"/>
        <v>0</v>
      </c>
      <c r="Z78" s="2721"/>
      <c r="AA78" s="2797"/>
      <c r="AG78" s="1375"/>
      <c r="AK78" s="2797"/>
    </row>
    <row r="79" spans="1:37" ht="13.9" hidden="1">
      <c r="A79" s="2875" t="s">
        <v>2948</v>
      </c>
      <c r="B79" s="2876">
        <f>1+E81</f>
        <v>1</v>
      </c>
      <c r="C79" s="814"/>
      <c r="D79" s="814"/>
      <c r="E79" s="815"/>
      <c r="F79" s="2878"/>
      <c r="G79" s="6"/>
      <c r="H79" s="6"/>
      <c r="I79" s="6"/>
      <c r="J79" s="7"/>
      <c r="K79" s="7"/>
      <c r="L79" s="7"/>
      <c r="M79" s="7"/>
      <c r="N79" s="7"/>
      <c r="Z79" s="2721"/>
      <c r="AA79" s="2797"/>
      <c r="AG79" s="1375"/>
      <c r="AK79" s="2797"/>
    </row>
    <row r="80" spans="1:37" ht="25.9" hidden="1">
      <c r="A80" s="2879" t="s">
        <v>2923</v>
      </c>
      <c r="B80" s="2946"/>
      <c r="C80" s="2946" t="s">
        <v>2925</v>
      </c>
      <c r="D80" s="2946" t="s">
        <v>2926</v>
      </c>
      <c r="E80" s="819" t="s">
        <v>2927</v>
      </c>
      <c r="F80" s="2880" t="s">
        <v>2942</v>
      </c>
      <c r="G80" s="2946" t="s">
        <v>754</v>
      </c>
      <c r="H80" s="2881" t="s">
        <v>2929</v>
      </c>
      <c r="I80" s="2946" t="s">
        <v>2930</v>
      </c>
      <c r="J80" s="603" t="s">
        <v>2579</v>
      </c>
      <c r="K80" s="603" t="s">
        <v>2580</v>
      </c>
      <c r="L80" s="603" t="s">
        <v>2581</v>
      </c>
      <c r="M80" s="603" t="s">
        <v>2582</v>
      </c>
      <c r="N80" s="603" t="s">
        <v>2583</v>
      </c>
      <c r="Z80" s="2721"/>
      <c r="AA80" s="2797"/>
      <c r="AG80" s="1375"/>
      <c r="AK80" s="2797"/>
    </row>
    <row r="81" spans="1:37" ht="25.5" hidden="1">
      <c r="A81" s="2879" t="s">
        <v>2949</v>
      </c>
      <c r="B81" s="2883">
        <f>估价对象房地状况!G15</f>
        <v>0</v>
      </c>
      <c r="C81" s="2771"/>
      <c r="D81" s="1289">
        <f t="shared" ref="D81:D88" si="27">SUMIF($J$80:$N$80,C81,J81:N81)</f>
        <v>0</v>
      </c>
      <c r="E81" s="821">
        <f>ROUND(SUM(D81:D88),4)</f>
        <v>0</v>
      </c>
      <c r="F81" s="2503" t="str">
        <f>IF(E2="工业",SUMIF(L1:L12,G2,N1:N12),"——")</f>
        <v>——</v>
      </c>
      <c r="G81" s="1287"/>
      <c r="H81" s="1291" t="str">
        <f t="shared" ref="H81:H88" si="28">IFERROR(ROUNDDOWN($F$81*I81/2,4),"——")</f>
        <v>——</v>
      </c>
      <c r="I81" s="820">
        <v>0.26</v>
      </c>
      <c r="J81" s="1288">
        <f t="shared" ref="J81:J88" si="29">K81+$G81</f>
        <v>0</v>
      </c>
      <c r="K81" s="1288">
        <f t="shared" ref="K81:K88" si="30">$L81+$G81</f>
        <v>0</v>
      </c>
      <c r="L81" s="1288">
        <v>0</v>
      </c>
      <c r="M81" s="1288">
        <f t="shared" ref="M81:N88" si="31">L81-$G81</f>
        <v>0</v>
      </c>
      <c r="N81" s="1288">
        <f t="shared" si="31"/>
        <v>0</v>
      </c>
      <c r="Z81" s="2721"/>
      <c r="AA81" s="2797"/>
      <c r="AG81" s="1375"/>
      <c r="AK81" s="2797"/>
    </row>
    <row r="82" spans="1:37" ht="13.5" hidden="1">
      <c r="A82" s="2879" t="s">
        <v>2932</v>
      </c>
      <c r="B82" s="2883">
        <f>估价对象房地状况!G16</f>
        <v>0</v>
      </c>
      <c r="C82" s="2771"/>
      <c r="D82" s="1289">
        <f t="shared" si="27"/>
        <v>0</v>
      </c>
      <c r="E82" s="826"/>
      <c r="F82" s="2503"/>
      <c r="G82" s="1287"/>
      <c r="H82" s="1291" t="str">
        <f t="shared" si="28"/>
        <v>——</v>
      </c>
      <c r="I82" s="820">
        <v>0.33</v>
      </c>
      <c r="J82" s="1288">
        <f t="shared" si="29"/>
        <v>0</v>
      </c>
      <c r="K82" s="1288">
        <f t="shared" si="30"/>
        <v>0</v>
      </c>
      <c r="L82" s="1288">
        <v>0</v>
      </c>
      <c r="M82" s="1288">
        <f t="shared" si="31"/>
        <v>0</v>
      </c>
      <c r="N82" s="1288">
        <f t="shared" si="31"/>
        <v>0</v>
      </c>
      <c r="Z82" s="2721"/>
      <c r="AA82" s="2797"/>
      <c r="AG82" s="1375"/>
      <c r="AK82" s="2797"/>
    </row>
    <row r="83" spans="1:37" ht="25.5" hidden="1">
      <c r="A83" s="2879" t="s">
        <v>2933</v>
      </c>
      <c r="B83" s="2883">
        <f>估价对象房地状况!G17</f>
        <v>0</v>
      </c>
      <c r="C83" s="2771"/>
      <c r="D83" s="1289">
        <f t="shared" si="27"/>
        <v>0</v>
      </c>
      <c r="E83" s="826"/>
      <c r="F83" s="2503"/>
      <c r="G83" s="1287"/>
      <c r="H83" s="1291" t="str">
        <f t="shared" si="28"/>
        <v>——</v>
      </c>
      <c r="I83" s="820">
        <v>0.05</v>
      </c>
      <c r="J83" s="1288">
        <f t="shared" si="29"/>
        <v>0</v>
      </c>
      <c r="K83" s="1288">
        <f t="shared" si="30"/>
        <v>0</v>
      </c>
      <c r="L83" s="1288">
        <v>0</v>
      </c>
      <c r="M83" s="1288">
        <f t="shared" si="31"/>
        <v>0</v>
      </c>
      <c r="N83" s="1288">
        <f t="shared" si="31"/>
        <v>0</v>
      </c>
      <c r="Z83" s="2721"/>
      <c r="AA83" s="2797"/>
      <c r="AG83" s="1375"/>
      <c r="AK83" s="2797"/>
    </row>
    <row r="84" spans="1:37" ht="13.5" hidden="1">
      <c r="A84" s="2879" t="s">
        <v>2946</v>
      </c>
      <c r="B84" s="2883">
        <f>估价对象房地状况!G22</f>
        <v>0</v>
      </c>
      <c r="C84" s="2771"/>
      <c r="D84" s="1289">
        <f t="shared" si="27"/>
        <v>0</v>
      </c>
      <c r="E84" s="826"/>
      <c r="F84" s="2503"/>
      <c r="G84" s="1287"/>
      <c r="H84" s="1291" t="str">
        <f t="shared" si="28"/>
        <v>——</v>
      </c>
      <c r="I84" s="820">
        <v>0.04</v>
      </c>
      <c r="J84" s="1288">
        <f t="shared" si="29"/>
        <v>0</v>
      </c>
      <c r="K84" s="1288">
        <f t="shared" si="30"/>
        <v>0</v>
      </c>
      <c r="L84" s="1288">
        <v>0</v>
      </c>
      <c r="M84" s="1288">
        <f t="shared" si="31"/>
        <v>0</v>
      </c>
      <c r="N84" s="1288">
        <f t="shared" si="31"/>
        <v>0</v>
      </c>
      <c r="Z84" s="2721"/>
      <c r="AA84" s="2797"/>
      <c r="AG84" s="1375"/>
      <c r="AK84" s="2797"/>
    </row>
    <row r="85" spans="1:37" ht="25.5" hidden="1">
      <c r="A85" s="2879" t="s">
        <v>2938</v>
      </c>
      <c r="B85" s="1728">
        <f>估价对象房地状况!G19</f>
        <v>0</v>
      </c>
      <c r="C85" s="2771"/>
      <c r="D85" s="1289">
        <f t="shared" si="27"/>
        <v>0</v>
      </c>
      <c r="E85" s="826"/>
      <c r="F85" s="2503"/>
      <c r="G85" s="1287"/>
      <c r="H85" s="1291" t="str">
        <f t="shared" si="28"/>
        <v>——</v>
      </c>
      <c r="I85" s="820">
        <v>0.06</v>
      </c>
      <c r="J85" s="1288">
        <f t="shared" si="29"/>
        <v>0</v>
      </c>
      <c r="K85" s="1288">
        <f t="shared" si="30"/>
        <v>0</v>
      </c>
      <c r="L85" s="1288">
        <v>0</v>
      </c>
      <c r="M85" s="1288">
        <f t="shared" si="31"/>
        <v>0</v>
      </c>
      <c r="N85" s="1288">
        <f t="shared" si="31"/>
        <v>0</v>
      </c>
      <c r="Z85" s="2721"/>
      <c r="AA85" s="2797"/>
      <c r="AG85" s="1375"/>
      <c r="AK85" s="2797"/>
    </row>
    <row r="86" spans="1:37" ht="25.5" hidden="1">
      <c r="A86" s="2879" t="s">
        <v>2939</v>
      </c>
      <c r="B86" s="1728">
        <f>估价对象房地状况!G20</f>
        <v>0</v>
      </c>
      <c r="C86" s="2771"/>
      <c r="D86" s="1289">
        <f t="shared" si="27"/>
        <v>0</v>
      </c>
      <c r="E86" s="826"/>
      <c r="F86" s="2503"/>
      <c r="G86" s="1287"/>
      <c r="H86" s="1291" t="str">
        <f t="shared" si="28"/>
        <v>——</v>
      </c>
      <c r="I86" s="820">
        <v>0.15</v>
      </c>
      <c r="J86" s="1288">
        <f t="shared" si="29"/>
        <v>0</v>
      </c>
      <c r="K86" s="1288">
        <f t="shared" si="30"/>
        <v>0</v>
      </c>
      <c r="L86" s="1288">
        <v>0</v>
      </c>
      <c r="M86" s="1288">
        <f t="shared" si="31"/>
        <v>0</v>
      </c>
      <c r="N86" s="1288">
        <f t="shared" si="31"/>
        <v>0</v>
      </c>
      <c r="Z86" s="2721"/>
      <c r="AA86" s="2797"/>
      <c r="AG86" s="1375"/>
      <c r="AK86" s="2797"/>
    </row>
    <row r="87" spans="1:37" ht="25.5" hidden="1">
      <c r="A87" s="2879" t="s">
        <v>2936</v>
      </c>
      <c r="B87" s="2885" t="s">
        <v>2950</v>
      </c>
      <c r="C87" s="2771"/>
      <c r="D87" s="1289">
        <f t="shared" si="27"/>
        <v>0</v>
      </c>
      <c r="E87" s="826"/>
      <c r="F87" s="2503"/>
      <c r="G87" s="1287"/>
      <c r="H87" s="1291" t="str">
        <f t="shared" si="28"/>
        <v>——</v>
      </c>
      <c r="I87" s="820">
        <v>0.05</v>
      </c>
      <c r="J87" s="1288">
        <f t="shared" si="29"/>
        <v>0</v>
      </c>
      <c r="K87" s="1288">
        <f t="shared" si="30"/>
        <v>0</v>
      </c>
      <c r="L87" s="1288">
        <v>0</v>
      </c>
      <c r="M87" s="1288">
        <f t="shared" si="31"/>
        <v>0</v>
      </c>
      <c r="N87" s="1288">
        <f t="shared" si="31"/>
        <v>0</v>
      </c>
      <c r="Z87" s="2721"/>
      <c r="AA87" s="2797"/>
      <c r="AG87" s="1375"/>
      <c r="AK87" s="2797"/>
    </row>
    <row r="88" spans="1:37" ht="13.9" hidden="1" thickBot="1">
      <c r="A88" s="2887" t="s">
        <v>2951</v>
      </c>
      <c r="B88" s="2892">
        <f>估价对象房地状况!G18</f>
        <v>0</v>
      </c>
      <c r="C88" s="2771"/>
      <c r="D88" s="1289">
        <f t="shared" si="27"/>
        <v>0</v>
      </c>
      <c r="E88" s="827"/>
      <c r="F88" s="2503"/>
      <c r="G88" s="1287"/>
      <c r="H88" s="1291" t="str">
        <f t="shared" si="28"/>
        <v>——</v>
      </c>
      <c r="I88" s="824">
        <v>0.06</v>
      </c>
      <c r="J88" s="1288">
        <f t="shared" si="29"/>
        <v>0</v>
      </c>
      <c r="K88" s="1288">
        <f t="shared" si="30"/>
        <v>0</v>
      </c>
      <c r="L88" s="1288">
        <v>0</v>
      </c>
      <c r="M88" s="1288">
        <f t="shared" si="31"/>
        <v>0</v>
      </c>
      <c r="N88" s="1288">
        <f t="shared" si="31"/>
        <v>0</v>
      </c>
      <c r="Z88" s="2721"/>
      <c r="AA88" s="2797"/>
      <c r="AG88" s="1375"/>
      <c r="AK88" s="2797"/>
    </row>
    <row r="89" spans="1:37" hidden="1"/>
    <row r="90" spans="1:37" ht="13.15" hidden="1">
      <c r="A90" s="3313" t="s">
        <v>2952</v>
      </c>
      <c r="B90" s="3313"/>
      <c r="C90" s="3313"/>
      <c r="D90" s="3313"/>
      <c r="E90" s="3313"/>
      <c r="F90" s="3313"/>
      <c r="G90" s="3313"/>
      <c r="H90" s="3313"/>
      <c r="I90" s="3313"/>
      <c r="J90" s="3313"/>
      <c r="K90" s="2950"/>
      <c r="L90" s="2950"/>
      <c r="M90" s="2950"/>
      <c r="N90" s="2950"/>
    </row>
    <row r="91" spans="1:37" hidden="1">
      <c r="A91" s="3315" t="s">
        <v>2953</v>
      </c>
      <c r="B91" s="3315" t="s">
        <v>2954</v>
      </c>
      <c r="C91" s="2847" t="s">
        <v>2955</v>
      </c>
      <c r="D91" s="2848"/>
      <c r="E91" s="2848"/>
      <c r="F91" s="2848"/>
      <c r="G91" s="2848"/>
      <c r="H91" s="2848"/>
      <c r="I91" s="2848"/>
      <c r="J91" s="2894"/>
      <c r="K91" s="2895"/>
      <c r="L91" s="2895"/>
      <c r="M91" s="2895"/>
      <c r="N91" s="2895"/>
    </row>
    <row r="92" spans="1:37" hidden="1">
      <c r="A92" s="3315"/>
      <c r="B92" s="3315"/>
      <c r="C92" s="2952" t="s">
        <v>2822</v>
      </c>
      <c r="D92" s="2952" t="s">
        <v>2823</v>
      </c>
      <c r="E92" s="2952" t="s">
        <v>2824</v>
      </c>
      <c r="F92" s="2952" t="s">
        <v>2825</v>
      </c>
      <c r="G92" s="2952" t="s">
        <v>2826</v>
      </c>
      <c r="H92" s="2952" t="s">
        <v>2827</v>
      </c>
      <c r="I92" s="2952" t="s">
        <v>2828</v>
      </c>
      <c r="J92" s="2952" t="s">
        <v>2829</v>
      </c>
      <c r="K92" s="2952" t="s">
        <v>2830</v>
      </c>
      <c r="L92" s="2952" t="s">
        <v>2831</v>
      </c>
      <c r="M92" s="2952" t="s">
        <v>2832</v>
      </c>
      <c r="N92" s="2952" t="s">
        <v>2833</v>
      </c>
    </row>
    <row r="93" spans="1:37" hidden="1">
      <c r="A93" s="3316" t="s">
        <v>2956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hidden="1">
      <c r="A94" s="331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hidden="1">
      <c r="A95" s="331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hidden="1">
      <c r="A96" s="331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hidden="1">
      <c r="A97" s="331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hidden="1">
      <c r="A98" s="331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hidden="1">
      <c r="A99" s="3317"/>
      <c r="B99" s="2896" t="s">
        <v>2838</v>
      </c>
      <c r="C99" s="2898">
        <f>$I$3</f>
        <v>0</v>
      </c>
      <c r="D99" s="2898">
        <f t="shared" ref="D99:M99" si="32">$I$3</f>
        <v>0</v>
      </c>
      <c r="E99" s="2898">
        <f t="shared" si="32"/>
        <v>0</v>
      </c>
      <c r="F99" s="2898">
        <f t="shared" si="32"/>
        <v>0</v>
      </c>
      <c r="G99" s="2898">
        <f t="shared" si="32"/>
        <v>0</v>
      </c>
      <c r="H99" s="2898">
        <f t="shared" si="32"/>
        <v>0</v>
      </c>
      <c r="I99" s="2898">
        <f t="shared" si="32"/>
        <v>0</v>
      </c>
      <c r="J99" s="2898">
        <f t="shared" si="32"/>
        <v>0</v>
      </c>
      <c r="K99" s="2898">
        <f t="shared" si="32"/>
        <v>0</v>
      </c>
      <c r="L99" s="2898">
        <f t="shared" si="32"/>
        <v>0</v>
      </c>
      <c r="M99" s="2898">
        <f t="shared" si="32"/>
        <v>0</v>
      </c>
      <c r="N99" s="2898">
        <f>$I$3</f>
        <v>0</v>
      </c>
    </row>
    <row r="100" spans="1:14" hidden="1">
      <c r="A100" s="331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hidden="1">
      <c r="A101" s="3316" t="s">
        <v>2957</v>
      </c>
      <c r="B101" s="2900" t="s">
        <v>2958</v>
      </c>
      <c r="C101" s="2901">
        <f>$G$3</f>
        <v>1.79</v>
      </c>
      <c r="D101" s="2901">
        <f t="shared" ref="D101:N101" si="33">$G$3</f>
        <v>1.79</v>
      </c>
      <c r="E101" s="2901">
        <f t="shared" si="33"/>
        <v>1.79</v>
      </c>
      <c r="F101" s="2901">
        <f t="shared" si="33"/>
        <v>1.79</v>
      </c>
      <c r="G101" s="2901">
        <f t="shared" si="33"/>
        <v>1.79</v>
      </c>
      <c r="H101" s="2901">
        <f t="shared" si="33"/>
        <v>1.79</v>
      </c>
      <c r="I101" s="2901">
        <f t="shared" si="33"/>
        <v>1.79</v>
      </c>
      <c r="J101" s="2901">
        <f t="shared" si="33"/>
        <v>1.79</v>
      </c>
      <c r="K101" s="2901">
        <f t="shared" si="33"/>
        <v>1.79</v>
      </c>
      <c r="L101" s="2901">
        <f t="shared" si="33"/>
        <v>1.79</v>
      </c>
      <c r="M101" s="2901">
        <f t="shared" si="33"/>
        <v>1.79</v>
      </c>
      <c r="N101" s="2901">
        <f t="shared" si="33"/>
        <v>1.79</v>
      </c>
    </row>
    <row r="102" spans="1:14" hidden="1">
      <c r="A102" s="3317"/>
      <c r="B102" s="2896">
        <v>1</v>
      </c>
      <c r="C102" s="2897">
        <f>1.9362/C101</f>
        <v>1.0816759776536313</v>
      </c>
      <c r="D102" s="2897">
        <f>1.9362/D101</f>
        <v>1.0816759776536313</v>
      </c>
      <c r="E102" s="2897">
        <f>1.8629/E101</f>
        <v>1.0407262569832403</v>
      </c>
      <c r="F102" s="2897">
        <f>1.8629/F101</f>
        <v>1.0407262569832403</v>
      </c>
      <c r="G102" s="2897">
        <f>1.8629/G101</f>
        <v>1.0407262569832403</v>
      </c>
      <c r="H102" s="2897">
        <f>1.8629/H101</f>
        <v>1.0407262569832403</v>
      </c>
      <c r="I102" s="2897">
        <f>1.8629/I101</f>
        <v>1.0407262569832403</v>
      </c>
      <c r="J102" s="2897">
        <f>1.942/J101</f>
        <v>1.0849162011173183</v>
      </c>
      <c r="K102" s="2897">
        <f>1.942/K101</f>
        <v>1.0849162011173183</v>
      </c>
      <c r="L102" s="2897">
        <f>1.942/L101</f>
        <v>1.0849162011173183</v>
      </c>
      <c r="M102" s="2897">
        <f>1.942/M101</f>
        <v>1.0849162011173183</v>
      </c>
      <c r="N102" s="2897">
        <f>1.942/N101</f>
        <v>1.0849162011173183</v>
      </c>
    </row>
    <row r="103" spans="1:14" hidden="1">
      <c r="A103" s="3317"/>
      <c r="B103" s="2896">
        <v>2</v>
      </c>
      <c r="C103" s="2897">
        <f>1.4198/C101</f>
        <v>0.79318435754189942</v>
      </c>
      <c r="D103" s="2897">
        <f>1.4198/D101</f>
        <v>0.79318435754189942</v>
      </c>
      <c r="E103" s="2897">
        <f>1.3372/E101</f>
        <v>0.74703910614525137</v>
      </c>
      <c r="F103" s="2897">
        <f>1.3372/F101</f>
        <v>0.74703910614525137</v>
      </c>
      <c r="G103" s="2897">
        <f>1.3372/G101</f>
        <v>0.74703910614525137</v>
      </c>
      <c r="H103" s="2897">
        <f>1.3372/H101</f>
        <v>0.74703910614525137</v>
      </c>
      <c r="I103" s="2897">
        <f>1.3372/I101</f>
        <v>0.74703910614525137</v>
      </c>
      <c r="J103" s="2897">
        <f>1.2799/J101</f>
        <v>0.71502793296089384</v>
      </c>
      <c r="K103" s="2897">
        <f>1.2799/K101</f>
        <v>0.71502793296089384</v>
      </c>
      <c r="L103" s="2897">
        <f>1.2799/L101</f>
        <v>0.71502793296089384</v>
      </c>
      <c r="M103" s="2897">
        <f>1.2799/M101</f>
        <v>0.71502793296089384</v>
      </c>
      <c r="N103" s="2897">
        <f>1.2799/N101</f>
        <v>0.71502793296089384</v>
      </c>
    </row>
    <row r="104" spans="1:14" hidden="1">
      <c r="A104" s="3317"/>
      <c r="B104" s="2896">
        <v>3</v>
      </c>
      <c r="C104" s="2897">
        <f>1.1594/C101</f>
        <v>0.6477094972067039</v>
      </c>
      <c r="D104" s="2897">
        <f>1.1594/D101</f>
        <v>0.6477094972067039</v>
      </c>
      <c r="E104" s="2897">
        <f>1.0788/E101</f>
        <v>0.60268156424580999</v>
      </c>
      <c r="F104" s="2897">
        <f>1.0788/F101</f>
        <v>0.60268156424580999</v>
      </c>
      <c r="G104" s="2897">
        <f>1.0788/G101</f>
        <v>0.60268156424580999</v>
      </c>
      <c r="H104" s="2897">
        <f>1.0788/H101</f>
        <v>0.60268156424580999</v>
      </c>
      <c r="I104" s="2897">
        <f>1.0788/I101</f>
        <v>0.60268156424580999</v>
      </c>
      <c r="J104" s="2897">
        <f>1.0072/J101</f>
        <v>0.56268156424581006</v>
      </c>
      <c r="K104" s="2897">
        <f>1.0072/K101</f>
        <v>0.56268156424581006</v>
      </c>
      <c r="L104" s="2897">
        <f>1.0072/L101</f>
        <v>0.56268156424581006</v>
      </c>
      <c r="M104" s="2897">
        <f>1.0072/M101</f>
        <v>0.56268156424581006</v>
      </c>
      <c r="N104" s="2897">
        <f>1.0072/N101</f>
        <v>0.56268156424581006</v>
      </c>
    </row>
    <row r="105" spans="1:14" hidden="1">
      <c r="A105" s="3317"/>
      <c r="B105" s="2896">
        <v>4</v>
      </c>
      <c r="C105" s="2897">
        <f>0.9622/C101</f>
        <v>0.53754189944134079</v>
      </c>
      <c r="D105" s="2897">
        <f>0.9622/D101</f>
        <v>0.53754189944134079</v>
      </c>
      <c r="E105" s="2897">
        <f>0.8656/E101</f>
        <v>0.48357541899441342</v>
      </c>
      <c r="F105" s="2897">
        <f>0.8656/F101</f>
        <v>0.48357541899441342</v>
      </c>
      <c r="G105" s="2897">
        <f>0.8656/G101</f>
        <v>0.48357541899441342</v>
      </c>
      <c r="H105" s="2897">
        <f>0.8656/H101</f>
        <v>0.48357541899441342</v>
      </c>
      <c r="I105" s="2897">
        <f>0.8656/I101</f>
        <v>0.48357541899441342</v>
      </c>
      <c r="J105" s="2897">
        <f>0.7525/J101</f>
        <v>0.42039106145251393</v>
      </c>
      <c r="K105" s="2897">
        <f>0.7525/K101</f>
        <v>0.42039106145251393</v>
      </c>
      <c r="L105" s="2897">
        <f>0.7525/L101</f>
        <v>0.42039106145251393</v>
      </c>
      <c r="M105" s="2897">
        <f>0.7525/M101</f>
        <v>0.42039106145251393</v>
      </c>
      <c r="N105" s="2897">
        <f>0.7525/N101</f>
        <v>0.42039106145251393</v>
      </c>
    </row>
    <row r="106" spans="1:14" hidden="1">
      <c r="A106" s="3317"/>
      <c r="B106" s="2896">
        <v>5</v>
      </c>
      <c r="C106" s="2897">
        <f>0.8417/C101</f>
        <v>0.47022346368715084</v>
      </c>
      <c r="D106" s="2897">
        <f>0.8417/D101</f>
        <v>0.47022346368715084</v>
      </c>
      <c r="E106" s="2897">
        <f>0.7371/E101</f>
        <v>0.41178770949720667</v>
      </c>
      <c r="F106" s="2897">
        <f>0.7371/F101</f>
        <v>0.41178770949720667</v>
      </c>
      <c r="G106" s="2897">
        <f>0.7371/G101</f>
        <v>0.41178770949720667</v>
      </c>
      <c r="H106" s="2897">
        <f>0.7371/H101</f>
        <v>0.41178770949720667</v>
      </c>
      <c r="I106" s="2897">
        <f>0.7371/I101</f>
        <v>0.41178770949720667</v>
      </c>
      <c r="J106" s="2897">
        <f>0.5659/J101</f>
        <v>0.31614525139664801</v>
      </c>
      <c r="K106" s="2897">
        <f>0.5659/K101</f>
        <v>0.31614525139664801</v>
      </c>
      <c r="L106" s="2897">
        <f>0.5659/L101</f>
        <v>0.31614525139664801</v>
      </c>
      <c r="M106" s="2897">
        <f>0.5659/M101</f>
        <v>0.31614525139664801</v>
      </c>
      <c r="N106" s="2897">
        <f>0.5659/N101</f>
        <v>0.31614525139664801</v>
      </c>
    </row>
    <row r="107" spans="1:14" hidden="1">
      <c r="A107" s="3317"/>
      <c r="B107" s="2896">
        <v>6</v>
      </c>
      <c r="C107" s="2897">
        <f>0.7608/C101</f>
        <v>0.42502793296089386</v>
      </c>
      <c r="D107" s="2897">
        <f>0.7608/D101</f>
        <v>0.42502793296089386</v>
      </c>
      <c r="E107" s="2897">
        <f>0.6482/E101</f>
        <v>0.36212290502793293</v>
      </c>
      <c r="F107" s="2897">
        <f>0.6482/F101</f>
        <v>0.36212290502793293</v>
      </c>
      <c r="G107" s="2897">
        <f>0.6482/G101</f>
        <v>0.36212290502793293</v>
      </c>
      <c r="H107" s="2897">
        <f>0.6482/H101</f>
        <v>0.36212290502793293</v>
      </c>
      <c r="I107" s="2897">
        <f>0.6482/I101</f>
        <v>0.36212290502793293</v>
      </c>
      <c r="J107" s="2897">
        <f>0.4525/J101</f>
        <v>0.2527932960893855</v>
      </c>
      <c r="K107" s="2897">
        <f>0.4525/K101</f>
        <v>0.2527932960893855</v>
      </c>
      <c r="L107" s="2897">
        <f>0.4525/L101</f>
        <v>0.2527932960893855</v>
      </c>
      <c r="M107" s="2897">
        <f>0.4525/M101</f>
        <v>0.2527932960893855</v>
      </c>
      <c r="N107" s="2897">
        <f>0.4525/N101</f>
        <v>0.2527932960893855</v>
      </c>
    </row>
    <row r="108" spans="1:14" hidden="1">
      <c r="A108" s="3317"/>
      <c r="B108" s="3145" t="s">
        <v>2851</v>
      </c>
      <c r="C108" s="2898">
        <f>C99</f>
        <v>0</v>
      </c>
      <c r="D108" s="2898">
        <f t="shared" ref="D108:N108" si="34">D99</f>
        <v>0</v>
      </c>
      <c r="E108" s="2898">
        <f t="shared" si="34"/>
        <v>0</v>
      </c>
      <c r="F108" s="2898">
        <f t="shared" si="34"/>
        <v>0</v>
      </c>
      <c r="G108" s="2898">
        <f t="shared" si="34"/>
        <v>0</v>
      </c>
      <c r="H108" s="2898">
        <f t="shared" si="34"/>
        <v>0</v>
      </c>
      <c r="I108" s="2898">
        <f t="shared" si="34"/>
        <v>0</v>
      </c>
      <c r="J108" s="2898">
        <f t="shared" si="34"/>
        <v>0</v>
      </c>
      <c r="K108" s="2898">
        <f t="shared" si="34"/>
        <v>0</v>
      </c>
      <c r="L108" s="2898">
        <f t="shared" si="34"/>
        <v>0</v>
      </c>
      <c r="M108" s="2898">
        <f t="shared" si="34"/>
        <v>0</v>
      </c>
      <c r="N108" s="2898">
        <f t="shared" si="34"/>
        <v>0</v>
      </c>
    </row>
    <row r="109" spans="1:14" hidden="1">
      <c r="A109" s="3318"/>
      <c r="B109" s="3146"/>
      <c r="C109" s="2899">
        <f>(-0.163*(C108^2)-0.59*C108+7617)*(10^(-4))/C101</f>
        <v>0.42553072625698324</v>
      </c>
      <c r="D109" s="2899">
        <f>(-0.163*(D108^2)-0.59*D108+7617)*(10^(-4))/D101</f>
        <v>0.42553072625698324</v>
      </c>
      <c r="E109" s="2899">
        <f>(-0.161*(E108^2)-7.509*E108+6533)*(10^(-4))/E101</f>
        <v>0.36497206703910612</v>
      </c>
      <c r="F109" s="2899">
        <f>(-0.161*(F108^2)-7.509*F108+6533)*(10^(-4))/F101</f>
        <v>0.36497206703910612</v>
      </c>
      <c r="G109" s="2899">
        <f>(-0.161*(G108^2)-7.509*G108+6533)*(10^(-4))/G101</f>
        <v>0.36497206703910612</v>
      </c>
      <c r="H109" s="2899">
        <f>(-0.161*(H108^2)-7.509*H108+6533)*(10^(-4))/H101</f>
        <v>0.36497206703910612</v>
      </c>
      <c r="I109" s="2899">
        <f>(-0.161*(I108^2)-7.509*I108+6533)*(10^(-4))/I101</f>
        <v>0.36497206703910612</v>
      </c>
      <c r="J109" s="2899">
        <f>(-0.214*(J108^2)-21.991*J108+4665)*(10^(-4))/J101</f>
        <v>0.26061452513966482</v>
      </c>
      <c r="K109" s="2899">
        <f>(-0.214*(K108^2)-21.991*K108+4665)*(10^(-4))/K101</f>
        <v>0.26061452513966482</v>
      </c>
      <c r="L109" s="2899">
        <f>(-0.214*(L108^2)-21.991*L108+4665)*(10^(-4))/L101</f>
        <v>0.26061452513966482</v>
      </c>
      <c r="M109" s="2899">
        <f>(-0.214*(M108^2)-21.991*M108+4665)*(10^(-4))/M101</f>
        <v>0.26061452513966482</v>
      </c>
      <c r="N109" s="2899">
        <f>(-0.214*(N108^2)-21.991*N108+4665)*(10^(-4))/N101</f>
        <v>0.26061452513966482</v>
      </c>
    </row>
    <row r="110" spans="1:14" hidden="1">
      <c r="A110" s="3314" t="s">
        <v>2960</v>
      </c>
      <c r="B110" s="3314"/>
      <c r="C110" s="3314"/>
      <c r="D110" s="3314"/>
      <c r="E110" s="3314"/>
      <c r="F110" s="3314"/>
      <c r="G110" s="3314"/>
      <c r="H110" s="3314"/>
      <c r="I110" s="3314"/>
      <c r="J110" s="3314"/>
      <c r="K110" s="2951"/>
      <c r="L110" s="2951"/>
      <c r="M110" s="2951"/>
      <c r="N110" s="2951"/>
    </row>
    <row r="111" spans="1:14" hidden="1"/>
    <row r="112" spans="1:14" hidden="1"/>
    <row r="113" spans="1:13" ht="25.5" hidden="1">
      <c r="A113" s="903" t="s">
        <v>2961</v>
      </c>
      <c r="B113" s="1290">
        <f>G3</f>
        <v>1.79</v>
      </c>
      <c r="C113" s="904" t="s">
        <v>2962</v>
      </c>
      <c r="D113" s="905">
        <f>SUMPRODUCT((A115:A118=F113)*(B114:M114=H113)*B115:M118)</f>
        <v>0.83340000000000003</v>
      </c>
      <c r="E113" s="2725" t="s">
        <v>2796</v>
      </c>
      <c r="F113" s="3394" t="str">
        <f>E2</f>
        <v>办公</v>
      </c>
      <c r="G113" s="2725" t="s">
        <v>2797</v>
      </c>
      <c r="H113" s="3394" t="str">
        <f>G2</f>
        <v>六级</v>
      </c>
      <c r="I113" s="2725"/>
      <c r="J113" s="2905"/>
      <c r="K113" s="2905"/>
      <c r="L113" s="2905"/>
      <c r="M113" s="2905"/>
    </row>
    <row r="114" spans="1:13" hidden="1">
      <c r="A114" s="908"/>
      <c r="B114" s="3395" t="s">
        <v>2963</v>
      </c>
      <c r="C114" s="3395" t="s">
        <v>2964</v>
      </c>
      <c r="D114" s="3395" t="s">
        <v>2965</v>
      </c>
      <c r="E114" s="3396" t="s">
        <v>2966</v>
      </c>
      <c r="F114" s="3396" t="s">
        <v>2967</v>
      </c>
      <c r="G114" s="3396" t="s">
        <v>2968</v>
      </c>
      <c r="H114" s="3397" t="s">
        <v>2969</v>
      </c>
      <c r="I114" s="3397" t="s">
        <v>2970</v>
      </c>
      <c r="J114" s="3398" t="s">
        <v>2971</v>
      </c>
      <c r="K114" s="3398" t="s">
        <v>2972</v>
      </c>
      <c r="L114" s="3398" t="s">
        <v>2973</v>
      </c>
      <c r="M114" s="3399" t="s">
        <v>2974</v>
      </c>
    </row>
    <row r="115" spans="1:13" hidden="1">
      <c r="A115" s="909" t="s">
        <v>2860</v>
      </c>
      <c r="B115" s="910">
        <f>ROUND(0.9335-0.0094*B113,4)</f>
        <v>0.91669999999999996</v>
      </c>
      <c r="C115" s="910">
        <f>B115</f>
        <v>0.91669999999999996</v>
      </c>
      <c r="D115" s="910">
        <f>ROUND(0.8331-0.0109*B113,4)</f>
        <v>0.81359999999999999</v>
      </c>
      <c r="E115" s="910">
        <f>D115</f>
        <v>0.81359999999999999</v>
      </c>
      <c r="F115" s="910">
        <f>E115</f>
        <v>0.81359999999999999</v>
      </c>
      <c r="G115" s="910">
        <f>F115</f>
        <v>0.81359999999999999</v>
      </c>
      <c r="H115" s="910">
        <f>G115</f>
        <v>0.81359999999999999</v>
      </c>
      <c r="I115" s="910">
        <f>ROUND(0.689-0.0155*B113,4)</f>
        <v>0.6613</v>
      </c>
      <c r="J115" s="910">
        <f t="shared" ref="J115:M118" si="35">I115</f>
        <v>0.6613</v>
      </c>
      <c r="K115" s="910">
        <f t="shared" si="35"/>
        <v>0.6613</v>
      </c>
      <c r="L115" s="910">
        <f t="shared" si="35"/>
        <v>0.6613</v>
      </c>
      <c r="M115" s="911">
        <f t="shared" si="35"/>
        <v>0.6613</v>
      </c>
    </row>
    <row r="116" spans="1:13" hidden="1">
      <c r="A116" s="909" t="s">
        <v>2861</v>
      </c>
      <c r="B116" s="910">
        <f>ROUND(0.949-0.012*B113,4)</f>
        <v>0.92749999999999999</v>
      </c>
      <c r="C116" s="910">
        <f>B116</f>
        <v>0.92749999999999999</v>
      </c>
      <c r="D116" s="910">
        <f>ROUND(0.8567-0.013*B113,4)</f>
        <v>0.83340000000000003</v>
      </c>
      <c r="E116" s="910">
        <f t="shared" ref="E116:H117" si="36">D116</f>
        <v>0.83340000000000003</v>
      </c>
      <c r="F116" s="910">
        <f t="shared" si="36"/>
        <v>0.83340000000000003</v>
      </c>
      <c r="G116" s="910">
        <f t="shared" si="36"/>
        <v>0.83340000000000003</v>
      </c>
      <c r="H116" s="910">
        <f t="shared" si="36"/>
        <v>0.83340000000000003</v>
      </c>
      <c r="I116" s="910">
        <f>ROUND(0.7694-0.014*B113,4)</f>
        <v>0.74429999999999996</v>
      </c>
      <c r="J116" s="910">
        <f t="shared" si="35"/>
        <v>0.74429999999999996</v>
      </c>
      <c r="K116" s="910">
        <f t="shared" si="35"/>
        <v>0.74429999999999996</v>
      </c>
      <c r="L116" s="910">
        <f t="shared" si="35"/>
        <v>0.74429999999999996</v>
      </c>
      <c r="M116" s="911">
        <f t="shared" si="35"/>
        <v>0.74429999999999996</v>
      </c>
    </row>
    <row r="117" spans="1:13" hidden="1">
      <c r="A117" s="909" t="s">
        <v>2862</v>
      </c>
      <c r="B117" s="910">
        <f>ROUND(0.8808-0.006*B113,4)</f>
        <v>0.87009999999999998</v>
      </c>
      <c r="C117" s="910">
        <f>B117</f>
        <v>0.87009999999999998</v>
      </c>
      <c r="D117" s="910">
        <f>ROUND(0.8748-0.008*B113,4)</f>
        <v>0.86050000000000004</v>
      </c>
      <c r="E117" s="910">
        <f t="shared" si="36"/>
        <v>0.86050000000000004</v>
      </c>
      <c r="F117" s="910">
        <f t="shared" si="36"/>
        <v>0.86050000000000004</v>
      </c>
      <c r="G117" s="910">
        <f t="shared" si="36"/>
        <v>0.86050000000000004</v>
      </c>
      <c r="H117" s="910">
        <f t="shared" si="36"/>
        <v>0.86050000000000004</v>
      </c>
      <c r="I117" s="910">
        <f>ROUND(0.7412-0.0095*B113,4)</f>
        <v>0.72419999999999995</v>
      </c>
      <c r="J117" s="910">
        <f t="shared" si="35"/>
        <v>0.72419999999999995</v>
      </c>
      <c r="K117" s="910">
        <f t="shared" si="35"/>
        <v>0.72419999999999995</v>
      </c>
      <c r="L117" s="910">
        <f t="shared" si="35"/>
        <v>0.72419999999999995</v>
      </c>
      <c r="M117" s="911">
        <f t="shared" si="35"/>
        <v>0.72419999999999995</v>
      </c>
    </row>
    <row r="118" spans="1:13" ht="13.15" hidden="1" thickBot="1">
      <c r="A118" s="714" t="s">
        <v>2863</v>
      </c>
      <c r="B118" s="912">
        <f>ROUND(0.7275-0.01*B113,4)</f>
        <v>0.70960000000000001</v>
      </c>
      <c r="C118" s="912">
        <f>B118</f>
        <v>0.70960000000000001</v>
      </c>
      <c r="D118" s="912">
        <f>ROUND(0.7043-0.012*B113,4)</f>
        <v>0.68279999999999996</v>
      </c>
      <c r="E118" s="912">
        <f>D118</f>
        <v>0.68279999999999996</v>
      </c>
      <c r="F118" s="912">
        <f>E118</f>
        <v>0.68279999999999996</v>
      </c>
      <c r="G118" s="912">
        <f>ROUND(0.6299-0.0122*B113,4)</f>
        <v>0.60809999999999997</v>
      </c>
      <c r="H118" s="912">
        <f>G118</f>
        <v>0.60809999999999997</v>
      </c>
      <c r="I118" s="912">
        <f>ROUND(0.5667-0.0136*B113,4)</f>
        <v>0.54239999999999999</v>
      </c>
      <c r="J118" s="912">
        <f t="shared" si="35"/>
        <v>0.54239999999999999</v>
      </c>
      <c r="K118" s="912">
        <f t="shared" si="35"/>
        <v>0.54239999999999999</v>
      </c>
      <c r="L118" s="912">
        <f t="shared" si="35"/>
        <v>0.54239999999999999</v>
      </c>
      <c r="M118" s="913">
        <f t="shared" si="35"/>
        <v>0.54239999999999999</v>
      </c>
    </row>
    <row r="119" spans="1:13" hidden="1"/>
  </sheetData>
  <sheetProtection algorithmName="SHA-512" hashValue="RBIz0Ad8A7ekqo7xlLPfJXtWJuTx5mrC1eryljL29PiVimVk6fIUjj3yJ0YcmLo2yFiQpn84fUdqSSFZmyEjIg==" saltValue="fI/ACdobWqZwYuwsdSv0EQ==" spinCount="100000"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H19" xr:uid="{4479593F-19EC-41D9-9E05-23C6098D380F}">
      <formula1>"地价指数,季度增幅（自定义）,按公示增长率计算"</formula1>
    </dataValidation>
    <dataValidation type="list" allowBlank="1" showInputMessage="1" showErrorMessage="1" sqref="C81:C88 C70:C78 C48:C56 C59:C67" xr:uid="{951FB7F3-E18D-44E5-B0DC-205E6193E6CC}">
      <formula1>五等判定</formula1>
    </dataValidation>
    <dataValidation type="list" allowBlank="1" showInputMessage="1" showErrorMessage="1" sqref="E3" xr:uid="{25A4616F-E0C8-4C36-A0FF-945F3F0DC1C7}">
      <formula1>二级分类</formula1>
    </dataValidation>
    <dataValidation type="list" allowBlank="1" showInputMessage="1" showErrorMessage="1" sqref="C8" xr:uid="{FA69EE45-C98A-4510-9908-1B5EDEBE23CB}">
      <formula1>商业街名称</formula1>
    </dataValidation>
    <dataValidation type="list" allowBlank="1" showInputMessage="1" showErrorMessage="1" sqref="F3" xr:uid="{CAB6745A-B99E-4279-A126-1EABBD1B3427}">
      <formula1>"宗地容积率,估价对象容积率,自定义容积率"</formula1>
    </dataValidation>
    <dataValidation type="list" allowBlank="1" showInputMessage="1" showErrorMessage="1" sqref="E2" xr:uid="{A1977416-8FDF-4AF2-9D8F-E8768CB22629}">
      <formula1>"商业,办公,住宅,工业"</formula1>
    </dataValidation>
    <dataValidation type="list" allowBlank="1" showInputMessage="1" showErrorMessage="1" sqref="E16" xr:uid="{A3E0470D-62C6-43AC-97BA-26BFAFF6E826}">
      <formula1>"三通一平,四通一平,五通一平,六通一平,七通一平"</formula1>
    </dataValidation>
    <dataValidation type="list" allowBlank="1" showInputMessage="1" showErrorMessage="1" sqref="F16" xr:uid="{2C19D1D4-4F09-4B57-A873-8784A04E6A69}">
      <formula1>"缺少,增加,一致"</formula1>
    </dataValidation>
    <dataValidation type="list" allowBlank="1" showInputMessage="1" showErrorMessage="1" sqref="G16:J16" xr:uid="{FC556901-E5B2-4C0F-A1F7-D430150BFCE1}">
      <formula1>七通一平</formula1>
    </dataValidation>
    <dataValidation type="list" allowBlank="1" showInputMessage="1" showErrorMessage="1" sqref="B21" xr:uid="{299A7B1C-7ED8-4340-86A2-0436E91EB202}">
      <formula1>"容积率修正,楼层修正"</formula1>
    </dataValidation>
    <dataValidation type="list" allowBlank="1" showInputMessage="1" showErrorMessage="1" sqref="C14:E14" xr:uid="{A46B7687-BD21-476D-993C-CFFE6B76CF34}">
      <formula1>"有,无"</formula1>
    </dataValidation>
    <dataValidation type="list" allowBlank="1" showInputMessage="1" showErrorMessage="1" sqref="F14" xr:uid="{0BA59648-93E5-4A75-BECE-9371137EC66F}">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100" zoomScaleSheetLayoutView="100" workbookViewId="0">
      <selection activeCell="M13" sqref="M13"/>
    </sheetView>
  </sheetViews>
  <sheetFormatPr defaultColWidth="6.59765625" defaultRowHeight="12.75"/>
  <cols>
    <col min="1" max="1" width="9.73046875" style="798" customWidth="1"/>
    <col min="2" max="2" width="25.73046875" style="955" customWidth="1"/>
    <col min="3" max="3" width="10.3984375" style="998" customWidth="1"/>
    <col min="4" max="4" width="9.86328125" style="955" customWidth="1"/>
    <col min="5" max="5" width="9.46484375" style="798" customWidth="1"/>
    <col min="6" max="6" width="10.1328125" style="955" customWidth="1"/>
    <col min="7" max="7" width="10.73046875" style="955" customWidth="1"/>
    <col min="8" max="8" width="10" style="955" customWidth="1"/>
    <col min="9" max="11" width="9.46484375" style="955" customWidth="1"/>
    <col min="12" max="12" width="9" style="955" customWidth="1"/>
    <col min="13" max="13" width="10.46484375" style="955" bestFit="1" customWidth="1"/>
    <col min="14" max="254" width="9" style="955" customWidth="1"/>
    <col min="255" max="16384" width="6.59765625" style="955"/>
  </cols>
  <sheetData>
    <row r="1" spans="1:33" ht="20.65">
      <c r="A1" s="240" t="s">
        <v>2444</v>
      </c>
      <c r="B1" s="1584"/>
      <c r="C1" s="1585"/>
      <c r="D1" s="1583"/>
      <c r="E1" s="320"/>
      <c r="F1" s="320"/>
      <c r="G1" s="1584"/>
      <c r="H1" s="320"/>
      <c r="I1" s="320"/>
      <c r="J1" s="320"/>
      <c r="K1" s="320">
        <f>MATCH(C1,'数据-取费表'!A6:A16,0)+5</f>
        <v>8</v>
      </c>
    </row>
    <row r="2" spans="1:33" ht="18" customHeight="1">
      <c r="A2" s="245" t="s">
        <v>2312</v>
      </c>
      <c r="B2" s="248">
        <f ca="1">C32</f>
        <v>141677</v>
      </c>
      <c r="C2" s="320" t="s">
        <v>2445</v>
      </c>
      <c r="D2" s="320"/>
      <c r="E2" s="320"/>
      <c r="F2" s="320"/>
      <c r="G2" s="320"/>
      <c r="H2" s="320"/>
      <c r="I2" s="320"/>
      <c r="J2" s="320"/>
      <c r="K2" s="320"/>
    </row>
    <row r="3" spans="1:33" ht="18" customHeight="1" thickBot="1">
      <c r="A3" s="247" t="s">
        <v>2314</v>
      </c>
      <c r="B3" s="248">
        <f ca="1">ROUND(B2*10000/IF(C1="",'数据-汇总表'!E3,INDIRECT("'数据-取费表'!K"&amp;$K$1)),0)</f>
        <v>8486</v>
      </c>
      <c r="C3" s="320" t="s">
        <v>2446</v>
      </c>
      <c r="D3" s="320"/>
      <c r="E3" s="320"/>
      <c r="F3" s="320"/>
      <c r="G3" s="320"/>
      <c r="H3" s="320"/>
      <c r="I3" s="320"/>
      <c r="J3" s="320"/>
      <c r="K3" s="320"/>
    </row>
    <row r="4" spans="1:33" s="959" customFormat="1" ht="16.5" customHeight="1">
      <c r="A4" s="956" t="s">
        <v>2447</v>
      </c>
      <c r="B4" s="957"/>
      <c r="C4" s="999">
        <f ca="1">SUM(C8:K8)</f>
        <v>271905</v>
      </c>
      <c r="D4" s="957"/>
      <c r="E4" s="957"/>
      <c r="F4" s="957"/>
      <c r="G4" s="957"/>
      <c r="H4" s="957"/>
      <c r="I4" s="957"/>
      <c r="J4" s="957"/>
      <c r="K4" s="958"/>
    </row>
    <row r="5" spans="1:33" s="963" customFormat="1" ht="13.9">
      <c r="A5" s="960" t="s">
        <v>2448</v>
      </c>
      <c r="B5" s="961" t="s">
        <v>2449</v>
      </c>
      <c r="C5" s="2555"/>
      <c r="D5" s="2555"/>
      <c r="E5" s="2555"/>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hidden="1" customHeight="1">
      <c r="A6" s="964" t="s">
        <v>802</v>
      </c>
      <c r="B6" s="140" t="s">
        <v>2450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hidden="1" customHeight="1">
      <c r="A7" s="964" t="s">
        <v>2451</v>
      </c>
      <c r="B7" s="140" t="s">
        <v>2452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2453</v>
      </c>
      <c r="B8" s="177" t="s">
        <v>2454</v>
      </c>
      <c r="C8" s="1000">
        <f ca="1">收益法!C40</f>
        <v>271905</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2455</v>
      </c>
      <c r="B9" s="957"/>
      <c r="C9" s="957"/>
      <c r="D9" s="957"/>
      <c r="E9" s="957"/>
      <c r="F9" s="957"/>
      <c r="G9" s="957"/>
      <c r="H9" s="957"/>
      <c r="I9" s="957"/>
      <c r="J9" s="957"/>
      <c r="K9" s="958"/>
    </row>
    <row r="10" spans="1:33" s="973" customFormat="1" ht="13.5" customHeight="1">
      <c r="A10" s="960" t="s">
        <v>2456</v>
      </c>
      <c r="B10" s="8" t="s">
        <v>2457</v>
      </c>
      <c r="C10" s="969" t="s">
        <v>2458</v>
      </c>
      <c r="D10" s="970" t="s">
        <v>2459</v>
      </c>
      <c r="E10" s="970" t="s">
        <v>2460</v>
      </c>
      <c r="F10" s="970" t="s">
        <v>2461</v>
      </c>
      <c r="G10" s="8"/>
      <c r="H10" s="971"/>
      <c r="I10" s="971"/>
      <c r="J10" s="971"/>
      <c r="K10" s="972"/>
    </row>
    <row r="11" spans="1:33" s="978" customFormat="1" ht="13.5" customHeight="1">
      <c r="A11" s="974" t="s">
        <v>1334</v>
      </c>
      <c r="B11" s="975" t="s">
        <v>2462</v>
      </c>
      <c r="C11" s="323">
        <f ca="1">IF(C1="",'数据-取费表'!P16,INDIRECT("'数据-取费表'!p"&amp;$K$1)+INDIRECT("'数据-取费表'!ar"&amp;$K$1))</f>
        <v>60106</v>
      </c>
      <c r="D11" s="976"/>
      <c r="E11" s="375"/>
      <c r="F11" s="977">
        <f ca="1">1-IF('数据-取费表'!B24=0,1,IF(C1="",'数据-取费表'!N16,INDIRECT("'数据-取费表'!n"&amp;$K$1)))</f>
        <v>0.9</v>
      </c>
      <c r="G11" s="8"/>
      <c r="H11" s="971"/>
      <c r="I11" s="971"/>
      <c r="J11" s="971"/>
      <c r="K11" s="972"/>
    </row>
    <row r="12" spans="1:33" s="978" customFormat="1" ht="13.5" customHeight="1">
      <c r="A12" s="974" t="s">
        <v>1335</v>
      </c>
      <c r="B12" s="975" t="s">
        <v>2463</v>
      </c>
      <c r="C12" s="24">
        <f ca="1">ROUND(C11*F12,0)</f>
        <v>3005</v>
      </c>
      <c r="D12" s="976"/>
      <c r="E12" s="375"/>
      <c r="F12" s="979">
        <f>'数据-取费表'!B33</f>
        <v>0.05</v>
      </c>
      <c r="G12" s="8" t="s">
        <v>2464</v>
      </c>
      <c r="H12" s="971"/>
      <c r="I12" s="971"/>
      <c r="J12" s="971"/>
      <c r="K12" s="972"/>
    </row>
    <row r="13" spans="1:33" s="978" customFormat="1" ht="13.5" customHeight="1">
      <c r="A13" s="974" t="s">
        <v>1336</v>
      </c>
      <c r="B13" s="975" t="s">
        <v>2465</v>
      </c>
      <c r="C13" s="24">
        <f ca="1">ROUND(IF(C1="",SUMIF('数据-取费表'!C:C,"住宅",'数据-取费表'!P:P)*F13,IF(INDIRECT("'数据-取费表'!c"&amp;$K$1)="住宅",INDIRECT("'数据-取费表'!P"&amp;$K$1)*F13,0)),0)</f>
        <v>0</v>
      </c>
      <c r="D13" s="1036"/>
      <c r="E13" s="375"/>
      <c r="F13" s="979">
        <f>'数据-取费表'!B34</f>
        <v>0</v>
      </c>
      <c r="G13" s="8" t="s">
        <v>2466</v>
      </c>
      <c r="H13" s="971"/>
      <c r="I13" s="971"/>
      <c r="J13" s="971"/>
      <c r="K13" s="972"/>
    </row>
    <row r="14" spans="1:33" s="980" customFormat="1" ht="13.5" customHeight="1">
      <c r="A14" s="974" t="s">
        <v>1337</v>
      </c>
      <c r="B14" s="975" t="s">
        <v>2467</v>
      </c>
      <c r="C14" s="24">
        <f ca="1">ROUND(D14*E14*F11/10000,0)</f>
        <v>3005</v>
      </c>
      <c r="D14" s="1036">
        <f ca="1">IF(C1="",'数据-汇总表'!E3,INDIRECT("'数据-取费表'!K"&amp;$K$1)+INDIRECT("'数据-取费表'!S"&amp;$K$1))</f>
        <v>166960</v>
      </c>
      <c r="E14" s="24">
        <f>'数据-取费表'!B35</f>
        <v>200</v>
      </c>
      <c r="F14" s="979"/>
      <c r="G14" s="8" t="s">
        <v>2468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2469</v>
      </c>
      <c r="C15" s="986">
        <f ca="1">ROUND(C11*F15,0)</f>
        <v>902</v>
      </c>
      <c r="D15" s="981"/>
      <c r="E15" s="986"/>
      <c r="F15" s="987">
        <f>'数据-取费表'!B36</f>
        <v>1.4999999999999999E-2</v>
      </c>
      <c r="G15" s="140" t="s">
        <v>2470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2471</v>
      </c>
      <c r="C16" s="986">
        <f ca="1">SUM(C11:C15)</f>
        <v>67018</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2472</v>
      </c>
      <c r="C17" s="24">
        <f ca="1">ROUND(D17*E17/10000,0)</f>
        <v>2004</v>
      </c>
      <c r="D17" s="1036">
        <f ca="1">D14</f>
        <v>166960</v>
      </c>
      <c r="E17" s="24">
        <f>'数据-取费表'!B32</f>
        <v>120</v>
      </c>
      <c r="F17" s="981"/>
      <c r="G17" s="140" t="s">
        <v>2473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2474</v>
      </c>
      <c r="C18" s="24">
        <f ca="1">C19+C20-IF(C1="",'数据-取费表'!B29,IF(G18="已全部缴纳",C19+C20,H18))</f>
        <v>3339</v>
      </c>
      <c r="D18" s="1036"/>
      <c r="E18" s="24"/>
      <c r="F18" s="979"/>
      <c r="G18" s="2557" t="s">
        <v>3118</v>
      </c>
      <c r="H18" s="1580">
        <v>0</v>
      </c>
      <c r="I18" s="2558" t="s">
        <v>2475</v>
      </c>
      <c r="J18" s="982"/>
      <c r="K18" s="983"/>
    </row>
    <row r="19" spans="1:33" s="978" customFormat="1" ht="13.5" customHeight="1">
      <c r="A19" s="974" t="s">
        <v>805</v>
      </c>
      <c r="B19" s="975" t="s">
        <v>2476</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2477</v>
      </c>
      <c r="C20" s="24">
        <f ca="1">ROUND(D20*E20/10000,0)</f>
        <v>3339</v>
      </c>
      <c r="D20" s="1036">
        <f ca="1">IF(C1="",'数据-汇总表'!E6,IF(INDIRECT("'数据-取费表'!c"&amp;$K$1)="住宅",INDIRECT("'数据-取费表'!s"&amp;$K$1),INDIRECT("'数据-取费表'!k"&amp;$K$1)+INDIRECT("'数据-取费表'!s"&amp;$K$1)))</f>
        <v>166960</v>
      </c>
      <c r="E20" s="24">
        <f>'数据-取费表'!B28</f>
        <v>200</v>
      </c>
      <c r="F20" s="979"/>
      <c r="G20" s="15"/>
      <c r="H20" s="984"/>
      <c r="I20" s="984"/>
      <c r="J20" s="984"/>
      <c r="K20" s="985"/>
    </row>
    <row r="21" spans="1:33" s="978" customFormat="1" ht="13.5" customHeight="1">
      <c r="A21" s="964" t="s">
        <v>802</v>
      </c>
      <c r="B21" s="988" t="s">
        <v>2478</v>
      </c>
      <c r="C21" s="989">
        <f ca="1">C16+C17+C18</f>
        <v>72361</v>
      </c>
      <c r="D21" s="990"/>
      <c r="E21" s="325"/>
      <c r="F21" s="325"/>
      <c r="G21" s="140" t="s">
        <v>2479</v>
      </c>
      <c r="H21" s="982"/>
      <c r="I21" s="982"/>
      <c r="J21" s="982"/>
      <c r="K21" s="983"/>
    </row>
    <row r="22" spans="1:33" s="978" customFormat="1" ht="13.5" customHeight="1">
      <c r="A22" s="964" t="s">
        <v>2451</v>
      </c>
      <c r="B22" s="988" t="s">
        <v>2480</v>
      </c>
      <c r="C22" s="989">
        <f ca="1">ROUND(C21*F22,0)</f>
        <v>1447</v>
      </c>
      <c r="D22" s="325"/>
      <c r="E22" s="325"/>
      <c r="F22" s="991">
        <f>'数据-取费表'!B37</f>
        <v>0.02</v>
      </c>
      <c r="G22" s="8" t="s">
        <v>2481</v>
      </c>
      <c r="H22" s="971"/>
      <c r="I22" s="971"/>
      <c r="J22" s="971"/>
      <c r="K22" s="972"/>
    </row>
    <row r="23" spans="1:33" s="978" customFormat="1" ht="13.5" customHeight="1">
      <c r="A23" s="964" t="s">
        <v>2453</v>
      </c>
      <c r="B23" s="988" t="s">
        <v>2482</v>
      </c>
      <c r="C23" s="989">
        <f ca="1">ROUND(C4*F23*F11,0)</f>
        <v>4894</v>
      </c>
      <c r="D23" s="325"/>
      <c r="E23" s="325"/>
      <c r="F23" s="991">
        <f>'数据-取费表'!B38</f>
        <v>0.02</v>
      </c>
      <c r="G23" s="8" t="s">
        <v>2483</v>
      </c>
      <c r="H23" s="971"/>
      <c r="I23" s="971"/>
      <c r="J23" s="971"/>
      <c r="K23" s="972"/>
    </row>
    <row r="24" spans="1:33" s="978" customFormat="1" ht="13.5" customHeight="1">
      <c r="A24" s="964" t="s">
        <v>2484</v>
      </c>
      <c r="B24" s="988" t="s">
        <v>2485</v>
      </c>
      <c r="C24" s="324">
        <f>ROUND(F24/(1+'数据-取费表'!C42),4)</f>
        <v>2.9000000000000001E-2</v>
      </c>
      <c r="D24" s="325" t="s">
        <v>15</v>
      </c>
      <c r="E24" s="325"/>
      <c r="F24" s="991">
        <f>'数据-取费表'!B48+'数据-取费表'!B49</f>
        <v>3.0499999999999999E-2</v>
      </c>
      <c r="G24" s="8" t="s">
        <v>2486</v>
      </c>
      <c r="H24" s="993"/>
      <c r="I24" s="993"/>
      <c r="J24" s="993"/>
      <c r="K24" s="994"/>
    </row>
    <row r="25" spans="1:33" s="978" customFormat="1" ht="13.5" customHeight="1">
      <c r="A25" s="964" t="s">
        <v>2487</v>
      </c>
      <c r="B25" s="990" t="s">
        <v>2488</v>
      </c>
      <c r="C25" s="1359">
        <f ca="1">C27</f>
        <v>2504</v>
      </c>
      <c r="D25" s="324">
        <f ca="1">C26</f>
        <v>6.6500000000000004E-2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2489</v>
      </c>
      <c r="C26" s="1360">
        <f ca="1">ROUND(IF('数据-取费表'!B22&lt;=1,(1+C24)*F25*'数据-取费表'!B24,(1+C24)*(POWER((1+F25),'数据-取费表'!B24)-1)),4)</f>
        <v>6.6500000000000004E-2</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2490</v>
      </c>
      <c r="C27" s="1361">
        <f ca="1">ROUND(IF('数据-取费表'!B22&lt;=1,(C21+C22+C23)*F25*'数据-取费表'!B24/2,(C21+C22+C23)*(POWER((1+F25),'数据-取费表'!B24/2)-1)),0)</f>
        <v>2504</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2491</v>
      </c>
      <c r="B28" s="2560" t="s">
        <v>2492</v>
      </c>
      <c r="C28" s="331">
        <f ca="1">C30</f>
        <v>7870</v>
      </c>
      <c r="D28" s="324">
        <f ca="1">C29</f>
        <v>9.2600000000000002E-2</v>
      </c>
      <c r="E28" s="326" t="s">
        <v>15</v>
      </c>
      <c r="F28" s="332">
        <f ca="1">IF(C1="",'数据-取费表'!Q16,INDIRECT("'数据-取费表'!q"&amp;$K$1))</f>
        <v>0.1</v>
      </c>
      <c r="G28" s="992"/>
      <c r="H28" s="993"/>
      <c r="I28" s="993"/>
      <c r="J28" s="993"/>
      <c r="K28" s="994"/>
    </row>
    <row r="29" spans="1:33" s="335" customFormat="1" ht="13.5" customHeight="1">
      <c r="A29" s="974" t="s">
        <v>803</v>
      </c>
      <c r="B29" s="997" t="s">
        <v>2493</v>
      </c>
      <c r="C29" s="328">
        <f ca="1">ROUND((1+C24)*F28*'数据-取费表'!B24/'数据-取费表'!B20,4)</f>
        <v>9.2600000000000002E-2</v>
      </c>
      <c r="D29" s="328"/>
      <c r="E29" s="329"/>
      <c r="F29" s="334"/>
      <c r="G29" s="140" t="s">
        <v>2494</v>
      </c>
      <c r="H29" s="982"/>
      <c r="I29" s="982"/>
      <c r="J29" s="982"/>
      <c r="K29" s="983"/>
    </row>
    <row r="30" spans="1:33" s="335" customFormat="1" ht="13.5" customHeight="1">
      <c r="A30" s="974" t="s">
        <v>804</v>
      </c>
      <c r="B30" s="997" t="s">
        <v>2495</v>
      </c>
      <c r="C30" s="336">
        <f ca="1">ROUND((C21+C22+C23)*F28,0)</f>
        <v>7870</v>
      </c>
      <c r="D30" s="328"/>
      <c r="E30" s="329"/>
      <c r="F30" s="334"/>
      <c r="G30" s="140"/>
      <c r="H30" s="982"/>
      <c r="I30" s="982"/>
      <c r="J30" s="982"/>
      <c r="K30" s="983"/>
    </row>
    <row r="31" spans="1:33" s="978" customFormat="1" ht="13.5" customHeight="1" thickBot="1">
      <c r="A31" s="2561" t="s">
        <v>2496</v>
      </c>
      <c r="B31" s="1008" t="s">
        <v>2497</v>
      </c>
      <c r="C31" s="1009">
        <f ca="1">ROUND(C4*F31/(1+'数据-取费表'!C42),0)</f>
        <v>14502</v>
      </c>
      <c r="D31" s="1010"/>
      <c r="E31" s="1011"/>
      <c r="F31" s="1012">
        <f>'数据-取费表'!B41</f>
        <v>5.6000000000000001E-2</v>
      </c>
      <c r="G31" s="1013" t="s">
        <v>2498</v>
      </c>
      <c r="H31" s="1014"/>
      <c r="I31" s="1014"/>
      <c r="J31" s="1014"/>
      <c r="K31" s="1015"/>
    </row>
    <row r="32" spans="1:33" s="973" customFormat="1" ht="13.5" customHeight="1" thickBot="1">
      <c r="A32" s="1003" t="s">
        <v>2499</v>
      </c>
      <c r="B32" s="1004"/>
      <c r="C32" s="1005">
        <f ca="1">ROUND((C4-C21-C22-C23-C25-C28-C31)/(1+C24+D25+D28),0)</f>
        <v>141677</v>
      </c>
      <c r="D32" s="1004"/>
      <c r="E32" s="1004"/>
      <c r="F32" s="1004"/>
      <c r="G32" s="1006" t="s">
        <v>2500</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Normal="90" zoomScaleSheetLayoutView="100" workbookViewId="0">
      <selection activeCell="C14" sqref="C14"/>
    </sheetView>
  </sheetViews>
  <sheetFormatPr defaultColWidth="9" defaultRowHeight="12.75"/>
  <cols>
    <col min="1" max="1" width="9" style="302" customWidth="1"/>
    <col min="2" max="2" width="20.59765625" style="707" customWidth="1"/>
    <col min="3" max="3" width="11.86328125" style="707" customWidth="1"/>
    <col min="4" max="4" width="40.46484375" style="302" customWidth="1"/>
    <col min="5" max="5" width="15.73046875" style="302" customWidth="1"/>
    <col min="6" max="6" width="10.59765625" style="302" customWidth="1"/>
    <col min="7" max="7" width="4.86328125" style="302" customWidth="1"/>
    <col min="8" max="8" width="8.46484375" style="302" customWidth="1"/>
    <col min="9" max="9" width="21.265625" style="302" customWidth="1"/>
    <col min="10" max="10" width="12.265625" style="302" customWidth="1"/>
    <col min="11" max="11" width="45.1328125" style="1938" customWidth="1"/>
    <col min="12" max="12" width="16.3984375" style="302" customWidth="1"/>
    <col min="13" max="13" width="13" style="302" customWidth="1"/>
    <col min="14" max="14" width="13.73046875" style="1845" customWidth="1"/>
    <col min="15" max="15" width="5.1328125" style="1845" customWidth="1"/>
    <col min="16" max="16" width="25.73046875" style="1845" customWidth="1"/>
    <col min="17" max="17" width="13.73046875" style="1845" customWidth="1"/>
    <col min="18" max="18" width="20.46484375" style="1845" customWidth="1"/>
    <col min="19" max="19" width="13.265625" style="1845" customWidth="1"/>
    <col min="20" max="37" width="9" style="1845"/>
    <col min="38" max="16384" width="9" style="302"/>
  </cols>
  <sheetData>
    <row r="1" spans="1:37" s="337" customFormat="1" ht="21.4">
      <c r="A1" s="1836" t="s">
        <v>1588</v>
      </c>
      <c r="B1" s="782"/>
      <c r="C1" s="1840" t="s">
        <v>1377</v>
      </c>
      <c r="D1" s="1823" t="s">
        <v>3121</v>
      </c>
      <c r="E1" s="1824" t="s">
        <v>1387</v>
      </c>
      <c r="F1" s="1286">
        <f ca="1">J53</f>
        <v>30.15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314698</v>
      </c>
      <c r="C2" s="1848" t="s">
        <v>1516</v>
      </c>
      <c r="D2" s="1848"/>
      <c r="E2" s="1849"/>
      <c r="F2" s="1850"/>
      <c r="G2" s="1851"/>
      <c r="H2" s="1843"/>
      <c r="I2" s="1843"/>
      <c r="J2" s="1843"/>
      <c r="K2" s="1844"/>
      <c r="L2" s="1843"/>
      <c r="M2" s="1843"/>
    </row>
    <row r="3" spans="1:37" ht="18" customHeight="1" thickBot="1">
      <c r="A3" s="1852" t="s">
        <v>1517</v>
      </c>
      <c r="B3" s="1853">
        <f ca="1">IF(ISERROR(B2*10000/F43),0,ROUND(B2*10000/F43,0))</f>
        <v>83752</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19196</v>
      </c>
      <c r="D5" s="1825" t="s">
        <v>1402</v>
      </c>
      <c r="E5" s="1296"/>
      <c r="F5" s="1297"/>
      <c r="G5" s="1854"/>
      <c r="H5" s="344">
        <v>1</v>
      </c>
      <c r="I5" s="345" t="s">
        <v>1401</v>
      </c>
      <c r="J5" s="1295">
        <f ca="1">J6+J10+J12</f>
        <v>0</v>
      </c>
      <c r="K5" s="1825" t="s">
        <v>1402</v>
      </c>
      <c r="L5" s="1296"/>
      <c r="M5" s="1297"/>
    </row>
    <row r="6" spans="1:37" ht="18" customHeight="1">
      <c r="A6" s="1294" t="s">
        <v>1035</v>
      </c>
      <c r="B6" s="3216" t="s">
        <v>1403</v>
      </c>
      <c r="C6" s="1299">
        <f ca="1">ROUND(F6*F8*F7*(1-F9)/10000,0)</f>
        <v>19196</v>
      </c>
      <c r="D6" s="164" t="s">
        <v>3012</v>
      </c>
      <c r="E6" s="347" t="s">
        <v>1405</v>
      </c>
      <c r="F6" s="348">
        <f ca="1">INDIRECT("'数据-取费表'!u"&amp;$G$1)</f>
        <v>3.5</v>
      </c>
      <c r="G6" s="1854"/>
      <c r="H6" s="1294" t="s">
        <v>1035</v>
      </c>
      <c r="I6" s="3216" t="s">
        <v>1403</v>
      </c>
      <c r="J6" s="346">
        <f ca="1">ROUND(M6*M8*M7*(1-M9)/10000,0)</f>
        <v>0</v>
      </c>
      <c r="K6" s="164" t="s">
        <v>3011</v>
      </c>
      <c r="L6" s="347" t="s">
        <v>1405</v>
      </c>
      <c r="M6" s="348">
        <f ca="1">INDIRECT("'数据-取费表'!z"&amp;$G$1)</f>
        <v>0</v>
      </c>
    </row>
    <row r="7" spans="1:37" ht="18" customHeight="1">
      <c r="A7" s="1298"/>
      <c r="B7" s="3217"/>
      <c r="C7" s="1300"/>
      <c r="D7" s="352"/>
      <c r="E7" s="1301" t="s">
        <v>1406</v>
      </c>
      <c r="F7" s="3354">
        <f>'数据-取费表'!K16</f>
        <v>166960</v>
      </c>
      <c r="G7" s="1854"/>
      <c r="H7" s="349"/>
      <c r="I7" s="3217"/>
      <c r="J7" s="351"/>
      <c r="K7" s="352"/>
      <c r="L7" s="347" t="s">
        <v>1406</v>
      </c>
      <c r="M7" s="348">
        <f>F7</f>
        <v>166960</v>
      </c>
    </row>
    <row r="8" spans="1:37" ht="18" customHeight="1">
      <c r="A8" s="349"/>
      <c r="B8" s="3217"/>
      <c r="C8" s="351"/>
      <c r="D8" s="352"/>
      <c r="E8" s="347" t="s">
        <v>1407</v>
      </c>
      <c r="F8" s="348">
        <f ca="1">INDIRECT("'数据-取费表'!ai"&amp;$G$1)</f>
        <v>365</v>
      </c>
      <c r="G8" s="1854"/>
      <c r="H8" s="349"/>
      <c r="I8" s="3217"/>
      <c r="J8" s="351"/>
      <c r="K8" s="352"/>
      <c r="L8" s="347" t="s">
        <v>1407</v>
      </c>
      <c r="M8" s="348">
        <f ca="1">INDIRECT("'数据-取费表'!ai"&amp;$G$1)</f>
        <v>365</v>
      </c>
    </row>
    <row r="9" spans="1:37" ht="18" customHeight="1">
      <c r="A9" s="349"/>
      <c r="B9" s="3218"/>
      <c r="C9" s="351"/>
      <c r="D9" s="352"/>
      <c r="E9" s="347" t="s">
        <v>1408</v>
      </c>
      <c r="F9" s="357">
        <f ca="1">INDIRECT("'数据-取费表'!w"&amp;$G$1)</f>
        <v>0.1</v>
      </c>
      <c r="G9" s="1854"/>
      <c r="H9" s="349"/>
      <c r="I9" s="3218"/>
      <c r="J9" s="351"/>
      <c r="K9" s="352"/>
      <c r="L9" s="358" t="s">
        <v>1408</v>
      </c>
      <c r="M9" s="359">
        <f ca="1">INDIRECT("'数据-取费表'!ab"&amp;$G$1)</f>
        <v>0</v>
      </c>
    </row>
    <row r="10" spans="1:37" ht="18" hidden="1" customHeight="1">
      <c r="A10" s="1294" t="s">
        <v>1039</v>
      </c>
      <c r="B10" s="1826" t="s">
        <v>1409</v>
      </c>
      <c r="C10" s="361">
        <f ca="1">ROUND(IF(F10="押一",C6/12*F11,IF(F10="押二",C6/12*2*F11,IF(F10="押三",C6/12*3*F11,C11*F11)))/10000,0)</f>
        <v>0</v>
      </c>
      <c r="D10" s="1827" t="s">
        <v>3021</v>
      </c>
      <c r="E10" s="358" t="s">
        <v>1410</v>
      </c>
      <c r="F10" s="1369" t="s">
        <v>3116</v>
      </c>
      <c r="G10" s="1854"/>
      <c r="H10" s="1294" t="s">
        <v>1039</v>
      </c>
      <c r="I10" s="1826" t="s">
        <v>1409</v>
      </c>
      <c r="J10" s="346">
        <f ca="1">ROUND(IF(M10="押一",J6/12*M11,IF(M10="押二",J6/12*2*M11,IF(M10="押三",J6/12*3*M11,J11*M11)))/10000,0)</f>
        <v>0</v>
      </c>
      <c r="K10" s="1827" t="s">
        <v>3020</v>
      </c>
      <c r="L10" s="358" t="s">
        <v>1410</v>
      </c>
      <c r="M10" s="1369" t="s">
        <v>1411</v>
      </c>
    </row>
    <row r="11" spans="1:37" ht="18" hidden="1"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hidden="1"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c r="A13" s="1332">
        <v>2</v>
      </c>
      <c r="B13" s="1333" t="s">
        <v>1414</v>
      </c>
      <c r="C13" s="355">
        <f ca="1">ROUND(C29*F13,0)</f>
        <v>90091</v>
      </c>
      <c r="D13" s="1334" t="s">
        <v>1415</v>
      </c>
      <c r="E13" s="1334" t="s">
        <v>1416</v>
      </c>
      <c r="F13" s="1335">
        <f ca="1">INDIRECT("'数据-取费表'!y"&amp;$G$1)</f>
        <v>1</v>
      </c>
      <c r="G13" s="1854"/>
      <c r="H13" s="1332">
        <v>2</v>
      </c>
      <c r="I13" s="1333" t="s">
        <v>1414</v>
      </c>
      <c r="J13" s="1293">
        <f ca="1">ROUND(J14*J15,0)</f>
        <v>90091</v>
      </c>
      <c r="K13" s="1340" t="s">
        <v>1415</v>
      </c>
      <c r="L13" s="1855"/>
      <c r="M13" s="1856"/>
    </row>
    <row r="14" spans="1:37" ht="18" customHeight="1">
      <c r="A14" s="1204" t="s">
        <v>1034</v>
      </c>
      <c r="B14" s="347" t="s">
        <v>1417</v>
      </c>
      <c r="C14" s="3351">
        <f>'数据-取费表'!M16</f>
        <v>66784</v>
      </c>
      <c r="D14" s="1803" t="s">
        <v>1418</v>
      </c>
      <c r="E14" s="1797"/>
      <c r="F14" s="364"/>
      <c r="G14" s="1854"/>
      <c r="H14" s="1204" t="s">
        <v>1035</v>
      </c>
      <c r="I14" s="347" t="s">
        <v>1419</v>
      </c>
      <c r="J14" s="24">
        <f ca="1">C29</f>
        <v>90091</v>
      </c>
      <c r="K14" s="15"/>
      <c r="L14" s="982"/>
      <c r="M14" s="983"/>
    </row>
    <row r="15" spans="1:37" s="1861" customFormat="1" ht="18" customHeight="1" thickBot="1">
      <c r="A15" s="1204" t="s">
        <v>1036</v>
      </c>
      <c r="B15" s="347" t="s">
        <v>1420</v>
      </c>
      <c r="C15" s="24">
        <f>ROUND(C14*F15,0)</f>
        <v>3339</v>
      </c>
      <c r="D15" s="365" t="s">
        <v>1421</v>
      </c>
      <c r="E15" s="365" t="s">
        <v>1422</v>
      </c>
      <c r="F15" s="366">
        <f>'数据-取费表'!B33</f>
        <v>0.05</v>
      </c>
      <c r="G15" s="1857"/>
      <c r="H15" s="1342" t="s">
        <v>1039</v>
      </c>
      <c r="I15" s="1343" t="s">
        <v>1416</v>
      </c>
      <c r="J15" s="1352">
        <f ca="1">INDIRECT("'数据-取费表'!ad"&amp;$G$1)</f>
        <v>1</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2290</v>
      </c>
      <c r="K16" s="1340" t="s">
        <v>1425</v>
      </c>
      <c r="L16" s="1341"/>
      <c r="M16" s="1297"/>
    </row>
    <row r="17" spans="1:37" s="1861" customFormat="1" ht="18" customHeight="1">
      <c r="A17" s="1204" t="s">
        <v>1390</v>
      </c>
      <c r="B17" s="347" t="s">
        <v>1426</v>
      </c>
      <c r="C17" s="24">
        <f ca="1">ROUND(F17*(F43+INDIRECT("'数据-取费表'!S"&amp;$G$1))/10000,0)</f>
        <v>752</v>
      </c>
      <c r="D17" s="347" t="s">
        <v>1427</v>
      </c>
      <c r="E17" s="347" t="s">
        <v>1428</v>
      </c>
      <c r="F17" s="26">
        <f>'数据-取费表'!B35</f>
        <v>200</v>
      </c>
      <c r="G17" s="1857"/>
      <c r="H17" s="1204" t="s">
        <v>1035</v>
      </c>
      <c r="I17" s="347" t="s">
        <v>1429</v>
      </c>
      <c r="J17" s="24">
        <f ca="1">ROUND(IF(项目基本情况!B11="自然人",J5*M17,J18+J19+J20),1)</f>
        <v>758.5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ROUND(C14*F18,0)</f>
        <v>1002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71877</v>
      </c>
      <c r="D19" s="140" t="s">
        <v>1436</v>
      </c>
      <c r="E19" s="1821"/>
      <c r="F19" s="26"/>
      <c r="G19" s="1854"/>
      <c r="H19" s="1204" t="s">
        <v>1036</v>
      </c>
      <c r="I19" s="347" t="s">
        <v>1437</v>
      </c>
      <c r="J19" s="24">
        <f ca="1">IF(K19="按租金收入计税",ROUND(J5*M19,2),ROUND(C29*M19*0.7,2))</f>
        <v>756.76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1438</v>
      </c>
      <c r="D20" s="369" t="s">
        <v>1440</v>
      </c>
      <c r="E20" s="347" t="s">
        <v>1422</v>
      </c>
      <c r="F20" s="367">
        <f>'数据-取费表'!B37</f>
        <v>0.02</v>
      </c>
      <c r="G20" s="1857"/>
      <c r="H20" s="1204" t="s">
        <v>1389</v>
      </c>
      <c r="I20" s="164" t="s">
        <v>1441</v>
      </c>
      <c r="J20" s="25">
        <f ca="1">ROUND(M20*M21/10000,2)</f>
        <v>1.73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11527.2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1351.4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2597</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180.2</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-2290</v>
      </c>
      <c r="K25" s="1348" t="s">
        <v>1464</v>
      </c>
      <c r="L25" s="1349"/>
      <c r="M25" s="1350"/>
    </row>
    <row r="26" spans="1:37" ht="13.15">
      <c r="A26" s="1204" t="s">
        <v>1034</v>
      </c>
      <c r="B26" s="347" t="s">
        <v>1465</v>
      </c>
      <c r="C26" s="24">
        <f ca="1">ROUND((C19+C20)*F26,0)</f>
        <v>7332</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90091</v>
      </c>
      <c r="D29" s="1345"/>
      <c r="E29" s="1343"/>
      <c r="F29" s="1346"/>
      <c r="G29" s="1857"/>
      <c r="H29" s="380" t="s">
        <v>1033</v>
      </c>
      <c r="I29" s="381" t="s">
        <v>1479</v>
      </c>
      <c r="J29" s="382">
        <f ca="1">ROUND(J26/(1+F40)^F41,0)</f>
        <v>0</v>
      </c>
      <c r="K29" s="383" t="s">
        <v>1480</v>
      </c>
      <c r="L29" s="384"/>
      <c r="M29" s="385">
        <f ca="1">INDIRECT("'数据-取费表'!k"&amp;$G$1)</f>
        <v>37575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5155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3335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1023.79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2303.52</v>
      </c>
      <c r="D33" s="1831" t="s">
        <v>3113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IF(项目基本情况!B11="自然人","——",ROUND(F34*F35/10000,2))</f>
        <v>7.68</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354">
        <f>'数据-汇总表'!D3</f>
        <v>51219.74</v>
      </c>
      <c r="G35" s="1854"/>
      <c r="H35" s="745"/>
      <c r="I35" s="1863"/>
      <c r="J35" s="1864"/>
      <c r="K35" s="1865"/>
      <c r="L35" s="1862"/>
      <c r="M35" s="1862"/>
    </row>
    <row r="36" spans="1:18" ht="18" customHeight="1">
      <c r="A36" s="1355" t="s">
        <v>1039</v>
      </c>
      <c r="B36" s="347" t="s">
        <v>1449</v>
      </c>
      <c r="C36" s="24">
        <f ca="1">ROUND(C29*F36,1)</f>
        <v>1351.4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180.2</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287.89999999999998</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14041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271905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30.15</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72363</v>
      </c>
      <c r="D43" s="383" t="s">
        <v>1488</v>
      </c>
      <c r="E43" s="384" t="s">
        <v>1489</v>
      </c>
      <c r="F43" s="385">
        <f ca="1">INDIRECT("'数据-取费表'!k"&amp;$G$1)</f>
        <v>37575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9" thickBot="1">
      <c r="A46" s="1873" t="s">
        <v>1520</v>
      </c>
      <c r="C46" s="1874">
        <f ca="1">C68-C40</f>
        <v>-294317</v>
      </c>
      <c r="D46" s="1875" t="str">
        <f>C2</f>
        <v>万元</v>
      </c>
      <c r="E46" s="1869"/>
      <c r="F46" s="1869"/>
      <c r="I46" s="1876" t="s">
        <v>1521</v>
      </c>
      <c r="J46" s="1877"/>
      <c r="K46" s="1878"/>
      <c r="L46" s="1879">
        <f ca="1">IF(M47="住宅",0,IF(L48&gt;J51,L60,J60))</f>
        <v>42793</v>
      </c>
      <c r="O46" s="1880" t="s">
        <v>1522</v>
      </c>
      <c r="P46" s="1881" t="s">
        <v>1523</v>
      </c>
      <c r="Q46" s="1882" t="s">
        <v>1524</v>
      </c>
      <c r="R46" s="1882" t="s">
        <v>1525</v>
      </c>
    </row>
    <row r="47" spans="1:18" s="1845" customFormat="1" ht="13.15" thickBot="1">
      <c r="A47" s="1168" t="s">
        <v>1396</v>
      </c>
      <c r="B47" s="1200" t="s">
        <v>1397</v>
      </c>
      <c r="C47" s="1370" t="s">
        <v>1398</v>
      </c>
      <c r="D47" s="1200" t="s">
        <v>1399</v>
      </c>
      <c r="E47" s="1282" t="s">
        <v>1400</v>
      </c>
      <c r="F47" s="1283"/>
      <c r="G47" s="792"/>
      <c r="I47" s="1883" t="s">
        <v>1526</v>
      </c>
      <c r="J47" s="1884" t="s">
        <v>3114</v>
      </c>
      <c r="K47" s="1885" t="s">
        <v>1527</v>
      </c>
      <c r="L47" s="1886">
        <f ca="1">INDIRECT("'数据-取费表'!d"&amp;$G$1)</f>
        <v>40</v>
      </c>
      <c r="M47" s="1841" t="str">
        <f>IF(ISNUMBER(FIND("住宅",C1)),"住宅","非住宅")</f>
        <v>非住宅</v>
      </c>
      <c r="O47" s="1887" t="s">
        <v>1040</v>
      </c>
      <c r="P47" s="1888" t="s">
        <v>1528</v>
      </c>
      <c r="Q47" s="1889">
        <f ca="1">C40+J29</f>
        <v>271905</v>
      </c>
      <c r="R47" s="1889" t="s">
        <v>1529</v>
      </c>
    </row>
    <row r="48" spans="1:18" s="1845" customFormat="1" ht="43.15" thickBot="1">
      <c r="A48" s="1363" t="s">
        <v>1135</v>
      </c>
      <c r="B48" s="345" t="s">
        <v>1401</v>
      </c>
      <c r="C48" s="1820">
        <f ca="1">C49+C53+C55</f>
        <v>0</v>
      </c>
      <c r="D48" s="1365"/>
      <c r="E48" s="1366"/>
      <c r="F48" s="1184"/>
      <c r="G48" s="792"/>
      <c r="H48" s="793"/>
      <c r="I48" s="1890" t="s">
        <v>1530</v>
      </c>
      <c r="J48" s="1891" t="s">
        <v>3115</v>
      </c>
      <c r="K48" s="1892" t="s">
        <v>1531</v>
      </c>
      <c r="L48" s="1893">
        <f ca="1">INDIRECT("'数据-取费表'!f"&amp;$G$1)</f>
        <v>31.5</v>
      </c>
      <c r="O48" s="1887" t="s">
        <v>1041</v>
      </c>
      <c r="P48" s="1888" t="s">
        <v>1532</v>
      </c>
      <c r="Q48" s="1889">
        <f ca="1">J60</f>
        <v>42793</v>
      </c>
      <c r="R48" s="1889" t="s">
        <v>1533</v>
      </c>
    </row>
    <row r="49" spans="1:18" s="1845" customFormat="1" ht="13.5" thickBot="1">
      <c r="A49" s="1197" t="s">
        <v>1136</v>
      </c>
      <c r="B49" s="1832" t="s">
        <v>1490</v>
      </c>
      <c r="C49" s="1367">
        <f ca="1">ROUND(F49*F51*F50*(1-F52)/10000,0)</f>
        <v>0</v>
      </c>
      <c r="D49" s="1279" t="s">
        <v>3013</v>
      </c>
      <c r="E49" s="1833" t="s">
        <v>1491</v>
      </c>
      <c r="F49" s="1284"/>
      <c r="G49" s="1894"/>
      <c r="H49" s="793"/>
      <c r="I49" s="1890" t="s">
        <v>1534</v>
      </c>
      <c r="J49" s="1895">
        <v>2018</v>
      </c>
      <c r="K49" s="1892" t="s">
        <v>1535</v>
      </c>
      <c r="L49" s="1896"/>
      <c r="O49" s="1897" t="s">
        <v>1042</v>
      </c>
      <c r="P49" s="1888" t="s">
        <v>1536</v>
      </c>
      <c r="Q49" s="1889">
        <f ca="1">C29</f>
        <v>90091</v>
      </c>
      <c r="R49" s="1889" t="s">
        <v>1529</v>
      </c>
    </row>
    <row r="50" spans="1:18" s="1845" customFormat="1" ht="13.5" thickBot="1">
      <c r="A50" s="1198"/>
      <c r="B50" s="1201"/>
      <c r="C50" s="1371"/>
      <c r="D50" s="1175"/>
      <c r="E50" s="1280" t="s">
        <v>1406</v>
      </c>
      <c r="F50" s="1281">
        <f>F7</f>
        <v>166960</v>
      </c>
      <c r="H50" s="793"/>
      <c r="I50" s="1890" t="s">
        <v>1537</v>
      </c>
      <c r="J50" s="1898">
        <f>SUMPRODUCT((I63:I65=J47)*(J62:L62=J48)*(J63:L65))</f>
        <v>60</v>
      </c>
      <c r="K50" s="1892" t="s">
        <v>1538</v>
      </c>
      <c r="L50" s="1896"/>
      <c r="M50" s="1899"/>
      <c r="O50" s="1897" t="s">
        <v>1043</v>
      </c>
      <c r="P50" s="1888" t="s">
        <v>1539</v>
      </c>
      <c r="Q50" s="1900">
        <f ca="1">J58</f>
        <v>0.47499999999999998</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106396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30.15</v>
      </c>
      <c r="R52" s="1889" t="s">
        <v>1546</v>
      </c>
    </row>
    <row r="53" spans="1:18" s="1845" customFormat="1" ht="25.9" thickBot="1">
      <c r="A53" s="1408" t="s">
        <v>1137</v>
      </c>
      <c r="B53" s="1834" t="s">
        <v>1409</v>
      </c>
      <c r="C53" s="361">
        <f ca="1">ROUND(IF(F53="押一",C49/12*F11,IF(F53="押二",C49/12*2*F11,IF(F53="押三",C49/12*3*F11,C54*F11)))/10000,0)</f>
        <v>0</v>
      </c>
      <c r="D53" s="1827" t="s">
        <v>3020</v>
      </c>
      <c r="E53" s="358" t="s">
        <v>1410</v>
      </c>
      <c r="F53" s="1369" t="s">
        <v>3116</v>
      </c>
      <c r="I53" s="1908" t="s">
        <v>1547</v>
      </c>
      <c r="J53" s="1909">
        <f ca="1">IF(M47="住宅",J51,IF(D1="——",MIN(J51,L48),IF(D1="在建（套用方法）",MIN(J51,L48-'数据-取费表'!B24),IF(D1="土地（套用方法）",MIN(J51,L48-'数据-取费表'!B20)))))</f>
        <v>30.15</v>
      </c>
      <c r="K53" s="3214" t="s">
        <v>1548</v>
      </c>
      <c r="L53" s="3215"/>
      <c r="O53" s="1887" t="s">
        <v>1046</v>
      </c>
      <c r="P53" s="1888" t="s">
        <v>1549</v>
      </c>
      <c r="Q53" s="1889">
        <f ca="1">Q47+Q48</f>
        <v>314698</v>
      </c>
      <c r="R53" s="1889" t="s">
        <v>1047</v>
      </c>
    </row>
    <row r="54" spans="1:18" s="1845" customFormat="1" ht="25.9"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0.47499999999999998</v>
      </c>
      <c r="K55" s="1915" t="s">
        <v>1552</v>
      </c>
      <c r="L55" s="1916" t="s">
        <v>3119</v>
      </c>
      <c r="O55" s="1880" t="s">
        <v>1522</v>
      </c>
      <c r="P55" s="1881" t="s">
        <v>1523</v>
      </c>
      <c r="Q55" s="1882" t="s">
        <v>1524</v>
      </c>
      <c r="R55" s="1882" t="s">
        <v>1525</v>
      </c>
    </row>
    <row r="56" spans="1:18" s="1845" customFormat="1" ht="39" thickTop="1" thickBot="1">
      <c r="A56" s="1179">
        <v>2</v>
      </c>
      <c r="B56" s="1180" t="s">
        <v>1414</v>
      </c>
      <c r="C56" s="276">
        <f ca="1">C13</f>
        <v>90091</v>
      </c>
      <c r="D56" s="1917"/>
      <c r="E56" s="1918"/>
      <c r="F56" s="1910"/>
      <c r="I56" s="1919" t="s">
        <v>1553</v>
      </c>
      <c r="J56" s="1920" t="s">
        <v>3120</v>
      </c>
      <c r="K56" s="1890" t="s">
        <v>1554</v>
      </c>
      <c r="L56" s="1893" t="str">
        <f ca="1">IF(L48&lt;J51,"——",L48-J53)</f>
        <v>——</v>
      </c>
      <c r="O56" s="1887" t="s">
        <v>1040</v>
      </c>
      <c r="P56" s="1888" t="s">
        <v>1528</v>
      </c>
      <c r="Q56" s="1889">
        <f ca="1">C40+J29</f>
        <v>271905</v>
      </c>
      <c r="R56" s="1889" t="s">
        <v>1529</v>
      </c>
    </row>
    <row r="57" spans="1:18" s="1845" customFormat="1" ht="25.9" thickBot="1">
      <c r="A57" s="1921"/>
      <c r="B57" s="1172" t="s">
        <v>1478</v>
      </c>
      <c r="C57" s="282">
        <f ca="1">C29</f>
        <v>90091</v>
      </c>
      <c r="D57" s="1922"/>
      <c r="E57" s="1923"/>
      <c r="F57" s="1924"/>
      <c r="I57" s="1925" t="s">
        <v>1555</v>
      </c>
      <c r="J57" s="1926">
        <f ca="1">IF(OR(M47="住宅",J51&lt;L48,J56="是"),"——",J51-L48)</f>
        <v>28.5</v>
      </c>
      <c r="K57" s="1890" t="s">
        <v>1556</v>
      </c>
      <c r="L57" s="1893" t="str">
        <f ca="1">IF(L48&lt;J51,"——",IF(L55="比较法",L49,IF(L55="基准地价",L50,L51)))</f>
        <v>——</v>
      </c>
      <c r="O57" s="1887" t="s">
        <v>1041</v>
      </c>
      <c r="P57" s="1888" t="s">
        <v>1557</v>
      </c>
      <c r="Q57" s="1889">
        <f ca="1">L60</f>
        <v>0</v>
      </c>
      <c r="R57" s="1889" t="s">
        <v>1558</v>
      </c>
    </row>
    <row r="58" spans="1:18" s="1845" customFormat="1" ht="25.9" thickBot="1">
      <c r="A58" s="360" t="s">
        <v>1030</v>
      </c>
      <c r="B58" s="1180" t="s">
        <v>1424</v>
      </c>
      <c r="C58" s="361">
        <f ca="1">ROUND(C59+C64+C65+C66,0)</f>
        <v>1539</v>
      </c>
      <c r="D58" s="1182" t="s">
        <v>1425</v>
      </c>
      <c r="E58" s="1183"/>
      <c r="F58" s="1184"/>
      <c r="I58" s="1925" t="s">
        <v>1559</v>
      </c>
      <c r="J58" s="1927">
        <f ca="1">IF(J55&lt;0.4,0.4,J55)</f>
        <v>0.47499999999999998</v>
      </c>
      <c r="K58" s="1903" t="s">
        <v>1560</v>
      </c>
      <c r="L58" s="1893" t="e">
        <f ca="1">ROUND(POWER(1+L52,L47-L48)*(POWER(1+L52,L48)-1)/(POWER(1+L52,L47)-1),4)</f>
        <v>#DIV/0!</v>
      </c>
      <c r="O58" s="1897" t="s">
        <v>1042</v>
      </c>
      <c r="P58" s="1888" t="s">
        <v>1561</v>
      </c>
      <c r="Q58" s="1889">
        <f>IF(L55="比较法",L49,IF(L55="基准地价",L50,0))</f>
        <v>0</v>
      </c>
      <c r="R58" s="1889" t="s">
        <v>1529</v>
      </c>
    </row>
    <row r="59" spans="1:18" s="1845" customFormat="1" ht="25.9" thickBot="1">
      <c r="A59" s="1204" t="s">
        <v>1035</v>
      </c>
      <c r="B59" s="1172" t="s">
        <v>1429</v>
      </c>
      <c r="C59" s="24">
        <f ca="1">ROUND(IF(项目基本情况!B11="自然人",C48*F59,C60+C61+C62),1)</f>
        <v>7.7</v>
      </c>
      <c r="D59" s="1185" t="s">
        <v>1430</v>
      </c>
      <c r="E59" s="1186" t="s">
        <v>1431</v>
      </c>
      <c r="F59" s="368" t="str">
        <f ca="1">IF(项目基本情况!B11="企业","",IF(INDIRECT("'数据-取费表'!c"&amp;$G$1)="住宅",5%,IF(F49*F50*F51/12/(1+'数据-取费表'!C42)&gt;20000,12%,7%)))</f>
        <v/>
      </c>
      <c r="I59" s="1925" t="s">
        <v>1562</v>
      </c>
      <c r="J59" s="1926">
        <f ca="1">IF(OR(M47="住宅",J51&lt;L48,J56="是"),"——",ROUND(C29*J58,0))</f>
        <v>42793</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5.4"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f ca="1">IF(OR(M47="住宅",J51&lt;L48,J56="是"),"0",ROUND(J59/(1+J52)^J53,0))</f>
        <v>42793</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3113</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1568</v>
      </c>
    </row>
    <row r="62" spans="1:18" s="1845" customFormat="1" ht="13.5" thickBot="1">
      <c r="A62" s="1204" t="s">
        <v>1495</v>
      </c>
      <c r="B62" s="1171" t="s">
        <v>1496</v>
      </c>
      <c r="C62" s="25">
        <f>IF(项目基本情况!B11="自然人","——",ROUND(F62*F63/10000,2))</f>
        <v>7.68</v>
      </c>
      <c r="D62" s="1187" t="s">
        <v>1497</v>
      </c>
      <c r="E62" s="1172" t="s">
        <v>1498</v>
      </c>
      <c r="F62" s="371">
        <f t="shared" si="0"/>
        <v>1.5</v>
      </c>
      <c r="I62" s="1932" t="s">
        <v>1569</v>
      </c>
      <c r="J62" s="1933" t="s">
        <v>1570</v>
      </c>
      <c r="K62" s="1933" t="s">
        <v>1571</v>
      </c>
      <c r="L62" s="1933" t="s">
        <v>1572</v>
      </c>
      <c r="M62" s="1934" t="s">
        <v>1573</v>
      </c>
      <c r="O62" s="1887" t="s">
        <v>1046</v>
      </c>
      <c r="P62" s="1888" t="s">
        <v>1574</v>
      </c>
      <c r="Q62" s="1889">
        <f ca="1">Q56+Q57</f>
        <v>271905</v>
      </c>
      <c r="R62" s="1889" t="s">
        <v>1047</v>
      </c>
    </row>
    <row r="63" spans="1:18" s="1845" customFormat="1" ht="13.5" thickBot="1">
      <c r="A63" s="372"/>
      <c r="B63" s="1178"/>
      <c r="C63" s="29"/>
      <c r="D63" s="1188"/>
      <c r="E63" s="1172" t="s">
        <v>1499</v>
      </c>
      <c r="F63" s="348">
        <f t="shared" si="0"/>
        <v>51219.74</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1351.4</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180.2</v>
      </c>
      <c r="D65" s="1186" t="s">
        <v>1454</v>
      </c>
      <c r="E65" s="1172" t="s">
        <v>1455</v>
      </c>
      <c r="F65" s="376">
        <f t="shared" ca="1" si="0"/>
        <v>2E-3</v>
      </c>
      <c r="I65" s="1932" t="s">
        <v>1578</v>
      </c>
      <c r="J65" s="1933">
        <v>40</v>
      </c>
      <c r="K65" s="1933">
        <v>30</v>
      </c>
      <c r="L65" s="1933">
        <v>50</v>
      </c>
      <c r="M65" s="1935">
        <v>0.02</v>
      </c>
      <c r="O65" s="1887" t="s">
        <v>1040</v>
      </c>
      <c r="P65" s="1888" t="s">
        <v>1579</v>
      </c>
      <c r="Q65" s="1889">
        <f ca="1">C40+J29</f>
        <v>271905</v>
      </c>
      <c r="R65" s="1889" t="s">
        <v>1529</v>
      </c>
    </row>
    <row r="66" spans="1:18" s="1845" customFormat="1" ht="15.4" thickBot="1">
      <c r="A66" s="1204" t="s">
        <v>1504</v>
      </c>
      <c r="B66" s="1172" t="s">
        <v>1439</v>
      </c>
      <c r="C66" s="24">
        <f ca="1">ROUND(C48*F66,1)</f>
        <v>0</v>
      </c>
      <c r="D66" s="1186" t="s">
        <v>1505</v>
      </c>
      <c r="E66" s="1172" t="s">
        <v>1422</v>
      </c>
      <c r="F66" s="357">
        <f t="shared" ca="1" si="0"/>
        <v>1.4999999999999999E-2</v>
      </c>
      <c r="O66" s="1887" t="s">
        <v>1041</v>
      </c>
      <c r="P66" s="1888" t="s">
        <v>1557</v>
      </c>
      <c r="Q66" s="1889">
        <f ca="1">L60</f>
        <v>0</v>
      </c>
      <c r="R66" s="1889" t="s">
        <v>1580</v>
      </c>
    </row>
    <row r="67" spans="1:18" s="1845" customFormat="1" ht="25.9" thickBot="1">
      <c r="A67" s="1179" t="s">
        <v>1031</v>
      </c>
      <c r="B67" s="1189" t="s">
        <v>1463</v>
      </c>
      <c r="C67" s="361">
        <f ca="1">C48-C58</f>
        <v>-1539</v>
      </c>
      <c r="D67" s="1185" t="s">
        <v>1464</v>
      </c>
      <c r="E67" s="1190"/>
      <c r="F67" s="1191"/>
      <c r="O67" s="1897" t="s">
        <v>1042</v>
      </c>
      <c r="P67" s="1888" t="s">
        <v>1561</v>
      </c>
      <c r="Q67" s="1936">
        <f ca="1">L51</f>
        <v>106396</v>
      </c>
      <c r="R67" s="1889" t="s">
        <v>1581</v>
      </c>
    </row>
    <row r="68" spans="1:18" s="1845" customFormat="1" ht="15.4" thickBot="1">
      <c r="A68" s="1169" t="s">
        <v>1032</v>
      </c>
      <c r="B68" s="1170" t="s">
        <v>1485</v>
      </c>
      <c r="C68" s="346">
        <f ca="1">ROUND(C67*(1-((1+F70)/(1+F68))^F69)/(F68-F70),0)</f>
        <v>-22412</v>
      </c>
      <c r="D68" s="1187" t="s">
        <v>1469</v>
      </c>
      <c r="E68" s="1172" t="s">
        <v>1470</v>
      </c>
      <c r="F68" s="357">
        <f ca="1">F40</f>
        <v>5.5E-2</v>
      </c>
      <c r="O68" s="1897" t="s">
        <v>1043</v>
      </c>
      <c r="P68" s="1937" t="s">
        <v>1582</v>
      </c>
      <c r="Q68" s="1889">
        <f ca="1">ROUND(Q69-Q70*Q71,0)</f>
        <v>6383</v>
      </c>
      <c r="R68" s="1889" t="s">
        <v>1051</v>
      </c>
    </row>
    <row r="69" spans="1:18" s="1845" customFormat="1" ht="13.5" thickBot="1">
      <c r="A69" s="1173"/>
      <c r="B69" s="1174"/>
      <c r="C69" s="351"/>
      <c r="D69" s="1192" t="s">
        <v>1473</v>
      </c>
      <c r="E69" s="1172" t="s">
        <v>1474</v>
      </c>
      <c r="F69" s="379">
        <f ca="1">F41</f>
        <v>30.15</v>
      </c>
      <c r="O69" s="1897" t="s">
        <v>1048</v>
      </c>
      <c r="P69" s="1937" t="s">
        <v>1583</v>
      </c>
      <c r="Q69" s="1889">
        <f ca="1">C39</f>
        <v>14041</v>
      </c>
      <c r="R69" s="1889" t="s">
        <v>1529</v>
      </c>
    </row>
    <row r="70" spans="1:18" s="1845" customFormat="1" ht="13.5" thickBot="1">
      <c r="A70" s="1176"/>
      <c r="B70" s="1177"/>
      <c r="C70" s="355"/>
      <c r="D70" s="1188"/>
      <c r="E70" s="1172" t="s">
        <v>1477</v>
      </c>
      <c r="F70" s="1278"/>
      <c r="O70" s="1897" t="s">
        <v>1049</v>
      </c>
      <c r="P70" s="1937" t="s">
        <v>1584</v>
      </c>
      <c r="Q70" s="1889">
        <f ca="1">C13</f>
        <v>90091</v>
      </c>
      <c r="R70" s="1889" t="s">
        <v>1529</v>
      </c>
    </row>
    <row r="71" spans="1:18" s="1845" customFormat="1" ht="13.5" thickBot="1">
      <c r="A71" s="1193" t="s">
        <v>1033</v>
      </c>
      <c r="B71" s="1194" t="s">
        <v>1487</v>
      </c>
      <c r="C71" s="382">
        <f ca="1">ROUND(C68*10000/F71,0)</f>
        <v>-5965</v>
      </c>
      <c r="D71" s="1195" t="s">
        <v>1488</v>
      </c>
      <c r="E71" s="1196" t="s">
        <v>1489</v>
      </c>
      <c r="F71" s="385">
        <f ca="1">F43</f>
        <v>37575</v>
      </c>
      <c r="O71" s="1897" t="s">
        <v>1050</v>
      </c>
      <c r="P71" s="1937" t="s">
        <v>1585</v>
      </c>
      <c r="Q71" s="1900">
        <f ca="1">C76</f>
        <v>8.5000000000000006E-2</v>
      </c>
      <c r="R71" s="1889"/>
    </row>
    <row r="72" spans="1:18" s="1845" customFormat="1" ht="13.15" thickBot="1">
      <c r="B72" s="796"/>
      <c r="C72" s="796"/>
      <c r="O72" s="1897" t="s">
        <v>1044</v>
      </c>
      <c r="P72" s="1888" t="s">
        <v>1563</v>
      </c>
      <c r="Q72" s="1900">
        <f>L52</f>
        <v>0</v>
      </c>
      <c r="R72" s="1889"/>
    </row>
    <row r="73" spans="1:18" ht="15.4"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续建工期及建筑物耐用年限下的土地年期修正系数Kn</v>
      </c>
      <c r="Q74" s="1889" t="e">
        <f ca="1">L59</f>
        <v>#DIV/0!</v>
      </c>
      <c r="R74" s="1889" t="s">
        <v>1568</v>
      </c>
    </row>
    <row r="75" spans="1:18" ht="13.5" thickBot="1">
      <c r="A75" s="1845"/>
      <c r="B75" s="386" t="s">
        <v>1506</v>
      </c>
      <c r="C75" s="387">
        <f ca="1">ROUND(C13*C76,0)</f>
        <v>7658</v>
      </c>
      <c r="D75" s="1845"/>
      <c r="E75" s="1845"/>
      <c r="F75" s="1845"/>
      <c r="K75" s="1871"/>
      <c r="L75" s="1845"/>
      <c r="O75" s="1887" t="s">
        <v>1046</v>
      </c>
      <c r="P75" s="1888" t="s">
        <v>1549</v>
      </c>
      <c r="Q75" s="1889">
        <f ca="1">Q65+Q66</f>
        <v>271905</v>
      </c>
      <c r="R75" s="1889" t="s">
        <v>1047</v>
      </c>
    </row>
    <row r="76" spans="1:18" ht="13.15">
      <c r="B76" s="388" t="s">
        <v>1507</v>
      </c>
      <c r="C76" s="389">
        <f ca="1">INDIRECT("'数据-取费表'!j"&amp;$G$1)</f>
        <v>8.5000000000000006E-2</v>
      </c>
      <c r="I76" s="1845"/>
      <c r="J76" s="1845"/>
      <c r="K76" s="1871"/>
      <c r="L76" s="1845"/>
    </row>
    <row r="77" spans="1:18" ht="13.5">
      <c r="B77" s="390" t="s">
        <v>1508</v>
      </c>
      <c r="C77" s="391"/>
      <c r="I77" s="1845"/>
      <c r="J77" s="1845"/>
      <c r="K77" s="1871"/>
      <c r="L77" s="1845"/>
    </row>
    <row r="78" spans="1:18" ht="13.5">
      <c r="B78" s="314" t="s">
        <v>1509</v>
      </c>
      <c r="C78" s="392"/>
    </row>
    <row r="79" spans="1:18" ht="13.15">
      <c r="B79" s="386" t="s">
        <v>1510</v>
      </c>
      <c r="C79" s="318">
        <f ca="1">1-C80</f>
        <v>0.45499999999999996</v>
      </c>
    </row>
    <row r="80" spans="1:18" ht="13.15">
      <c r="B80" s="386" t="s">
        <v>1511</v>
      </c>
      <c r="C80" s="318">
        <f ca="1">ROUND(C75/C39,3)</f>
        <v>0.54500000000000004</v>
      </c>
    </row>
    <row r="81" spans="2:3" ht="13.5">
      <c r="B81" s="314" t="s">
        <v>1512</v>
      </c>
      <c r="C81" s="282"/>
    </row>
    <row r="82" spans="2:3" ht="13.15">
      <c r="B82" s="317" t="s">
        <v>1513</v>
      </c>
      <c r="C82" s="319">
        <f ca="1">1-C83</f>
        <v>0.66900000000000004</v>
      </c>
    </row>
    <row r="83" spans="2:3" ht="13.15">
      <c r="B83" s="317" t="s">
        <v>1514</v>
      </c>
      <c r="C83" s="318">
        <f ca="1">ROUND(C13/C40,3)</f>
        <v>0.33100000000000002</v>
      </c>
    </row>
  </sheetData>
  <sheetProtection algorithmName="SHA-512" hashValue="laJ4+UdEytRJZZTsEuF3D1Z5m/zsfRCg0a8CUxebCsRkplWJI/1DTV+ysx/dzLcquHpmjTPG7kOBvUeKJ1NOfg==" saltValue="+xFGAB6adhzoc4HP8rR4bg==" spinCount="100000"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zoomScale="90" zoomScaleNormal="90" zoomScaleSheetLayoutView="90" workbookViewId="0">
      <selection activeCell="J10" sqref="J10"/>
    </sheetView>
  </sheetViews>
  <sheetFormatPr defaultColWidth="9" defaultRowHeight="12.75"/>
  <cols>
    <col min="1" max="1" width="9" style="302" customWidth="1"/>
    <col min="2" max="2" width="20.59765625" style="707" customWidth="1"/>
    <col min="3" max="3" width="11.86328125" style="707" customWidth="1"/>
    <col min="4" max="4" width="40.46484375" style="302" customWidth="1"/>
    <col min="5" max="5" width="15.73046875" style="302" customWidth="1"/>
    <col min="6" max="6" width="10.59765625" style="302" customWidth="1"/>
    <col min="7" max="7" width="4.86328125" style="302" customWidth="1"/>
    <col min="8" max="8" width="8.46484375" style="302" customWidth="1"/>
    <col min="9" max="9" width="21.265625" style="302" customWidth="1"/>
    <col min="10" max="10" width="12.265625" style="302" customWidth="1"/>
    <col min="11" max="11" width="40.1328125" style="1938" customWidth="1"/>
    <col min="12" max="12" width="16.3984375" style="302" customWidth="1"/>
    <col min="13" max="13" width="13" style="302" customWidth="1"/>
    <col min="14" max="14" width="13.73046875" style="1845" customWidth="1"/>
    <col min="15" max="15" width="5.1328125" style="1845" customWidth="1"/>
    <col min="16" max="16" width="25.73046875" style="1845" customWidth="1"/>
    <col min="17" max="17" width="13.73046875" style="1845" customWidth="1"/>
    <col min="18" max="18" width="20.46484375" style="1845" customWidth="1"/>
    <col min="19" max="19" width="13.265625" style="1845" customWidth="1"/>
    <col min="20" max="37" width="9" style="1845"/>
    <col min="38" max="16384" width="9" style="302"/>
  </cols>
  <sheetData>
    <row r="1" spans="1:37" s="337" customFormat="1" ht="21.4">
      <c r="A1" s="1836" t="s">
        <v>1588</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16" t="s">
        <v>1403</v>
      </c>
      <c r="C6" s="1299">
        <f ca="1">ROUND(F6*F8*F7*(1-F9),0)</f>
        <v>0</v>
      </c>
      <c r="D6" s="164" t="s">
        <v>3009</v>
      </c>
      <c r="E6" s="347" t="s">
        <v>1405</v>
      </c>
      <c r="F6" s="348">
        <f ca="1">INDIRECT("'数据-取费表'!u"&amp;$G$1)</f>
        <v>0</v>
      </c>
      <c r="G6" s="1854"/>
      <c r="H6" s="1294" t="s">
        <v>1035</v>
      </c>
      <c r="I6" s="3216" t="s">
        <v>1403</v>
      </c>
      <c r="J6" s="346">
        <f ca="1">ROUND(M6*M8*M7*(1-M9),0)</f>
        <v>0</v>
      </c>
      <c r="K6" s="1837" t="s">
        <v>3010</v>
      </c>
      <c r="L6" s="347" t="s">
        <v>1405</v>
      </c>
      <c r="M6" s="348">
        <f ca="1">INDIRECT("'数据-取费表'!z"&amp;$G$1)</f>
        <v>0</v>
      </c>
    </row>
    <row r="7" spans="1:37" ht="18" customHeight="1">
      <c r="A7" s="1298"/>
      <c r="B7" s="3217"/>
      <c r="C7" s="1300"/>
      <c r="D7" s="352"/>
      <c r="E7" s="1301" t="s">
        <v>1406</v>
      </c>
      <c r="F7" s="348">
        <f ca="1">IF(INDIRECT("'数据-取费表'!ah"&amp;$G$1)="",INDIRECT("'数据-取费表'!k"&amp;$G$1),INDIRECT("'数据-取费表'!ah"&amp;$G$1))</f>
        <v>0</v>
      </c>
      <c r="G7" s="1854"/>
      <c r="H7" s="349"/>
      <c r="I7" s="3217"/>
      <c r="J7" s="351"/>
      <c r="K7" s="352"/>
      <c r="L7" s="347" t="s">
        <v>1406</v>
      </c>
      <c r="M7" s="348">
        <f ca="1">F7</f>
        <v>0</v>
      </c>
    </row>
    <row r="8" spans="1:37" ht="18" customHeight="1">
      <c r="A8" s="349"/>
      <c r="B8" s="3217"/>
      <c r="C8" s="351"/>
      <c r="D8" s="352"/>
      <c r="E8" s="347" t="s">
        <v>1407</v>
      </c>
      <c r="F8" s="348">
        <f ca="1">INDIRECT("'数据-取费表'!ai"&amp;$G$1)</f>
        <v>0</v>
      </c>
      <c r="G8" s="1854"/>
      <c r="H8" s="349"/>
      <c r="I8" s="3217"/>
      <c r="J8" s="351"/>
      <c r="K8" s="352"/>
      <c r="L8" s="347" t="s">
        <v>1407</v>
      </c>
      <c r="M8" s="348">
        <f ca="1">INDIRECT("'数据-取费表'!ai"&amp;$G$1)</f>
        <v>0</v>
      </c>
    </row>
    <row r="9" spans="1:37" ht="18" customHeight="1">
      <c r="A9" s="349"/>
      <c r="B9" s="3218"/>
      <c r="C9" s="351"/>
      <c r="D9" s="352"/>
      <c r="E9" s="347" t="s">
        <v>1408</v>
      </c>
      <c r="F9" s="357">
        <f ca="1">INDIRECT("'数据-取费表'!w"&amp;$G$1)</f>
        <v>0</v>
      </c>
      <c r="G9" s="1854"/>
      <c r="H9" s="349"/>
      <c r="I9" s="321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3020</v>
      </c>
      <c r="E10" s="358" t="s">
        <v>1410</v>
      </c>
      <c r="F10" s="1369"/>
      <c r="G10" s="1854"/>
      <c r="H10" s="1294" t="s">
        <v>1039</v>
      </c>
      <c r="I10" s="1826" t="s">
        <v>1409</v>
      </c>
      <c r="J10" s="346">
        <f ca="1">ROUND(IF(M10="押一",J6/12*M11,IF(M10="押二",J6/12*2*M11,IF(M10="押三",J6/12*3*M11,J11*M11))),0)</f>
        <v>0</v>
      </c>
      <c r="K10" s="1838" t="s">
        <v>3022</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9"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1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3.1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3023</v>
      </c>
      <c r="E53" s="358" t="s">
        <v>1410</v>
      </c>
      <c r="F53" s="1369"/>
      <c r="I53" s="1908" t="s">
        <v>1547</v>
      </c>
      <c r="J53" s="1909" t="b">
        <f>IF(M47="住宅",J51,IF(D1="——",MIN(J51,L48),IF(D1="在建（套用方法）",MIN(J51,L48-'数据-取费表'!B24),IF(D1="土地（套用方法）",MIN(J51,L48-'数据-取费表'!B20)))))</f>
        <v>0</v>
      </c>
      <c r="K53" s="3214" t="s">
        <v>1548</v>
      </c>
      <c r="L53" s="3215"/>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5.9"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5.9"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5.9"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5.4"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5.4"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25.9"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5.4"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15" thickBot="1">
      <c r="B72" s="796"/>
      <c r="C72" s="796"/>
      <c r="O72" s="1897" t="s">
        <v>1044</v>
      </c>
      <c r="P72" s="1888" t="s">
        <v>1563</v>
      </c>
      <c r="Q72" s="1900">
        <f>L52</f>
        <v>0</v>
      </c>
      <c r="R72" s="1889"/>
    </row>
    <row r="73" spans="1:18" ht="15.4"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ht="13.15">
      <c r="B76" s="388" t="s">
        <v>1507</v>
      </c>
      <c r="C76" s="389">
        <f ca="1">INDIRECT("'数据-取费表'!j"&amp;$G$1)</f>
        <v>0</v>
      </c>
      <c r="I76" s="1845"/>
      <c r="J76" s="1845"/>
      <c r="K76" s="1871"/>
      <c r="L76" s="1845"/>
    </row>
    <row r="77" spans="1:18" ht="13.5">
      <c r="B77" s="390" t="s">
        <v>1508</v>
      </c>
      <c r="C77" s="391"/>
      <c r="I77" s="1845"/>
      <c r="J77" s="1845"/>
      <c r="K77" s="1871"/>
      <c r="L77" s="1845"/>
    </row>
    <row r="78" spans="1:18" ht="13.5">
      <c r="B78" s="314" t="s">
        <v>1509</v>
      </c>
      <c r="C78" s="392"/>
    </row>
    <row r="79" spans="1:18" ht="13.15">
      <c r="B79" s="386" t="s">
        <v>1510</v>
      </c>
      <c r="C79" s="318" t="e">
        <f ca="1">1-C80</f>
        <v>#DIV/0!</v>
      </c>
    </row>
    <row r="80" spans="1:18" ht="13.15">
      <c r="B80" s="386" t="s">
        <v>1511</v>
      </c>
      <c r="C80" s="318" t="e">
        <f ca="1">ROUND(C75/C39,3)</f>
        <v>#DIV/0!</v>
      </c>
    </row>
    <row r="81" spans="2:3" ht="13.5">
      <c r="B81" s="314" t="s">
        <v>1512</v>
      </c>
      <c r="C81" s="282"/>
    </row>
    <row r="82" spans="2:3" ht="13.15">
      <c r="B82" s="317" t="s">
        <v>1513</v>
      </c>
      <c r="C82" s="319" t="e">
        <f ca="1">1-C83</f>
        <v>#DIV/0!</v>
      </c>
    </row>
    <row r="83" spans="2:3" ht="13.15">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J10" sqref="J10"/>
    </sheetView>
  </sheetViews>
  <sheetFormatPr defaultColWidth="9" defaultRowHeight="13.5"/>
  <cols>
    <col min="1" max="1" width="23.59765625" style="1948" customWidth="1"/>
    <col min="2" max="2" width="12" style="1948" customWidth="1"/>
    <col min="3" max="3" width="9" style="1948"/>
    <col min="4" max="4" width="14.1328125" style="1948" customWidth="1"/>
    <col min="5" max="5" width="9" style="1948"/>
    <col min="6" max="6" width="12.86328125" style="1948" customWidth="1"/>
    <col min="7" max="16384" width="9" style="1948"/>
  </cols>
  <sheetData>
    <row r="1" spans="1:6" ht="21.4">
      <c r="A1" s="2562" t="s">
        <v>2508</v>
      </c>
      <c r="B1" s="2563"/>
      <c r="C1" s="2563"/>
      <c r="D1" s="2563"/>
      <c r="E1" s="2564"/>
    </row>
    <row r="2" spans="1:6" ht="15.75">
      <c r="A2" s="2565" t="s">
        <v>2312</v>
      </c>
      <c r="B2" s="2566">
        <f ca="1">SUMIF(B6:B13,"&lt;&gt;#ref!",B6:B13)</f>
        <v>314698</v>
      </c>
      <c r="C2" s="2567" t="s">
        <v>2501</v>
      </c>
      <c r="D2" s="2568" t="s">
        <v>2502</v>
      </c>
      <c r="E2" s="2569">
        <f>SUM(E6:E13)</f>
        <v>37575</v>
      </c>
    </row>
    <row r="3" spans="1:6" ht="15.75">
      <c r="A3" s="2565" t="s">
        <v>1395</v>
      </c>
      <c r="B3" s="2566">
        <f ca="1">ROUND(B2*10000/E2,0)</f>
        <v>83752</v>
      </c>
      <c r="C3" s="2567" t="s">
        <v>2509</v>
      </c>
      <c r="D3" s="2570"/>
      <c r="E3" s="2571"/>
    </row>
    <row r="4" spans="1:6" ht="15">
      <c r="A4" s="2572"/>
      <c r="B4" s="2570"/>
      <c r="C4" s="2570"/>
      <c r="D4" s="2570"/>
      <c r="E4" s="2571"/>
    </row>
    <row r="5" spans="1:6" ht="13.9">
      <c r="A5" s="2573" t="s">
        <v>2503</v>
      </c>
      <c r="B5" s="3219" t="s">
        <v>2504</v>
      </c>
      <c r="C5" s="3219"/>
      <c r="D5" s="2574"/>
      <c r="E5" s="2575" t="s">
        <v>2505</v>
      </c>
      <c r="F5" s="2576" t="s">
        <v>2506</v>
      </c>
    </row>
    <row r="6" spans="1:6">
      <c r="A6" s="2577" t="str">
        <f>'数据-取费表'!AN6</f>
        <v>收益法</v>
      </c>
      <c r="B6" s="2576">
        <f ca="1">IF(F6="是",'数据-取费表'!AO6,0)</f>
        <v>314698</v>
      </c>
      <c r="C6" s="2567" t="s">
        <v>2501</v>
      </c>
      <c r="D6" s="2570"/>
      <c r="E6" s="2578">
        <f>IF(OR(A6=0,F6="否"),0,'数据-取费表'!K6+'数据-取费表'!S6)</f>
        <v>37575</v>
      </c>
      <c r="F6" s="2579" t="s">
        <v>2507</v>
      </c>
    </row>
    <row r="7" spans="1:6">
      <c r="A7" s="2577">
        <f>'数据-取费表'!AN7</f>
        <v>0</v>
      </c>
      <c r="B7" s="2576" t="e">
        <f ca="1">IF(F7="是",'数据-取费表'!AO7,0)</f>
        <v>#REF!</v>
      </c>
      <c r="C7" s="2567" t="s">
        <v>2501</v>
      </c>
      <c r="D7" s="2570"/>
      <c r="E7" s="2578">
        <f>IF(OR(A7=0,F7="否"),0,'数据-取费表'!K7+'数据-取费表'!S7)</f>
        <v>0</v>
      </c>
      <c r="F7" s="2579" t="s">
        <v>2507</v>
      </c>
    </row>
    <row r="8" spans="1:6">
      <c r="A8" s="2577">
        <f>'数据-取费表'!AN8</f>
        <v>0</v>
      </c>
      <c r="B8" s="2576" t="e">
        <f ca="1">IF(F8="是",'数据-取费表'!AO8,0)</f>
        <v>#REF!</v>
      </c>
      <c r="C8" s="2567" t="s">
        <v>2501</v>
      </c>
      <c r="D8" s="2570"/>
      <c r="E8" s="2578">
        <f>IF(OR(A8=0,F8="否"),0,'数据-取费表'!K8+'数据-取费表'!S8)</f>
        <v>0</v>
      </c>
      <c r="F8" s="2579" t="s">
        <v>2507</v>
      </c>
    </row>
    <row r="9" spans="1:6">
      <c r="A9" s="2577">
        <f>'数据-取费表'!AN9</f>
        <v>0</v>
      </c>
      <c r="B9" s="2576" t="e">
        <f ca="1">IF(F9="是",'数据-取费表'!AO9,0)</f>
        <v>#REF!</v>
      </c>
      <c r="C9" s="2567" t="s">
        <v>2501</v>
      </c>
      <c r="D9" s="2570"/>
      <c r="E9" s="2578">
        <f>IF(OR(A9=0,F9="否"),0,'数据-取费表'!K9+'数据-取费表'!S9)</f>
        <v>0</v>
      </c>
      <c r="F9" s="2579" t="s">
        <v>2507</v>
      </c>
    </row>
    <row r="10" spans="1:6">
      <c r="A10" s="2577">
        <f>'数据-取费表'!AN10</f>
        <v>0</v>
      </c>
      <c r="B10" s="2576" t="e">
        <f ca="1">IF(F10="是",'数据-取费表'!AO10,0)</f>
        <v>#REF!</v>
      </c>
      <c r="C10" s="2567" t="s">
        <v>2501</v>
      </c>
      <c r="D10" s="2570"/>
      <c r="E10" s="2578">
        <f>IF(OR(A10=0,F10="否"),0,'数据-取费表'!K10+'数据-取费表'!S10)</f>
        <v>0</v>
      </c>
      <c r="F10" s="2579" t="s">
        <v>2507</v>
      </c>
    </row>
    <row r="11" spans="1:6">
      <c r="A11" s="2577">
        <f>'数据-取费表'!AN11</f>
        <v>0</v>
      </c>
      <c r="B11" s="2576" t="e">
        <f ca="1">IF(F11="是",'数据-取费表'!AO11,0)</f>
        <v>#REF!</v>
      </c>
      <c r="C11" s="2567" t="s">
        <v>2501</v>
      </c>
      <c r="D11" s="2570"/>
      <c r="E11" s="2578">
        <f>IF(OR(A11=0,F11="否"),0,'数据-取费表'!K11+'数据-取费表'!S11)</f>
        <v>0</v>
      </c>
      <c r="F11" s="2579" t="s">
        <v>2507</v>
      </c>
    </row>
    <row r="12" spans="1:6">
      <c r="A12" s="2577">
        <f>'数据-取费表'!AN12</f>
        <v>0</v>
      </c>
      <c r="B12" s="2576" t="e">
        <f ca="1">IF(F12="是",'数据-取费表'!AO12,0)</f>
        <v>#REF!</v>
      </c>
      <c r="C12" s="2567" t="s">
        <v>2501</v>
      </c>
      <c r="D12" s="2570"/>
      <c r="E12" s="2578">
        <f>IF(OR(A12=0,F12="否"),0,'数据-取费表'!K12+'数据-取费表'!S12)</f>
        <v>0</v>
      </c>
      <c r="F12" s="2579" t="s">
        <v>2507</v>
      </c>
    </row>
    <row r="13" spans="1:6" ht="13.9" thickBot="1">
      <c r="A13" s="2580">
        <f>'数据-取费表'!AN13</f>
        <v>0</v>
      </c>
      <c r="B13" s="2576" t="e">
        <f ca="1">IF(F13="是",'数据-取费表'!AO13,0)</f>
        <v>#REF!</v>
      </c>
      <c r="C13" s="2581" t="s">
        <v>2501</v>
      </c>
      <c r="D13" s="2582"/>
      <c r="E13" s="2578">
        <f>IF(OR(A13=0,F13="否"),0,'数据-取费表'!K13+'数据-取费表'!S13)</f>
        <v>0</v>
      </c>
      <c r="F13" s="2579" t="s">
        <v>2507</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J10" sqref="J10"/>
    </sheetView>
  </sheetViews>
  <sheetFormatPr defaultRowHeight="13.5"/>
  <cols>
    <col min="1" max="1" width="10.46484375" customWidth="1"/>
    <col min="2" max="2" width="12.86328125" customWidth="1"/>
    <col min="3" max="3" width="8.73046875" customWidth="1"/>
  </cols>
  <sheetData>
    <row r="1" spans="1:9" ht="15.75">
      <c r="A1" s="3220" t="s">
        <v>1076</v>
      </c>
      <c r="B1" s="3221"/>
      <c r="C1" s="3222"/>
      <c r="D1" s="3223">
        <f>SUM(I10,I15,I20,I21,I23)</f>
        <v>0</v>
      </c>
      <c r="E1" s="3223"/>
      <c r="F1" s="3223"/>
      <c r="G1" s="3223"/>
      <c r="H1" s="3223"/>
      <c r="I1" s="3224"/>
    </row>
    <row r="2" spans="1:9">
      <c r="A2" s="3225" t="s">
        <v>1077</v>
      </c>
      <c r="B2" s="3226" t="s">
        <v>1078</v>
      </c>
      <c r="C2" s="3226"/>
      <c r="D2" s="1304" t="s">
        <v>1079</v>
      </c>
      <c r="E2" s="1304" t="s">
        <v>1080</v>
      </c>
      <c r="F2" s="1304" t="s">
        <v>1081</v>
      </c>
      <c r="G2" s="1304" t="s">
        <v>1082</v>
      </c>
      <c r="H2" s="1304" t="s">
        <v>1083</v>
      </c>
      <c r="I2" s="1305" t="s">
        <v>1084</v>
      </c>
    </row>
    <row r="3" spans="1:9">
      <c r="A3" s="3225"/>
      <c r="B3" s="3226" t="s">
        <v>1085</v>
      </c>
      <c r="C3" s="3226"/>
      <c r="D3" s="1306"/>
      <c r="E3" s="1304"/>
      <c r="F3" s="1307"/>
      <c r="G3" s="1307"/>
      <c r="H3" s="1308"/>
      <c r="I3" s="1309">
        <f>ROUND(D3*E3*F3*G3*H3/10000,0)</f>
        <v>0</v>
      </c>
    </row>
    <row r="4" spans="1:9">
      <c r="A4" s="3225"/>
      <c r="B4" s="3226" t="s">
        <v>1086</v>
      </c>
      <c r="C4" s="3226"/>
      <c r="D4" s="1306"/>
      <c r="E4" s="1304"/>
      <c r="F4" s="1307"/>
      <c r="G4" s="1307"/>
      <c r="H4" s="1308"/>
      <c r="I4" s="1309">
        <f t="shared" ref="I4:I9" si="0">ROUND(D4*E4*F4*G4*H4/10000,0)</f>
        <v>0</v>
      </c>
    </row>
    <row r="5" spans="1:9">
      <c r="A5" s="3225"/>
      <c r="B5" s="3226" t="s">
        <v>1087</v>
      </c>
      <c r="C5" s="3226"/>
      <c r="D5" s="1306"/>
      <c r="E5" s="1304"/>
      <c r="F5" s="1307"/>
      <c r="G5" s="1307"/>
      <c r="H5" s="1308"/>
      <c r="I5" s="1309">
        <f t="shared" si="0"/>
        <v>0</v>
      </c>
    </row>
    <row r="6" spans="1:9">
      <c r="A6" s="3225"/>
      <c r="B6" s="3226" t="s">
        <v>1088</v>
      </c>
      <c r="C6" s="3226"/>
      <c r="D6" s="1306"/>
      <c r="E6" s="1304"/>
      <c r="F6" s="1307"/>
      <c r="G6" s="1307"/>
      <c r="H6" s="1308"/>
      <c r="I6" s="1309">
        <f t="shared" si="0"/>
        <v>0</v>
      </c>
    </row>
    <row r="7" spans="1:9">
      <c r="A7" s="3225"/>
      <c r="B7" s="3226" t="s">
        <v>1089</v>
      </c>
      <c r="C7" s="3226"/>
      <c r="D7" s="1306"/>
      <c r="E7" s="1304"/>
      <c r="F7" s="1307"/>
      <c r="G7" s="1307"/>
      <c r="H7" s="1308"/>
      <c r="I7" s="1309">
        <f t="shared" si="0"/>
        <v>0</v>
      </c>
    </row>
    <row r="8" spans="1:9">
      <c r="A8" s="3225"/>
      <c r="B8" s="3226" t="s">
        <v>1090</v>
      </c>
      <c r="C8" s="3226"/>
      <c r="D8" s="1306"/>
      <c r="E8" s="1304"/>
      <c r="F8" s="1307"/>
      <c r="G8" s="1307"/>
      <c r="H8" s="1308"/>
      <c r="I8" s="1309">
        <f t="shared" si="0"/>
        <v>0</v>
      </c>
    </row>
    <row r="9" spans="1:9">
      <c r="A9" s="3225"/>
      <c r="B9" s="3226" t="s">
        <v>1091</v>
      </c>
      <c r="C9" s="3226"/>
      <c r="D9" s="1306"/>
      <c r="E9" s="1304"/>
      <c r="F9" s="1307"/>
      <c r="G9" s="1307"/>
      <c r="H9" s="1308"/>
      <c r="I9" s="1309">
        <f t="shared" si="0"/>
        <v>0</v>
      </c>
    </row>
    <row r="10" spans="1:9">
      <c r="A10" s="3225"/>
      <c r="B10" s="3227" t="s">
        <v>1092</v>
      </c>
      <c r="C10" s="3227"/>
      <c r="D10" s="1310"/>
      <c r="E10" s="1310" t="e">
        <f>ROUND(D1*10000/D10/H9,0)</f>
        <v>#DIV/0!</v>
      </c>
      <c r="F10" s="1311"/>
      <c r="G10" s="1311"/>
      <c r="H10" s="1312"/>
      <c r="I10" s="1313">
        <f>SUM(I3:I9)</f>
        <v>0</v>
      </c>
    </row>
    <row r="11" spans="1:9" ht="15.75">
      <c r="A11" s="3225" t="s">
        <v>1093</v>
      </c>
      <c r="B11" s="3226" t="s">
        <v>1094</v>
      </c>
      <c r="C11" s="3226"/>
      <c r="D11" s="1306" t="s">
        <v>1095</v>
      </c>
      <c r="E11" s="1306" t="s">
        <v>1096</v>
      </c>
      <c r="F11" s="1307" t="s">
        <v>1097</v>
      </c>
      <c r="G11" s="1307" t="s">
        <v>1083</v>
      </c>
      <c r="H11" s="1314" t="s">
        <v>1098</v>
      </c>
      <c r="I11" s="1305" t="s">
        <v>1084</v>
      </c>
    </row>
    <row r="12" spans="1:9">
      <c r="A12" s="3225"/>
      <c r="B12" s="3226" t="s">
        <v>1099</v>
      </c>
      <c r="C12" s="3226"/>
      <c r="D12" s="1306"/>
      <c r="E12" s="1306"/>
      <c r="F12" s="1307"/>
      <c r="G12" s="1308"/>
      <c r="H12" s="1315"/>
      <c r="I12" s="1305">
        <f>ROUND(D12*E12*F12*G12/10000,0)</f>
        <v>0</v>
      </c>
    </row>
    <row r="13" spans="1:9">
      <c r="A13" s="3225"/>
      <c r="B13" s="3226" t="s">
        <v>1100</v>
      </c>
      <c r="C13" s="3226"/>
      <c r="D13" s="1306"/>
      <c r="E13" s="1306"/>
      <c r="F13" s="1307"/>
      <c r="G13" s="1308"/>
      <c r="H13" s="1315"/>
      <c r="I13" s="1305">
        <f>ROUND(D13*E13*F13*G13/10000,0)</f>
        <v>0</v>
      </c>
    </row>
    <row r="14" spans="1:9">
      <c r="A14" s="3225"/>
      <c r="B14" s="3226" t="s">
        <v>1101</v>
      </c>
      <c r="C14" s="3226"/>
      <c r="D14" s="1306"/>
      <c r="E14" s="1306"/>
      <c r="F14" s="1307"/>
      <c r="G14" s="1308"/>
      <c r="H14" s="1315"/>
      <c r="I14" s="1305">
        <f>ROUND(D14*E14*F14*G14/10000,0)</f>
        <v>0</v>
      </c>
    </row>
    <row r="15" spans="1:9">
      <c r="A15" s="3225"/>
      <c r="B15" s="3227" t="s">
        <v>1092</v>
      </c>
      <c r="C15" s="3227"/>
      <c r="D15" s="1310"/>
      <c r="E15" s="1310">
        <f>SUM(E12:E14)</f>
        <v>0</v>
      </c>
      <c r="F15" s="1311"/>
      <c r="G15" s="1308"/>
      <c r="H15" s="1315"/>
      <c r="I15" s="1316">
        <f>SUM(I12:I14)</f>
        <v>0</v>
      </c>
    </row>
    <row r="16" spans="1:9" ht="25.5">
      <c r="A16" s="3225" t="s">
        <v>1102</v>
      </c>
      <c r="B16" s="3226" t="s">
        <v>1103</v>
      </c>
      <c r="C16" s="3226"/>
      <c r="D16" s="1306" t="s">
        <v>1079</v>
      </c>
      <c r="E16" s="1317" t="s">
        <v>1104</v>
      </c>
      <c r="F16" s="1307" t="s">
        <v>1105</v>
      </c>
      <c r="G16" s="1308" t="s">
        <v>1083</v>
      </c>
      <c r="H16" s="1314" t="s">
        <v>1098</v>
      </c>
      <c r="I16" s="1305" t="s">
        <v>1084</v>
      </c>
    </row>
    <row r="17" spans="1:9" ht="15.75">
      <c r="A17" s="3225"/>
      <c r="B17" s="3226" t="s">
        <v>1106</v>
      </c>
      <c r="C17" s="3226"/>
      <c r="D17" s="1306"/>
      <c r="E17" s="1306"/>
      <c r="F17" s="1307"/>
      <c r="G17" s="1308"/>
      <c r="H17" s="1318"/>
      <c r="I17" s="1319">
        <f>ROUND(D17*E17*F17*G17/10000,0)</f>
        <v>0</v>
      </c>
    </row>
    <row r="18" spans="1:9" ht="15.75">
      <c r="A18" s="3225"/>
      <c r="B18" s="3226" t="s">
        <v>1107</v>
      </c>
      <c r="C18" s="3226"/>
      <c r="D18" s="1306"/>
      <c r="E18" s="1306"/>
      <c r="F18" s="1307"/>
      <c r="G18" s="1308"/>
      <c r="H18" s="1318"/>
      <c r="I18" s="1319">
        <f>ROUND(D18*E18*F18*G18/10000,0)</f>
        <v>0</v>
      </c>
    </row>
    <row r="19" spans="1:9" ht="15.75">
      <c r="A19" s="3225"/>
      <c r="B19" s="3226" t="s">
        <v>1108</v>
      </c>
      <c r="C19" s="3226"/>
      <c r="D19" s="1306"/>
      <c r="E19" s="1306"/>
      <c r="F19" s="1307"/>
      <c r="G19" s="1308"/>
      <c r="H19" s="1318"/>
      <c r="I19" s="1319">
        <f>ROUND(D19*E19*F19*G19/10000,0)</f>
        <v>0</v>
      </c>
    </row>
    <row r="20" spans="1:9">
      <c r="A20" s="3225"/>
      <c r="B20" s="3227" t="s">
        <v>1092</v>
      </c>
      <c r="C20" s="3227"/>
      <c r="D20" s="1310">
        <f>SUM(D17:D19)</f>
        <v>0</v>
      </c>
      <c r="E20" s="1310"/>
      <c r="F20" s="1311"/>
      <c r="G20" s="1308"/>
      <c r="H20" s="1315"/>
      <c r="I20" s="1316">
        <f>SUM(I17:I19)</f>
        <v>0</v>
      </c>
    </row>
    <row r="21" spans="1:9">
      <c r="A21" s="3225" t="s">
        <v>1109</v>
      </c>
      <c r="B21" s="3229"/>
      <c r="C21" s="3229"/>
      <c r="D21" s="3229"/>
      <c r="E21" s="3229"/>
      <c r="F21" s="3229"/>
      <c r="G21" s="3229"/>
      <c r="H21" s="1768">
        <v>0.1</v>
      </c>
      <c r="I21" s="1313">
        <f>ROUND(I10*H21,0)</f>
        <v>0</v>
      </c>
    </row>
    <row r="22" spans="1:9" ht="15.75">
      <c r="A22" s="3230" t="s">
        <v>1110</v>
      </c>
      <c r="B22" s="3231"/>
      <c r="C22" s="3232"/>
      <c r="D22" s="1320" t="s">
        <v>1111</v>
      </c>
      <c r="E22" s="1320" t="s">
        <v>1112</v>
      </c>
      <c r="F22" s="1321" t="s">
        <v>1113</v>
      </c>
      <c r="G22" s="1321" t="s">
        <v>1114</v>
      </c>
      <c r="H22" s="1314" t="s">
        <v>1115</v>
      </c>
      <c r="I22" s="1305" t="s">
        <v>1116</v>
      </c>
    </row>
    <row r="23" spans="1:9" ht="13.9" thickBot="1">
      <c r="A23" s="3233"/>
      <c r="B23" s="3234"/>
      <c r="C23" s="3235"/>
      <c r="D23" s="1322"/>
      <c r="E23" s="1322"/>
      <c r="F23" s="1322"/>
      <c r="G23" s="1323"/>
      <c r="H23" s="1324"/>
      <c r="I23" s="1325">
        <f>ROUND(E23*D23*F23*(1-G23)/10000,0)</f>
        <v>0</v>
      </c>
    </row>
    <row r="26" spans="1:9">
      <c r="A26" s="1326" t="s">
        <v>1117</v>
      </c>
      <c r="B26" s="1326"/>
      <c r="C26" s="1326"/>
      <c r="D26" s="1326"/>
      <c r="E26" s="3236">
        <f>C27-C30-C31-C32</f>
        <v>0</v>
      </c>
      <c r="F26" s="3236"/>
      <c r="G26" s="3236"/>
      <c r="H26" s="1740" t="s">
        <v>1340</v>
      </c>
    </row>
    <row r="27" spans="1:9">
      <c r="A27" s="1327">
        <v>1</v>
      </c>
      <c r="B27" s="1328" t="s">
        <v>1118</v>
      </c>
      <c r="C27" s="1328">
        <f>C28+C29</f>
        <v>0</v>
      </c>
      <c r="D27" s="1328"/>
      <c r="E27" s="3237"/>
      <c r="F27" s="3237"/>
      <c r="G27" s="3237"/>
    </row>
    <row r="28" spans="1:9">
      <c r="A28" s="1329" t="s">
        <v>1119</v>
      </c>
      <c r="B28" s="1328" t="s">
        <v>1120</v>
      </c>
      <c r="C28" s="1328"/>
      <c r="D28" s="1328"/>
      <c r="E28" s="3237"/>
      <c r="F28" s="3237"/>
      <c r="G28" s="323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8"/>
      <c r="F32" s="3228"/>
      <c r="G32" s="3228"/>
    </row>
    <row r="33" spans="1:7" hidden="1">
      <c r="A33" s="3238" t="s">
        <v>1129</v>
      </c>
      <c r="B33" s="3239"/>
      <c r="C33" s="3239"/>
      <c r="D33" s="3240"/>
      <c r="E33" s="3236"/>
      <c r="F33" s="3236"/>
      <c r="G33" s="3236"/>
    </row>
    <row r="34" spans="1:7" hidden="1">
      <c r="A34" s="1331">
        <v>1</v>
      </c>
      <c r="B34" s="1328" t="s">
        <v>1130</v>
      </c>
      <c r="C34" s="1328"/>
      <c r="D34" s="1328"/>
      <c r="E34" s="3237"/>
      <c r="F34" s="3237"/>
      <c r="G34" s="3237"/>
    </row>
    <row r="35" spans="1:7" hidden="1">
      <c r="A35" s="1331">
        <v>2</v>
      </c>
      <c r="B35" s="1328" t="s">
        <v>1131</v>
      </c>
      <c r="C35" s="1328"/>
      <c r="D35" s="1328"/>
      <c r="E35" s="3237"/>
      <c r="F35" s="3237"/>
      <c r="G35" s="3237"/>
    </row>
    <row r="36" spans="1:7" hidden="1">
      <c r="A36" s="1331">
        <v>3</v>
      </c>
      <c r="B36" s="1328" t="s">
        <v>1132</v>
      </c>
      <c r="C36" s="1328"/>
      <c r="D36" s="1328"/>
      <c r="E36" s="3237"/>
      <c r="F36" s="3237"/>
      <c r="G36" s="3237"/>
    </row>
    <row r="37" spans="1:7" hidden="1">
      <c r="A37" s="1331">
        <v>4</v>
      </c>
      <c r="B37" s="1328" t="s">
        <v>1133</v>
      </c>
      <c r="C37" s="1328"/>
      <c r="D37" s="1328"/>
      <c r="E37" s="3237"/>
      <c r="F37" s="3237"/>
      <c r="G37" s="3237"/>
    </row>
    <row r="38" spans="1:7" hidden="1">
      <c r="A38" s="3238" t="s">
        <v>1134</v>
      </c>
      <c r="B38" s="3239"/>
      <c r="C38" s="3239"/>
      <c r="D38" s="3240"/>
      <c r="E38" s="3236"/>
      <c r="F38" s="3236"/>
      <c r="G38" s="32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J10" sqref="J10"/>
    </sheetView>
  </sheetViews>
  <sheetFormatPr defaultColWidth="9" defaultRowHeight="13.5"/>
  <cols>
    <col min="1" max="1" width="10.46484375" style="403" customWidth="1"/>
    <col min="2" max="2" width="15.73046875" style="403" customWidth="1"/>
    <col min="3" max="3" width="15.1328125" style="403" customWidth="1"/>
    <col min="4" max="4" width="12.265625" style="403" customWidth="1"/>
    <col min="5" max="5" width="14.3984375" style="403" customWidth="1"/>
    <col min="6" max="6" width="12.265625" style="403" customWidth="1"/>
    <col min="7" max="7" width="14.46484375" style="403" customWidth="1"/>
    <col min="8" max="8" width="12.265625" style="403" customWidth="1"/>
    <col min="9" max="9" width="14.46484375" style="403" customWidth="1"/>
    <col min="10" max="10" width="12.265625" style="403" customWidth="1"/>
    <col min="11" max="11" width="12.265625" style="495" customWidth="1"/>
    <col min="12" max="12" width="12.265625" style="496" customWidth="1"/>
    <col min="13" max="15" width="12.265625" style="403" customWidth="1"/>
    <col min="16" max="16" width="4.73046875" style="2625" customWidth="1"/>
    <col min="17" max="17" width="19.46484375" style="403" customWidth="1"/>
    <col min="18" max="22" width="6.1328125" style="403" customWidth="1"/>
    <col min="23" max="23" width="5.73046875" style="403" customWidth="1"/>
    <col min="24" max="24" width="4.265625" style="403" customWidth="1"/>
    <col min="25" max="25" width="3.46484375" style="403" customWidth="1"/>
    <col min="26" max="26" width="19.73046875" style="403" customWidth="1"/>
    <col min="27" max="28" width="9.3984375" style="403" customWidth="1"/>
    <col min="29" max="16384" width="9" style="403"/>
  </cols>
  <sheetData>
    <row r="1" spans="1:29" s="1632" customFormat="1" ht="28.5" customHeight="1" thickBot="1">
      <c r="A1" s="1621" t="s">
        <v>2510</v>
      </c>
      <c r="B1" s="2583" t="s">
        <v>2511</v>
      </c>
      <c r="C1" s="1637" t="s">
        <v>2512</v>
      </c>
      <c r="D1" s="1624"/>
      <c r="E1" s="2584"/>
      <c r="F1" s="2585" t="s">
        <v>2513</v>
      </c>
      <c r="G1" s="1634" t="s">
        <v>2514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2515</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2516</v>
      </c>
      <c r="D3" s="399">
        <f>IF(D1="",'数据-汇总表'!E3,SUMIF('数据-汇总表'!$C19:$C33,D1,'数据-汇总表'!$E19:$E33))</f>
        <v>166960</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3.9">
      <c r="A4" s="401" t="s">
        <v>2517</v>
      </c>
      <c r="B4" s="402"/>
      <c r="C4" s="3259" t="s">
        <v>2518</v>
      </c>
      <c r="D4" s="3260"/>
      <c r="E4" s="3261" t="s">
        <v>2519</v>
      </c>
      <c r="F4" s="3262"/>
      <c r="G4" s="3259" t="s">
        <v>2520</v>
      </c>
      <c r="H4" s="3260"/>
      <c r="I4" s="3259" t="s">
        <v>2521</v>
      </c>
      <c r="J4" s="3260"/>
      <c r="K4" s="2597" t="s">
        <v>2522</v>
      </c>
      <c r="L4" s="1133"/>
      <c r="M4" s="1134"/>
      <c r="N4" s="1134"/>
      <c r="O4" s="1134"/>
      <c r="P4" s="3263" t="s">
        <v>2523</v>
      </c>
      <c r="Q4" s="3264"/>
      <c r="R4" s="3246" t="s">
        <v>2519</v>
      </c>
      <c r="S4" s="3247"/>
      <c r="T4" s="3246" t="s">
        <v>2520</v>
      </c>
      <c r="U4" s="3247"/>
      <c r="V4" s="3271" t="s">
        <v>2521</v>
      </c>
      <c r="W4" s="3271"/>
      <c r="X4" s="1816"/>
      <c r="Y4" s="3246" t="s">
        <v>2523</v>
      </c>
      <c r="Z4" s="3247"/>
      <c r="AA4" s="3241" t="s">
        <v>2519</v>
      </c>
      <c r="AB4" s="3241" t="s">
        <v>2520</v>
      </c>
      <c r="AC4" s="3241" t="s">
        <v>2521</v>
      </c>
    </row>
    <row r="5" spans="1:29" ht="13.9">
      <c r="A5" s="404"/>
      <c r="B5" s="405"/>
      <c r="C5" s="3252" t="s">
        <v>2524</v>
      </c>
      <c r="D5" s="3253"/>
      <c r="E5" s="3250" t="s">
        <v>2525</v>
      </c>
      <c r="F5" s="3251"/>
      <c r="G5" s="3252" t="s">
        <v>2526</v>
      </c>
      <c r="H5" s="3253"/>
      <c r="I5" s="3252" t="s">
        <v>2527</v>
      </c>
      <c r="J5" s="3253"/>
      <c r="K5" s="2598"/>
      <c r="L5" s="1133"/>
      <c r="M5" s="1134"/>
      <c r="N5" s="1134"/>
      <c r="O5" s="1134"/>
      <c r="P5" s="3265"/>
      <c r="Q5" s="3266"/>
      <c r="R5" s="3248"/>
      <c r="S5" s="3249"/>
      <c r="T5" s="3248"/>
      <c r="U5" s="3249"/>
      <c r="V5" s="3271"/>
      <c r="W5" s="3271"/>
      <c r="X5" s="1816"/>
      <c r="Y5" s="3248"/>
      <c r="Z5" s="3249"/>
      <c r="AA5" s="3242"/>
      <c r="AB5" s="3242"/>
      <c r="AC5" s="3242"/>
    </row>
    <row r="6" spans="1:29" ht="14.25" thickBot="1">
      <c r="A6" s="406"/>
      <c r="B6" s="407"/>
      <c r="C6" s="3254" t="s">
        <v>2528</v>
      </c>
      <c r="D6" s="3255"/>
      <c r="E6" s="3256" t="s">
        <v>2528</v>
      </c>
      <c r="F6" s="3257"/>
      <c r="G6" s="3254" t="s">
        <v>2528</v>
      </c>
      <c r="H6" s="3255"/>
      <c r="I6" s="3254" t="s">
        <v>2528</v>
      </c>
      <c r="J6" s="3255"/>
      <c r="K6" s="2598" t="s">
        <v>2529</v>
      </c>
      <c r="L6" s="1133"/>
      <c r="M6" s="1134"/>
      <c r="N6" s="1134"/>
      <c r="O6" s="1134"/>
      <c r="P6" s="3267"/>
      <c r="Q6" s="3268"/>
      <c r="R6" s="3248"/>
      <c r="S6" s="3249"/>
      <c r="T6" s="3269"/>
      <c r="U6" s="3270"/>
      <c r="V6" s="3271"/>
      <c r="W6" s="3271"/>
      <c r="X6" s="1816"/>
      <c r="Y6" s="3269"/>
      <c r="Z6" s="3270"/>
      <c r="AA6" s="3243"/>
      <c r="AB6" s="3243"/>
      <c r="AC6" s="3243"/>
    </row>
    <row r="7" spans="1:29" s="117" customFormat="1" ht="14.25" thickBot="1">
      <c r="A7" s="408" t="s">
        <v>2530</v>
      </c>
      <c r="B7" s="409"/>
      <c r="C7" s="410">
        <f>'数据-取费表'!B2</f>
        <v>43215</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44" t="s">
        <v>2531</v>
      </c>
      <c r="Q7" s="3272"/>
      <c r="R7" s="770" t="s">
        <v>23</v>
      </c>
      <c r="S7" s="771">
        <f t="shared" ref="S7:S15" si="0">F7</f>
        <v>0</v>
      </c>
      <c r="T7" s="770" t="s">
        <v>23</v>
      </c>
      <c r="U7" s="771">
        <f t="shared" ref="U7:U15" si="1">H7</f>
        <v>0</v>
      </c>
      <c r="V7" s="770" t="s">
        <v>23</v>
      </c>
      <c r="W7" s="771">
        <f t="shared" ref="W7:W15" si="2">J7</f>
        <v>0</v>
      </c>
      <c r="X7" s="772"/>
      <c r="Y7" s="3244" t="s">
        <v>2531</v>
      </c>
      <c r="Z7" s="3245"/>
      <c r="AA7" s="773" t="e">
        <f>D7/F7</f>
        <v>#DIV/0!</v>
      </c>
      <c r="AB7" s="773" t="e">
        <f>D7/H7</f>
        <v>#DIV/0!</v>
      </c>
      <c r="AC7" s="773" t="e">
        <f>D7/J7</f>
        <v>#DIV/0!</v>
      </c>
    </row>
    <row r="8" spans="1:29" s="117" customFormat="1" ht="14.25" thickBot="1">
      <c r="A8" s="408" t="s">
        <v>2532</v>
      </c>
      <c r="B8" s="409"/>
      <c r="C8" s="414" t="s">
        <v>2533</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44" t="s">
        <v>2534</v>
      </c>
      <c r="Q8" s="3245"/>
      <c r="R8" s="770" t="s">
        <v>23</v>
      </c>
      <c r="S8" s="771">
        <f t="shared" si="0"/>
        <v>0</v>
      </c>
      <c r="T8" s="770" t="s">
        <v>23</v>
      </c>
      <c r="U8" s="771">
        <f t="shared" si="1"/>
        <v>0</v>
      </c>
      <c r="V8" s="770" t="s">
        <v>23</v>
      </c>
      <c r="W8" s="771">
        <f t="shared" si="2"/>
        <v>0</v>
      </c>
      <c r="X8" s="772"/>
      <c r="Y8" s="3244" t="s">
        <v>2534</v>
      </c>
      <c r="Z8" s="3245"/>
      <c r="AA8" s="773" t="e">
        <f t="shared" ref="AA8:AA19" si="3">D8/F8</f>
        <v>#DIV/0!</v>
      </c>
      <c r="AB8" s="773" t="e">
        <f t="shared" ref="AB8:AB19" si="4">D8/H8</f>
        <v>#DIV/0!</v>
      </c>
      <c r="AC8" s="773" t="e">
        <f t="shared" ref="AC8:AC19" si="5">D8/J8</f>
        <v>#DIV/0!</v>
      </c>
    </row>
    <row r="9" spans="1:29" s="117" customFormat="1">
      <c r="A9" s="415" t="s">
        <v>2535</v>
      </c>
      <c r="B9" s="71" t="s">
        <v>2536</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58" t="s">
        <v>2537</v>
      </c>
      <c r="Q9" s="1798" t="str">
        <f t="shared" ref="Q9:Q15" si="6">B9</f>
        <v>用途</v>
      </c>
      <c r="R9" s="770" t="s">
        <v>17</v>
      </c>
      <c r="S9" s="771">
        <f t="shared" si="0"/>
        <v>100</v>
      </c>
      <c r="T9" s="770" t="s">
        <v>17</v>
      </c>
      <c r="U9" s="771">
        <f t="shared" si="1"/>
        <v>100</v>
      </c>
      <c r="V9" s="770" t="s">
        <v>17</v>
      </c>
      <c r="W9" s="771">
        <f t="shared" si="2"/>
        <v>100</v>
      </c>
      <c r="X9" s="772"/>
      <c r="Y9" s="3066"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8"/>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8"/>
      <c r="Q11" s="1798" t="str">
        <f t="shared" si="6"/>
        <v>容积率</v>
      </c>
      <c r="R11" s="770" t="s">
        <v>21</v>
      </c>
      <c r="S11" s="771" t="e">
        <f t="shared" si="0"/>
        <v>#N/A</v>
      </c>
      <c r="T11" s="770" t="s">
        <v>21</v>
      </c>
      <c r="U11" s="771" t="e">
        <f t="shared" si="1"/>
        <v>#N/A</v>
      </c>
      <c r="V11" s="770" t="s">
        <v>21</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58"/>
      <c r="Q12" s="1798">
        <f t="shared" si="6"/>
        <v>111</v>
      </c>
      <c r="R12" s="770" t="s">
        <v>21</v>
      </c>
      <c r="S12" s="771">
        <f t="shared" si="0"/>
        <v>100</v>
      </c>
      <c r="T12" s="770" t="s">
        <v>21</v>
      </c>
      <c r="U12" s="771">
        <f t="shared" si="1"/>
        <v>100</v>
      </c>
      <c r="V12" s="770" t="s">
        <v>21</v>
      </c>
      <c r="W12" s="771">
        <f t="shared" si="2"/>
        <v>100</v>
      </c>
      <c r="X12" s="772"/>
      <c r="Y12" s="306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58"/>
      <c r="Q13" s="1798">
        <f t="shared" si="6"/>
        <v>111</v>
      </c>
      <c r="R13" s="770" t="s">
        <v>21</v>
      </c>
      <c r="S13" s="771">
        <f t="shared" si="0"/>
        <v>100</v>
      </c>
      <c r="T13" s="770" t="s">
        <v>21</v>
      </c>
      <c r="U13" s="771">
        <f t="shared" si="1"/>
        <v>100</v>
      </c>
      <c r="V13" s="770" t="s">
        <v>21</v>
      </c>
      <c r="W13" s="771">
        <f t="shared" si="2"/>
        <v>100</v>
      </c>
      <c r="X13" s="772"/>
      <c r="Y13" s="3066"/>
      <c r="Z13" s="55">
        <f t="shared" si="7"/>
        <v>111</v>
      </c>
      <c r="AA13" s="773">
        <f t="shared" si="3"/>
        <v>1</v>
      </c>
      <c r="AB13" s="773">
        <f t="shared" si="4"/>
        <v>1</v>
      </c>
      <c r="AC13" s="773">
        <f t="shared" si="5"/>
        <v>1</v>
      </c>
    </row>
    <row r="14" spans="1:29" ht="15.4"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58"/>
      <c r="Q14" s="1798">
        <f t="shared" si="6"/>
        <v>111</v>
      </c>
      <c r="R14" s="770" t="s">
        <v>21</v>
      </c>
      <c r="S14" s="771">
        <f t="shared" si="0"/>
        <v>100</v>
      </c>
      <c r="T14" s="770" t="s">
        <v>21</v>
      </c>
      <c r="U14" s="771">
        <f t="shared" si="1"/>
        <v>100</v>
      </c>
      <c r="V14" s="770" t="s">
        <v>21</v>
      </c>
      <c r="W14" s="771">
        <f t="shared" si="2"/>
        <v>100</v>
      </c>
      <c r="X14" s="772"/>
      <c r="Y14" s="3066"/>
      <c r="Z14" s="55">
        <f t="shared" si="7"/>
        <v>111</v>
      </c>
      <c r="AA14" s="773">
        <f t="shared" si="3"/>
        <v>1</v>
      </c>
      <c r="AB14" s="773">
        <f t="shared" si="4"/>
        <v>1</v>
      </c>
      <c r="AC14" s="773">
        <f t="shared" si="5"/>
        <v>1</v>
      </c>
    </row>
    <row r="15" spans="1:29" ht="15">
      <c r="A15" s="440" t="s">
        <v>2541</v>
      </c>
      <c r="B15" s="69" t="s">
        <v>2080</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5" t="s">
        <v>2542</v>
      </c>
      <c r="Q15" s="1813" t="str">
        <f t="shared" si="6"/>
        <v>居住社区成熟度</v>
      </c>
      <c r="R15" s="774" t="s">
        <v>21</v>
      </c>
      <c r="S15" s="775">
        <f t="shared" si="0"/>
        <v>100</v>
      </c>
      <c r="T15" s="774" t="s">
        <v>21</v>
      </c>
      <c r="U15" s="775">
        <f t="shared" si="1"/>
        <v>100</v>
      </c>
      <c r="V15" s="774" t="s">
        <v>21</v>
      </c>
      <c r="W15" s="775">
        <f t="shared" si="2"/>
        <v>100</v>
      </c>
      <c r="X15" s="1816"/>
      <c r="Y15" s="3278" t="s">
        <v>2542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86"/>
      <c r="Q16" s="1813"/>
      <c r="R16" s="774"/>
      <c r="S16" s="775"/>
      <c r="T16" s="774"/>
      <c r="U16" s="775"/>
      <c r="V16" s="774"/>
      <c r="W16" s="775"/>
      <c r="X16" s="1816"/>
      <c r="Y16" s="3279"/>
      <c r="Z16" s="1817"/>
      <c r="AA16" s="1814">
        <v>1</v>
      </c>
      <c r="AB16" s="1814">
        <v>1</v>
      </c>
      <c r="AC16" s="1814">
        <v>1</v>
      </c>
    </row>
    <row r="17" spans="1:29" ht="15">
      <c r="A17" s="428"/>
      <c r="B17" s="451" t="s">
        <v>2086</v>
      </c>
      <c r="C17" s="2608">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6"/>
      <c r="Q17" s="1813" t="str">
        <f>B17</f>
        <v>交通便捷度</v>
      </c>
      <c r="R17" s="774" t="s">
        <v>21</v>
      </c>
      <c r="S17" s="775">
        <f>F17</f>
        <v>100</v>
      </c>
      <c r="T17" s="774" t="s">
        <v>21</v>
      </c>
      <c r="U17" s="775">
        <f>H17</f>
        <v>100</v>
      </c>
      <c r="V17" s="774" t="s">
        <v>21</v>
      </c>
      <c r="W17" s="775">
        <f>J17</f>
        <v>100</v>
      </c>
      <c r="X17" s="1816"/>
      <c r="Y17" s="3279"/>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86"/>
      <c r="Q18" s="1813"/>
      <c r="R18" s="774"/>
      <c r="S18" s="775"/>
      <c r="T18" s="774"/>
      <c r="U18" s="775"/>
      <c r="V18" s="774"/>
      <c r="W18" s="775"/>
      <c r="X18" s="1816"/>
      <c r="Y18" s="3279"/>
      <c r="Z18" s="1817"/>
      <c r="AA18" s="1814">
        <v>1</v>
      </c>
      <c r="AB18" s="1814">
        <v>1</v>
      </c>
      <c r="AC18" s="1814">
        <v>1</v>
      </c>
    </row>
    <row r="19" spans="1:29" ht="15">
      <c r="A19" s="428"/>
      <c r="B19" s="451" t="s">
        <v>2085</v>
      </c>
      <c r="C19" s="2608">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6"/>
      <c r="Q19" s="1813" t="str">
        <f>B19</f>
        <v>公共配套设施</v>
      </c>
      <c r="R19" s="774" t="s">
        <v>21</v>
      </c>
      <c r="S19" s="775">
        <f>F19</f>
        <v>100</v>
      </c>
      <c r="T19" s="774" t="s">
        <v>21</v>
      </c>
      <c r="U19" s="775">
        <f>H19</f>
        <v>100</v>
      </c>
      <c r="V19" s="774" t="s">
        <v>21</v>
      </c>
      <c r="W19" s="775">
        <f>J19</f>
        <v>100</v>
      </c>
      <c r="X19" s="1816"/>
      <c r="Y19" s="3279"/>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86"/>
      <c r="Q20" s="1813"/>
      <c r="R20" s="774"/>
      <c r="S20" s="775"/>
      <c r="T20" s="774"/>
      <c r="U20" s="775"/>
      <c r="V20" s="774"/>
      <c r="W20" s="775"/>
      <c r="X20" s="1816"/>
      <c r="Y20" s="3279"/>
      <c r="Z20" s="1817"/>
      <c r="AA20" s="1814">
        <v>1</v>
      </c>
      <c r="AB20" s="1814">
        <v>1</v>
      </c>
      <c r="AC20" s="1814">
        <v>1</v>
      </c>
    </row>
    <row r="21" spans="1:29" ht="15">
      <c r="A21" s="428"/>
      <c r="B21" s="1387" t="s">
        <v>2087</v>
      </c>
      <c r="C21" s="2608">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6"/>
      <c r="Q21" s="1813" t="str">
        <f>B21</f>
        <v>基础设施水平</v>
      </c>
      <c r="R21" s="774" t="s">
        <v>17</v>
      </c>
      <c r="S21" s="775">
        <f>F21</f>
        <v>100</v>
      </c>
      <c r="T21" s="774" t="s">
        <v>17</v>
      </c>
      <c r="U21" s="775">
        <f>H21</f>
        <v>100</v>
      </c>
      <c r="V21" s="774" t="s">
        <v>17</v>
      </c>
      <c r="W21" s="775">
        <f>J21</f>
        <v>100</v>
      </c>
      <c r="X21" s="1816"/>
      <c r="Y21" s="3279"/>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86"/>
      <c r="Q22" s="1813"/>
      <c r="R22" s="774"/>
      <c r="S22" s="775"/>
      <c r="T22" s="774"/>
      <c r="U22" s="775"/>
      <c r="V22" s="774"/>
      <c r="W22" s="775"/>
      <c r="X22" s="1816"/>
      <c r="Y22" s="3279"/>
      <c r="Z22" s="1817"/>
      <c r="AA22" s="1814">
        <v>1</v>
      </c>
      <c r="AB22" s="1814">
        <v>1</v>
      </c>
      <c r="AC22" s="1814">
        <v>1</v>
      </c>
    </row>
    <row r="23" spans="1:29" ht="15">
      <c r="A23" s="428"/>
      <c r="B23" s="451" t="s">
        <v>2089</v>
      </c>
      <c r="C23" s="2608">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6"/>
      <c r="Q23" s="1813" t="str">
        <f>B23</f>
        <v>自然及人文环境</v>
      </c>
      <c r="R23" s="774" t="s">
        <v>21</v>
      </c>
      <c r="S23" s="775">
        <f>F23</f>
        <v>100</v>
      </c>
      <c r="T23" s="774" t="s">
        <v>21</v>
      </c>
      <c r="U23" s="775">
        <f>H23</f>
        <v>100</v>
      </c>
      <c r="V23" s="774" t="s">
        <v>21</v>
      </c>
      <c r="W23" s="775">
        <f>J23</f>
        <v>100</v>
      </c>
      <c r="X23" s="1816"/>
      <c r="Y23" s="3279"/>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86"/>
      <c r="Q24" s="1813"/>
      <c r="R24" s="774"/>
      <c r="S24" s="775"/>
      <c r="T24" s="774"/>
      <c r="U24" s="775"/>
      <c r="V24" s="774"/>
      <c r="W24" s="775"/>
      <c r="X24" s="1816"/>
      <c r="Y24" s="3279"/>
      <c r="Z24" s="1817"/>
      <c r="AA24" s="1814">
        <v>1</v>
      </c>
      <c r="AB24" s="1814">
        <v>1</v>
      </c>
      <c r="AC24" s="1814">
        <v>1</v>
      </c>
    </row>
    <row r="25" spans="1:29" ht="15">
      <c r="A25" s="428"/>
      <c r="B25" s="422" t="s">
        <v>2543</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8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79"/>
      <c r="Z25" s="1817" t="str">
        <f>Q25</f>
        <v>楼层-1</v>
      </c>
      <c r="AA25" s="1814">
        <f t="shared" ref="AA25:AA46" si="15">D25/F25</f>
        <v>1</v>
      </c>
      <c r="AB25" s="1814">
        <f t="shared" ref="AB25:AB46" si="16">D25/H25</f>
        <v>1</v>
      </c>
      <c r="AC25" s="1814">
        <f t="shared" ref="AC25:AC46" si="17">D25/J25</f>
        <v>1</v>
      </c>
    </row>
    <row r="26" spans="1:29" ht="15">
      <c r="A26" s="428"/>
      <c r="B26" s="422" t="s">
        <v>2544</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86"/>
      <c r="Q26" s="1813" t="str">
        <f t="shared" si="11"/>
        <v>朝向</v>
      </c>
      <c r="R26" s="774" t="s">
        <v>21</v>
      </c>
      <c r="S26" s="775">
        <f t="shared" si="12"/>
        <v>100</v>
      </c>
      <c r="T26" s="774" t="s">
        <v>21</v>
      </c>
      <c r="U26" s="775">
        <f t="shared" si="13"/>
        <v>100</v>
      </c>
      <c r="V26" s="774" t="s">
        <v>21</v>
      </c>
      <c r="W26" s="775">
        <f t="shared" si="14"/>
        <v>100</v>
      </c>
      <c r="X26" s="1816"/>
      <c r="Y26" s="327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86"/>
      <c r="Q27" s="1798">
        <f t="shared" si="11"/>
        <v>111</v>
      </c>
      <c r="R27" s="770" t="s">
        <v>21</v>
      </c>
      <c r="S27" s="771">
        <f t="shared" si="12"/>
        <v>100</v>
      </c>
      <c r="T27" s="770" t="s">
        <v>21</v>
      </c>
      <c r="U27" s="771">
        <f t="shared" si="13"/>
        <v>100</v>
      </c>
      <c r="V27" s="770" t="s">
        <v>21</v>
      </c>
      <c r="W27" s="771">
        <f t="shared" si="14"/>
        <v>100</v>
      </c>
      <c r="X27" s="772"/>
      <c r="Y27" s="327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86"/>
      <c r="Q28" s="1813">
        <f t="shared" si="11"/>
        <v>111</v>
      </c>
      <c r="R28" s="774" t="s">
        <v>21</v>
      </c>
      <c r="S28" s="775">
        <f t="shared" si="12"/>
        <v>100</v>
      </c>
      <c r="T28" s="774" t="s">
        <v>21</v>
      </c>
      <c r="U28" s="775">
        <f t="shared" si="13"/>
        <v>100</v>
      </c>
      <c r="V28" s="774" t="s">
        <v>21</v>
      </c>
      <c r="W28" s="775">
        <f t="shared" si="14"/>
        <v>100</v>
      </c>
      <c r="X28" s="1816"/>
      <c r="Y28" s="327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86"/>
      <c r="Q29" s="1813">
        <f t="shared" si="11"/>
        <v>111</v>
      </c>
      <c r="R29" s="774" t="s">
        <v>21</v>
      </c>
      <c r="S29" s="775">
        <f t="shared" si="12"/>
        <v>100</v>
      </c>
      <c r="T29" s="774" t="s">
        <v>21</v>
      </c>
      <c r="U29" s="775">
        <f t="shared" si="13"/>
        <v>100</v>
      </c>
      <c r="V29" s="774" t="s">
        <v>21</v>
      </c>
      <c r="W29" s="775">
        <f t="shared" si="14"/>
        <v>100</v>
      </c>
      <c r="X29" s="1816"/>
      <c r="Y29" s="327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86"/>
      <c r="Q30" s="1813">
        <f t="shared" si="11"/>
        <v>111</v>
      </c>
      <c r="R30" s="774" t="s">
        <v>21</v>
      </c>
      <c r="S30" s="775">
        <f t="shared" si="12"/>
        <v>100</v>
      </c>
      <c r="T30" s="774" t="s">
        <v>21</v>
      </c>
      <c r="U30" s="775">
        <f t="shared" si="13"/>
        <v>100</v>
      </c>
      <c r="V30" s="774" t="s">
        <v>21</v>
      </c>
      <c r="W30" s="775">
        <f t="shared" si="14"/>
        <v>100</v>
      </c>
      <c r="X30" s="1816"/>
      <c r="Y30" s="3279"/>
      <c r="Z30" s="1817">
        <f t="shared" si="18"/>
        <v>111</v>
      </c>
      <c r="AA30" s="1814">
        <f t="shared" si="15"/>
        <v>1</v>
      </c>
      <c r="AB30" s="1814">
        <f t="shared" si="16"/>
        <v>1</v>
      </c>
      <c r="AC30" s="1814">
        <f t="shared" si="17"/>
        <v>1</v>
      </c>
    </row>
    <row r="31" spans="1:29" ht="15.4"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86"/>
      <c r="Q31" s="1813">
        <f t="shared" si="11"/>
        <v>111</v>
      </c>
      <c r="R31" s="774" t="s">
        <v>21</v>
      </c>
      <c r="S31" s="775">
        <f t="shared" si="12"/>
        <v>100</v>
      </c>
      <c r="T31" s="774" t="s">
        <v>21</v>
      </c>
      <c r="U31" s="775">
        <f t="shared" si="13"/>
        <v>100</v>
      </c>
      <c r="V31" s="774" t="s">
        <v>21</v>
      </c>
      <c r="W31" s="775">
        <f t="shared" si="14"/>
        <v>100</v>
      </c>
      <c r="X31" s="1816"/>
      <c r="Y31" s="3279"/>
      <c r="Z31" s="1817">
        <f t="shared" si="18"/>
        <v>111</v>
      </c>
      <c r="AA31" s="1814">
        <f t="shared" si="15"/>
        <v>1</v>
      </c>
      <c r="AB31" s="1814">
        <f t="shared" si="16"/>
        <v>1</v>
      </c>
      <c r="AC31" s="1814">
        <f t="shared" si="17"/>
        <v>1</v>
      </c>
    </row>
    <row r="32" spans="1:29" ht="15">
      <c r="A32" s="440" t="s">
        <v>2545</v>
      </c>
      <c r="B32" s="71" t="s">
        <v>2546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80" t="s">
        <v>2547</v>
      </c>
      <c r="Q32" s="1813" t="str">
        <f t="shared" si="11"/>
        <v>建筑类型</v>
      </c>
      <c r="R32" s="774" t="s">
        <v>21</v>
      </c>
      <c r="S32" s="775">
        <f t="shared" si="12"/>
        <v>100</v>
      </c>
      <c r="T32" s="774" t="s">
        <v>21</v>
      </c>
      <c r="U32" s="775">
        <f t="shared" si="13"/>
        <v>100</v>
      </c>
      <c r="V32" s="774" t="s">
        <v>21</v>
      </c>
      <c r="W32" s="775">
        <f t="shared" si="14"/>
        <v>100</v>
      </c>
      <c r="X32" s="1816"/>
      <c r="Y32" s="3283" t="s">
        <v>2547</v>
      </c>
      <c r="Z32" s="1817" t="str">
        <f t="shared" si="18"/>
        <v>建筑类型</v>
      </c>
      <c r="AA32" s="1814">
        <f t="shared" si="15"/>
        <v>1</v>
      </c>
      <c r="AB32" s="1814">
        <f t="shared" si="16"/>
        <v>1</v>
      </c>
      <c r="AC32" s="1814">
        <f t="shared" si="17"/>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81"/>
      <c r="Q33" s="776" t="str">
        <f t="shared" si="11"/>
        <v>项目建筑规模</v>
      </c>
      <c r="R33" s="777" t="s">
        <v>21</v>
      </c>
      <c r="S33" s="778" t="e">
        <f t="shared" si="12"/>
        <v>#N/A</v>
      </c>
      <c r="T33" s="777" t="s">
        <v>21</v>
      </c>
      <c r="U33" s="778" t="e">
        <f t="shared" si="13"/>
        <v>#N/A</v>
      </c>
      <c r="V33" s="777" t="s">
        <v>21</v>
      </c>
      <c r="W33" s="778" t="e">
        <f t="shared" si="14"/>
        <v>#N/A</v>
      </c>
      <c r="X33" s="779"/>
      <c r="Y33" s="3283"/>
      <c r="Z33" s="780" t="str">
        <f t="shared" si="18"/>
        <v>项目建筑规模</v>
      </c>
      <c r="AA33" s="1814" t="e">
        <f t="shared" si="15"/>
        <v>#N/A</v>
      </c>
      <c r="AB33" s="1814" t="e">
        <f t="shared" si="16"/>
        <v>#N/A</v>
      </c>
      <c r="AC33" s="1814" t="e">
        <f t="shared" si="17"/>
        <v>#N/A</v>
      </c>
    </row>
    <row r="34" spans="1:29" ht="15">
      <c r="A34" s="472"/>
      <c r="B34" s="422" t="s">
        <v>2549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81"/>
      <c r="Q34" s="1813" t="str">
        <f t="shared" si="11"/>
        <v>建筑结构</v>
      </c>
      <c r="R34" s="774" t="s">
        <v>21</v>
      </c>
      <c r="S34" s="775">
        <f t="shared" si="12"/>
        <v>100</v>
      </c>
      <c r="T34" s="774" t="s">
        <v>21</v>
      </c>
      <c r="U34" s="775">
        <f t="shared" si="13"/>
        <v>100</v>
      </c>
      <c r="V34" s="774" t="s">
        <v>21</v>
      </c>
      <c r="W34" s="775">
        <f t="shared" si="14"/>
        <v>100</v>
      </c>
      <c r="X34" s="1816"/>
      <c r="Y34" s="3283"/>
      <c r="Z34" s="1817" t="str">
        <f t="shared" si="18"/>
        <v>建筑结构</v>
      </c>
      <c r="AA34" s="1814">
        <f t="shared" si="15"/>
        <v>1</v>
      </c>
      <c r="AB34" s="1814">
        <f t="shared" si="16"/>
        <v>1</v>
      </c>
      <c r="AC34" s="1814">
        <f t="shared" si="17"/>
        <v>1</v>
      </c>
    </row>
    <row r="35" spans="1:29" ht="15">
      <c r="A35" s="472"/>
      <c r="B35" s="422" t="s">
        <v>2550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81"/>
      <c r="Q35" s="1813" t="str">
        <f t="shared" si="11"/>
        <v>建筑品质</v>
      </c>
      <c r="R35" s="774" t="s">
        <v>21</v>
      </c>
      <c r="S35" s="775">
        <f t="shared" si="12"/>
        <v>100</v>
      </c>
      <c r="T35" s="774" t="s">
        <v>21</v>
      </c>
      <c r="U35" s="775">
        <f t="shared" si="13"/>
        <v>100</v>
      </c>
      <c r="V35" s="774" t="s">
        <v>21</v>
      </c>
      <c r="W35" s="775">
        <f t="shared" si="14"/>
        <v>100</v>
      </c>
      <c r="X35" s="1816"/>
      <c r="Y35" s="3283"/>
      <c r="Z35" s="1817" t="str">
        <f t="shared" si="18"/>
        <v>建筑品质</v>
      </c>
      <c r="AA35" s="1814">
        <f t="shared" si="15"/>
        <v>1</v>
      </c>
      <c r="AB35" s="1814">
        <f t="shared" si="16"/>
        <v>1</v>
      </c>
      <c r="AC35" s="1814">
        <f t="shared" si="17"/>
        <v>1</v>
      </c>
    </row>
    <row r="36" spans="1:29" ht="15">
      <c r="A36" s="472"/>
      <c r="B36" s="422" t="s">
        <v>2551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81"/>
      <c r="Q36" s="1813" t="str">
        <f t="shared" si="11"/>
        <v>公共部分装修</v>
      </c>
      <c r="R36" s="774" t="s">
        <v>21</v>
      </c>
      <c r="S36" s="775">
        <f t="shared" si="12"/>
        <v>100</v>
      </c>
      <c r="T36" s="774" t="s">
        <v>21</v>
      </c>
      <c r="U36" s="775">
        <f t="shared" si="13"/>
        <v>100</v>
      </c>
      <c r="V36" s="774" t="s">
        <v>21</v>
      </c>
      <c r="W36" s="775">
        <f t="shared" si="14"/>
        <v>100</v>
      </c>
      <c r="X36" s="1816"/>
      <c r="Y36" s="3283"/>
      <c r="Z36" s="1817" t="str">
        <f t="shared" si="18"/>
        <v>公共部分装修</v>
      </c>
      <c r="AA36" s="1814">
        <f t="shared" si="15"/>
        <v>1</v>
      </c>
      <c r="AB36" s="1814">
        <f t="shared" si="16"/>
        <v>1</v>
      </c>
      <c r="AC36" s="1814">
        <f t="shared" si="17"/>
        <v>1</v>
      </c>
    </row>
    <row r="37" spans="1:29" s="117" customFormat="1" ht="15">
      <c r="A37" s="473"/>
      <c r="B37" s="422" t="s">
        <v>2552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81"/>
      <c r="Q37" s="1798" t="str">
        <f t="shared" si="11"/>
        <v>成新度</v>
      </c>
      <c r="R37" s="770" t="s">
        <v>21</v>
      </c>
      <c r="S37" s="771" t="e">
        <f t="shared" si="12"/>
        <v>#N/A</v>
      </c>
      <c r="T37" s="770" t="s">
        <v>21</v>
      </c>
      <c r="U37" s="771" t="e">
        <f t="shared" si="13"/>
        <v>#N/A</v>
      </c>
      <c r="V37" s="770" t="s">
        <v>21</v>
      </c>
      <c r="W37" s="771" t="e">
        <f t="shared" si="14"/>
        <v>#N/A</v>
      </c>
      <c r="X37" s="772"/>
      <c r="Y37" s="3283"/>
      <c r="Z37" s="55" t="str">
        <f t="shared" si="18"/>
        <v>成新度</v>
      </c>
      <c r="AA37" s="773" t="e">
        <f t="shared" si="15"/>
        <v>#N/A</v>
      </c>
      <c r="AB37" s="773" t="e">
        <f t="shared" si="16"/>
        <v>#N/A</v>
      </c>
      <c r="AC37" s="773" t="e">
        <f t="shared" si="17"/>
        <v>#N/A</v>
      </c>
    </row>
    <row r="38" spans="1:29" ht="15">
      <c r="A38" s="472"/>
      <c r="B38" s="422" t="s">
        <v>2553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81" t="s">
        <v>2547</v>
      </c>
      <c r="Q38" s="1813" t="str">
        <f t="shared" si="11"/>
        <v>物业管理</v>
      </c>
      <c r="R38" s="774" t="s">
        <v>21</v>
      </c>
      <c r="S38" s="775">
        <f t="shared" si="12"/>
        <v>100</v>
      </c>
      <c r="T38" s="774" t="s">
        <v>21</v>
      </c>
      <c r="U38" s="775">
        <f t="shared" si="13"/>
        <v>100</v>
      </c>
      <c r="V38" s="774" t="s">
        <v>21</v>
      </c>
      <c r="W38" s="775">
        <f t="shared" si="14"/>
        <v>100</v>
      </c>
      <c r="X38" s="1816"/>
      <c r="Y38" s="3283" t="s">
        <v>2547</v>
      </c>
      <c r="Z38" s="1817" t="str">
        <f t="shared" si="18"/>
        <v>物业管理</v>
      </c>
      <c r="AA38" s="1814">
        <f t="shared" si="15"/>
        <v>1</v>
      </c>
      <c r="AB38" s="1814">
        <f t="shared" si="16"/>
        <v>1</v>
      </c>
      <c r="AC38" s="1814">
        <f t="shared" si="17"/>
        <v>1</v>
      </c>
    </row>
    <row r="39" spans="1:29" ht="15">
      <c r="A39" s="472"/>
      <c r="B39" s="422" t="s">
        <v>2554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81"/>
      <c r="Q39" s="1813" t="str">
        <f t="shared" si="11"/>
        <v>市政基础设施</v>
      </c>
      <c r="R39" s="774" t="s">
        <v>21</v>
      </c>
      <c r="S39" s="775">
        <f t="shared" si="12"/>
        <v>100</v>
      </c>
      <c r="T39" s="774" t="s">
        <v>21</v>
      </c>
      <c r="U39" s="775">
        <f t="shared" si="13"/>
        <v>100</v>
      </c>
      <c r="V39" s="774" t="s">
        <v>21</v>
      </c>
      <c r="W39" s="775">
        <f t="shared" si="14"/>
        <v>100</v>
      </c>
      <c r="X39" s="1816"/>
      <c r="Y39" s="3283"/>
      <c r="Z39" s="1817" t="str">
        <f t="shared" si="18"/>
        <v>市政基础设施</v>
      </c>
      <c r="AA39" s="1814">
        <f t="shared" si="15"/>
        <v>1</v>
      </c>
      <c r="AB39" s="1814">
        <f t="shared" si="16"/>
        <v>1</v>
      </c>
      <c r="AC39" s="1814">
        <f t="shared" si="17"/>
        <v>1</v>
      </c>
    </row>
    <row r="40" spans="1:29" ht="15">
      <c r="A40" s="472"/>
      <c r="B40" s="422" t="s">
        <v>2555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81"/>
      <c r="Q40" s="1813" t="str">
        <f t="shared" si="11"/>
        <v>房型</v>
      </c>
      <c r="R40" s="774" t="s">
        <v>21</v>
      </c>
      <c r="S40" s="775">
        <f t="shared" si="12"/>
        <v>100</v>
      </c>
      <c r="T40" s="774" t="s">
        <v>21</v>
      </c>
      <c r="U40" s="775">
        <f t="shared" si="13"/>
        <v>100</v>
      </c>
      <c r="V40" s="774" t="s">
        <v>21</v>
      </c>
      <c r="W40" s="775">
        <f t="shared" si="14"/>
        <v>100</v>
      </c>
      <c r="X40" s="1816"/>
      <c r="Y40" s="3283"/>
      <c r="Z40" s="1817" t="str">
        <f t="shared" si="18"/>
        <v>房型</v>
      </c>
      <c r="AA40" s="1814">
        <f t="shared" si="15"/>
        <v>1</v>
      </c>
      <c r="AB40" s="1814">
        <f t="shared" si="16"/>
        <v>1</v>
      </c>
      <c r="AC40" s="1814">
        <f t="shared" si="17"/>
        <v>1</v>
      </c>
    </row>
    <row r="41" spans="1:29" s="471" customFormat="1" ht="27.4">
      <c r="A41" s="468"/>
      <c r="B41" s="422" t="s">
        <v>2556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81"/>
      <c r="Q41" s="776" t="str">
        <f t="shared" si="11"/>
        <v>单套/主力户型建筑面积</v>
      </c>
      <c r="R41" s="777" t="s">
        <v>21</v>
      </c>
      <c r="S41" s="778">
        <f t="shared" si="12"/>
        <v>100</v>
      </c>
      <c r="T41" s="777" t="s">
        <v>21</v>
      </c>
      <c r="U41" s="778">
        <f t="shared" si="13"/>
        <v>100</v>
      </c>
      <c r="V41" s="777" t="s">
        <v>21</v>
      </c>
      <c r="W41" s="778">
        <f t="shared" si="14"/>
        <v>100</v>
      </c>
      <c r="X41" s="779"/>
      <c r="Y41" s="3283"/>
      <c r="Z41" s="780" t="str">
        <f t="shared" si="18"/>
        <v>单套/主力户型建筑面积</v>
      </c>
      <c r="AA41" s="1814">
        <f t="shared" si="15"/>
        <v>1</v>
      </c>
      <c r="AB41" s="1814">
        <f t="shared" si="16"/>
        <v>1</v>
      </c>
      <c r="AC41" s="1814">
        <f t="shared" si="17"/>
        <v>1</v>
      </c>
    </row>
    <row r="42" spans="1:29" ht="15">
      <c r="A42" s="472"/>
      <c r="B42" s="422" t="s">
        <v>2557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81"/>
      <c r="Q42" s="1813" t="str">
        <f t="shared" si="11"/>
        <v>内部装修</v>
      </c>
      <c r="R42" s="774" t="s">
        <v>21</v>
      </c>
      <c r="S42" s="775">
        <f t="shared" si="12"/>
        <v>100</v>
      </c>
      <c r="T42" s="774" t="s">
        <v>21</v>
      </c>
      <c r="U42" s="775">
        <f t="shared" si="13"/>
        <v>100</v>
      </c>
      <c r="V42" s="774" t="s">
        <v>21</v>
      </c>
      <c r="W42" s="775">
        <f t="shared" si="14"/>
        <v>100</v>
      </c>
      <c r="X42" s="1816"/>
      <c r="Y42" s="3283"/>
      <c r="Z42" s="1817" t="str">
        <f t="shared" si="18"/>
        <v>内部装修</v>
      </c>
      <c r="AA42" s="1814">
        <f t="shared" si="15"/>
        <v>1</v>
      </c>
      <c r="AB42" s="1814">
        <f t="shared" si="16"/>
        <v>1</v>
      </c>
      <c r="AC42" s="1814">
        <f t="shared" si="17"/>
        <v>1</v>
      </c>
    </row>
    <row r="43" spans="1:29" ht="27">
      <c r="A43" s="472"/>
      <c r="B43" s="422" t="s">
        <v>2558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81"/>
      <c r="Q43" s="1813" t="str">
        <f t="shared" si="11"/>
        <v>内部装修维护情况</v>
      </c>
      <c r="R43" s="774" t="s">
        <v>21</v>
      </c>
      <c r="S43" s="775">
        <f t="shared" si="12"/>
        <v>100</v>
      </c>
      <c r="T43" s="774" t="s">
        <v>21</v>
      </c>
      <c r="U43" s="775">
        <f t="shared" si="13"/>
        <v>100</v>
      </c>
      <c r="V43" s="774" t="s">
        <v>21</v>
      </c>
      <c r="W43" s="775">
        <f t="shared" si="14"/>
        <v>100</v>
      </c>
      <c r="X43" s="1816"/>
      <c r="Y43" s="328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81"/>
      <c r="Q44" s="1798">
        <f t="shared" si="11"/>
        <v>111</v>
      </c>
      <c r="R44" s="770" t="s">
        <v>21</v>
      </c>
      <c r="S44" s="771">
        <f t="shared" si="12"/>
        <v>100</v>
      </c>
      <c r="T44" s="770" t="s">
        <v>21</v>
      </c>
      <c r="U44" s="771">
        <f t="shared" si="13"/>
        <v>100</v>
      </c>
      <c r="V44" s="770" t="s">
        <v>21</v>
      </c>
      <c r="W44" s="771">
        <f t="shared" si="14"/>
        <v>100</v>
      </c>
      <c r="X44" s="772"/>
      <c r="Y44" s="328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81"/>
      <c r="Q45" s="1813">
        <f t="shared" si="11"/>
        <v>111</v>
      </c>
      <c r="R45" s="774" t="s">
        <v>21</v>
      </c>
      <c r="S45" s="775">
        <f t="shared" si="12"/>
        <v>100</v>
      </c>
      <c r="T45" s="774" t="s">
        <v>21</v>
      </c>
      <c r="U45" s="775">
        <f t="shared" si="13"/>
        <v>100</v>
      </c>
      <c r="V45" s="774" t="s">
        <v>21</v>
      </c>
      <c r="W45" s="775">
        <f t="shared" si="14"/>
        <v>100</v>
      </c>
      <c r="X45" s="1816"/>
      <c r="Y45" s="3283"/>
      <c r="Z45" s="1817">
        <f t="shared" si="18"/>
        <v>111</v>
      </c>
      <c r="AA45" s="1814">
        <f t="shared" si="15"/>
        <v>1</v>
      </c>
      <c r="AB45" s="1814">
        <f t="shared" si="16"/>
        <v>1</v>
      </c>
      <c r="AC45" s="1814">
        <f t="shared" si="17"/>
        <v>1</v>
      </c>
    </row>
    <row r="46" spans="1:29" ht="15.4"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82"/>
      <c r="Q46" s="1813">
        <f t="shared" si="11"/>
        <v>111</v>
      </c>
      <c r="R46" s="774" t="s">
        <v>20</v>
      </c>
      <c r="S46" s="775">
        <f t="shared" si="12"/>
        <v>100</v>
      </c>
      <c r="T46" s="774" t="s">
        <v>20</v>
      </c>
      <c r="U46" s="775">
        <f t="shared" si="13"/>
        <v>100</v>
      </c>
      <c r="V46" s="774" t="s">
        <v>20</v>
      </c>
      <c r="W46" s="775">
        <f t="shared" si="14"/>
        <v>100</v>
      </c>
      <c r="X46" s="1816"/>
      <c r="Y46" s="3284"/>
      <c r="Z46" s="1817">
        <f t="shared" si="18"/>
        <v>111</v>
      </c>
      <c r="AA46" s="1814">
        <f t="shared" si="15"/>
        <v>1</v>
      </c>
      <c r="AB46" s="1814">
        <f t="shared" si="16"/>
        <v>1</v>
      </c>
      <c r="AC46" s="1814">
        <f t="shared" si="17"/>
        <v>1</v>
      </c>
    </row>
    <row r="47" spans="1:29" ht="13.9">
      <c r="A47" s="479" t="s">
        <v>2559</v>
      </c>
      <c r="B47" s="480"/>
      <c r="C47" s="1410" t="s">
        <v>19</v>
      </c>
      <c r="D47" s="1411"/>
      <c r="E47" s="1412"/>
      <c r="F47" s="1413"/>
      <c r="G47" s="1414"/>
      <c r="H47" s="1415"/>
      <c r="I47" s="1412"/>
      <c r="J47" s="1415"/>
      <c r="K47" s="2622"/>
      <c r="L47" s="1146"/>
      <c r="M47" s="1147"/>
      <c r="N47" s="1134"/>
      <c r="O47" s="1147"/>
      <c r="P47" s="3276" t="str">
        <f>A47</f>
        <v>成交单价（元/平方米）</v>
      </c>
      <c r="Q47" s="3276"/>
      <c r="R47" s="3277">
        <f>E47</f>
        <v>0</v>
      </c>
      <c r="S47" s="3277"/>
      <c r="T47" s="3277">
        <f>G47</f>
        <v>0</v>
      </c>
      <c r="U47" s="3277"/>
      <c r="V47" s="3277">
        <f>I47</f>
        <v>0</v>
      </c>
      <c r="W47" s="3277"/>
      <c r="X47" s="759"/>
      <c r="Y47" s="781"/>
      <c r="Z47" s="759"/>
      <c r="AA47" s="759"/>
      <c r="AB47" s="759"/>
      <c r="AC47" s="759"/>
    </row>
    <row r="48" spans="1:29" ht="14.25" thickBot="1">
      <c r="A48" s="486" t="s">
        <v>2560</v>
      </c>
      <c r="B48" s="487"/>
      <c r="C48" s="1416" t="e">
        <f>R49</f>
        <v>#DIV/0!</v>
      </c>
      <c r="D48" s="1417"/>
      <c r="E48" s="1418" t="e">
        <f>R48</f>
        <v>#DIV/0!</v>
      </c>
      <c r="F48" s="1418"/>
      <c r="G48" s="1416" t="e">
        <f>T48</f>
        <v>#DIV/0!</v>
      </c>
      <c r="H48" s="1417"/>
      <c r="I48" s="1418" t="e">
        <f>V48</f>
        <v>#DIV/0!</v>
      </c>
      <c r="J48" s="1417"/>
      <c r="K48" s="2623"/>
      <c r="L48" s="1146"/>
      <c r="M48" s="1147"/>
      <c r="N48" s="1147"/>
      <c r="O48" s="1147"/>
      <c r="P48" s="3276" t="str">
        <f>A48</f>
        <v>比较价值（元/平方米）</v>
      </c>
      <c r="Q48" s="3276"/>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59"/>
      <c r="Y48" s="759"/>
      <c r="Z48" s="759"/>
      <c r="AA48" s="759"/>
      <c r="AB48" s="759"/>
      <c r="AC48" s="759"/>
    </row>
    <row r="49" spans="1:29" ht="14.25" thickBot="1">
      <c r="A49" s="492" t="s">
        <v>2561</v>
      </c>
      <c r="B49" s="493"/>
      <c r="C49" s="1419" t="e">
        <f>R49</f>
        <v>#DIV/0!</v>
      </c>
      <c r="D49" s="1420"/>
      <c r="E49" s="1420"/>
      <c r="F49" s="1420"/>
      <c r="G49" s="1420"/>
      <c r="H49" s="1420"/>
      <c r="I49" s="1420"/>
      <c r="J49" s="1420"/>
      <c r="K49" s="2624"/>
      <c r="L49" s="1146"/>
      <c r="M49" s="1147"/>
      <c r="N49" s="1147"/>
      <c r="O49" s="1147"/>
      <c r="P49" s="3273" t="str">
        <f>A49</f>
        <v>估价对象XX用房的比较价值（楼面单价，元/平方米）</v>
      </c>
      <c r="Q49" s="3274"/>
      <c r="R49" s="3275" t="e">
        <f>IF(F1="售价",ROUND(AVERAGE(R48:V48),0),ROUND(AVERAGE(R48:V48),1))</f>
        <v>#DIV/0!</v>
      </c>
      <c r="S49" s="3275"/>
      <c r="T49" s="3275"/>
      <c r="U49" s="3275"/>
      <c r="V49" s="3275"/>
      <c r="W49" s="327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2565</v>
      </c>
      <c r="B57" s="759"/>
      <c r="C57" s="764"/>
      <c r="D57" s="764"/>
      <c r="E57" s="764"/>
      <c r="F57" s="765"/>
      <c r="G57" s="765"/>
      <c r="H57" s="764"/>
      <c r="I57" s="764"/>
      <c r="J57" s="764"/>
      <c r="K57" s="1163"/>
      <c r="L57" s="1164"/>
      <c r="M57" s="1162"/>
      <c r="N57" s="1162"/>
      <c r="O57" s="1162"/>
      <c r="P57" s="2627"/>
      <c r="Q57" s="504"/>
    </row>
    <row r="58" spans="1:29" s="508" customFormat="1" ht="13.9">
      <c r="A58" s="505" t="s">
        <v>2566</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3.9">
      <c r="A59" s="509"/>
      <c r="B59" s="2628"/>
      <c r="C59" s="1576">
        <v>100</v>
      </c>
      <c r="D59" s="511"/>
      <c r="E59" s="512"/>
      <c r="F59" s="512"/>
      <c r="G59" s="512"/>
      <c r="H59" s="512"/>
      <c r="I59" s="512"/>
      <c r="J59" s="512"/>
      <c r="K59" s="512"/>
      <c r="L59" s="512"/>
      <c r="M59" s="513"/>
      <c r="N59" s="512"/>
      <c r="O59" s="513"/>
      <c r="P59" s="2629"/>
    </row>
    <row r="60" spans="1:29" s="117" customFormat="1" ht="14.25" thickBot="1">
      <c r="A60" s="515" t="s">
        <v>2567</v>
      </c>
      <c r="B60" s="516"/>
      <c r="C60" s="517"/>
      <c r="D60" s="518"/>
      <c r="E60" s="518"/>
      <c r="F60" s="518"/>
      <c r="G60" s="518"/>
      <c r="H60" s="518"/>
      <c r="I60" s="518"/>
      <c r="J60" s="518"/>
      <c r="K60" s="518"/>
      <c r="L60" s="518"/>
      <c r="M60" s="519"/>
      <c r="N60" s="518"/>
      <c r="O60" s="519"/>
      <c r="P60" s="2629"/>
      <c r="Q60" s="504"/>
    </row>
    <row r="61" spans="1:29" s="117" customFormat="1" ht="13.9">
      <c r="A61" s="521" t="s">
        <v>2568</v>
      </c>
      <c r="B61" s="510"/>
      <c r="C61" s="522" t="s">
        <v>2569</v>
      </c>
      <c r="D61" s="523"/>
      <c r="E61" s="523"/>
      <c r="F61" s="523"/>
      <c r="G61" s="523"/>
      <c r="H61" s="523"/>
      <c r="I61" s="523"/>
      <c r="J61" s="523"/>
      <c r="K61" s="523"/>
      <c r="L61" s="524"/>
      <c r="M61" s="525"/>
      <c r="N61" s="1154"/>
      <c r="O61" s="1154"/>
      <c r="P61" s="2630"/>
      <c r="Q61" s="504"/>
    </row>
    <row r="62" spans="1:29" s="117" customFormat="1" ht="14.25" thickBot="1">
      <c r="A62" s="521"/>
      <c r="B62" s="510"/>
      <c r="C62" s="511">
        <v>100</v>
      </c>
      <c r="D62" s="512"/>
      <c r="E62" s="512"/>
      <c r="F62" s="512"/>
      <c r="G62" s="512"/>
      <c r="H62" s="512"/>
      <c r="I62" s="512"/>
      <c r="J62" s="512"/>
      <c r="K62" s="512"/>
      <c r="L62" s="512"/>
      <c r="M62" s="514"/>
      <c r="N62" s="1154"/>
      <c r="O62" s="1154"/>
      <c r="P62" s="2629"/>
      <c r="Q62" s="504"/>
    </row>
    <row r="63" spans="1:29">
      <c r="A63" s="527" t="s">
        <v>2570</v>
      </c>
      <c r="B63" s="528" t="s">
        <v>2536</v>
      </c>
      <c r="C63" s="529">
        <f>C9</f>
        <v>0</v>
      </c>
      <c r="D63" s="530"/>
      <c r="E63" s="530"/>
      <c r="F63" s="530"/>
      <c r="G63" s="530"/>
      <c r="H63" s="530"/>
      <c r="I63" s="530"/>
      <c r="J63" s="530"/>
      <c r="K63" s="531"/>
      <c r="L63" s="532"/>
      <c r="M63" s="533"/>
      <c r="N63" s="1155"/>
      <c r="O63" s="1155"/>
      <c r="P63" s="2631"/>
      <c r="Q63" s="504"/>
    </row>
    <row r="64" spans="1:29" ht="14.25" thickBot="1">
      <c r="A64" s="534"/>
      <c r="B64" s="535"/>
      <c r="C64" s="536">
        <v>100</v>
      </c>
      <c r="D64" s="536"/>
      <c r="E64" s="536"/>
      <c r="F64" s="536"/>
      <c r="G64" s="536"/>
      <c r="H64" s="536"/>
      <c r="I64" s="536"/>
      <c r="J64" s="536"/>
      <c r="K64" s="536"/>
      <c r="L64" s="536"/>
      <c r="M64" s="537"/>
      <c r="N64" s="1156"/>
      <c r="O64" s="1156"/>
      <c r="P64" s="2631"/>
      <c r="Q64" s="504"/>
    </row>
    <row r="65" spans="1:17" ht="27.4" thickTop="1">
      <c r="A65" s="534"/>
      <c r="B65" s="538" t="s">
        <v>2539</v>
      </c>
      <c r="C65" s="539" t="s">
        <v>2571</v>
      </c>
      <c r="D65" s="539" t="s">
        <v>2572</v>
      </c>
      <c r="E65" s="539" t="s">
        <v>2573</v>
      </c>
      <c r="F65" s="539" t="s">
        <v>2574</v>
      </c>
      <c r="G65" s="539" t="s">
        <v>2575</v>
      </c>
      <c r="H65" s="539" t="s">
        <v>2576</v>
      </c>
      <c r="I65" s="539" t="s">
        <v>2577</v>
      </c>
      <c r="J65" s="539"/>
      <c r="K65" s="540"/>
      <c r="L65" s="541"/>
      <c r="M65" s="542"/>
      <c r="N65" s="1155"/>
      <c r="O65" s="1155"/>
      <c r="P65" s="2631"/>
      <c r="Q65" s="504"/>
    </row>
    <row r="66" spans="1:17" ht="14.2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4.25" thickTop="1">
      <c r="A67" s="534"/>
      <c r="B67" s="546" t="s">
        <v>2540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3.9">
      <c r="A68" s="534"/>
      <c r="B68" s="548"/>
      <c r="C68" s="549"/>
      <c r="D68" s="549"/>
      <c r="E68" s="549"/>
      <c r="F68" s="549"/>
      <c r="G68" s="549"/>
      <c r="H68" s="549"/>
      <c r="I68" s="549"/>
      <c r="J68" s="549"/>
      <c r="K68" s="550"/>
      <c r="L68" s="551"/>
      <c r="M68" s="552"/>
      <c r="N68" s="1155"/>
      <c r="O68" s="1155"/>
      <c r="P68" s="2631"/>
      <c r="Q68" s="504"/>
    </row>
    <row r="69" spans="1:17" ht="14.2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4.25" thickTop="1">
      <c r="A70" s="553"/>
      <c r="B70" s="538">
        <f>B12</f>
        <v>111</v>
      </c>
      <c r="C70" s="554"/>
      <c r="D70" s="554"/>
      <c r="E70" s="554"/>
      <c r="F70" s="554"/>
      <c r="G70" s="554"/>
      <c r="H70" s="555"/>
      <c r="I70" s="555"/>
      <c r="J70" s="555"/>
      <c r="K70" s="555"/>
      <c r="L70" s="556"/>
      <c r="M70" s="557"/>
      <c r="N70" s="1157"/>
      <c r="O70" s="1157"/>
      <c r="P70" s="2632"/>
      <c r="Q70" s="559"/>
    </row>
    <row r="71" spans="1:17" s="471" customFormat="1" ht="14.25" thickBot="1">
      <c r="A71" s="553"/>
      <c r="B71" s="543"/>
      <c r="C71" s="560"/>
      <c r="D71" s="536"/>
      <c r="E71" s="536"/>
      <c r="F71" s="536"/>
      <c r="G71" s="536"/>
      <c r="H71" s="536"/>
      <c r="I71" s="536"/>
      <c r="J71" s="536"/>
      <c r="K71" s="536"/>
      <c r="L71" s="536"/>
      <c r="M71" s="537"/>
      <c r="N71" s="1156"/>
      <c r="O71" s="1156"/>
      <c r="P71" s="2632"/>
      <c r="Q71" s="559"/>
    </row>
    <row r="72" spans="1:17" s="471" customFormat="1" ht="14.25" thickTop="1">
      <c r="A72" s="553"/>
      <c r="B72" s="538">
        <f>B13</f>
        <v>111</v>
      </c>
      <c r="C72" s="554"/>
      <c r="D72" s="554"/>
      <c r="E72" s="554"/>
      <c r="F72" s="554"/>
      <c r="G72" s="554"/>
      <c r="H72" s="555"/>
      <c r="I72" s="555"/>
      <c r="J72" s="555"/>
      <c r="K72" s="555"/>
      <c r="L72" s="556"/>
      <c r="M72" s="557"/>
      <c r="N72" s="1157"/>
      <c r="O72" s="1157"/>
      <c r="P72" s="2633"/>
      <c r="Q72" s="561"/>
    </row>
    <row r="73" spans="1:17" s="471" customFormat="1" ht="14.25" thickBot="1">
      <c r="A73" s="553"/>
      <c r="B73" s="543"/>
      <c r="C73" s="560"/>
      <c r="D73" s="560"/>
      <c r="E73" s="560"/>
      <c r="F73" s="560"/>
      <c r="G73" s="560"/>
      <c r="H73" s="562"/>
      <c r="I73" s="562"/>
      <c r="J73" s="562"/>
      <c r="K73" s="562"/>
      <c r="L73" s="562"/>
      <c r="M73" s="563"/>
      <c r="N73" s="1157"/>
      <c r="O73" s="1157"/>
      <c r="P73" s="2632"/>
      <c r="Q73" s="559"/>
    </row>
    <row r="74" spans="1:17" s="471" customFormat="1" ht="14.25" thickTop="1">
      <c r="A74" s="553"/>
      <c r="B74" s="546">
        <f>B14</f>
        <v>111</v>
      </c>
      <c r="C74" s="554"/>
      <c r="D74" s="554"/>
      <c r="E74" s="554"/>
      <c r="F74" s="554"/>
      <c r="G74" s="523"/>
      <c r="H74" s="564"/>
      <c r="I74" s="564"/>
      <c r="J74" s="564"/>
      <c r="K74" s="564"/>
      <c r="L74" s="565"/>
      <c r="M74" s="566"/>
      <c r="N74" s="1157"/>
      <c r="O74" s="1157"/>
      <c r="P74" s="2634"/>
      <c r="Q74" s="559"/>
    </row>
    <row r="75" spans="1:17" s="471" customFormat="1" ht="14.25" thickBot="1">
      <c r="A75" s="568"/>
      <c r="B75" s="569"/>
      <c r="C75" s="570"/>
      <c r="D75" s="570"/>
      <c r="E75" s="570"/>
      <c r="F75" s="570"/>
      <c r="G75" s="570"/>
      <c r="H75" s="571"/>
      <c r="I75" s="571"/>
      <c r="J75" s="571"/>
      <c r="K75" s="571"/>
      <c r="L75" s="571"/>
      <c r="M75" s="572"/>
      <c r="N75" s="1157"/>
      <c r="O75" s="1157"/>
      <c r="P75" s="2632"/>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5"/>
      <c r="O76" s="1155"/>
      <c r="P76" s="2635"/>
      <c r="Q76" s="504"/>
    </row>
    <row r="77" spans="1:17" ht="14.2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4.25" thickTop="1">
      <c r="A78" s="534"/>
      <c r="B78" s="538" t="s">
        <v>2584</v>
      </c>
      <c r="C78" s="578" t="s">
        <v>2579</v>
      </c>
      <c r="D78" s="578" t="s">
        <v>2580</v>
      </c>
      <c r="E78" s="578" t="s">
        <v>2581</v>
      </c>
      <c r="F78" s="578" t="s">
        <v>2582</v>
      </c>
      <c r="G78" s="578" t="s">
        <v>2583</v>
      </c>
      <c r="H78" s="539"/>
      <c r="I78" s="539"/>
      <c r="J78" s="539"/>
      <c r="K78" s="540"/>
      <c r="L78" s="541"/>
      <c r="M78" s="542"/>
      <c r="N78" s="1155"/>
      <c r="O78" s="1155"/>
      <c r="P78" s="2631"/>
      <c r="Q78" s="504"/>
    </row>
    <row r="79" spans="1:17" ht="14.2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4.25" thickTop="1">
      <c r="A80" s="534"/>
      <c r="B80" s="538" t="s">
        <v>2585</v>
      </c>
      <c r="C80" s="578" t="s">
        <v>2579</v>
      </c>
      <c r="D80" s="578" t="s">
        <v>2580</v>
      </c>
      <c r="E80" s="578" t="s">
        <v>2581</v>
      </c>
      <c r="F80" s="578" t="s">
        <v>2582</v>
      </c>
      <c r="G80" s="578" t="s">
        <v>2583</v>
      </c>
      <c r="H80" s="539"/>
      <c r="I80" s="539"/>
      <c r="J80" s="539"/>
      <c r="K80" s="540"/>
      <c r="L80" s="541"/>
      <c r="M80" s="542"/>
      <c r="N80" s="1155"/>
      <c r="O80" s="1155"/>
      <c r="P80" s="2631"/>
      <c r="Q80" s="504"/>
    </row>
    <row r="81" spans="1:17" ht="14.2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4.25" thickTop="1">
      <c r="A82" s="534"/>
      <c r="B82" s="546" t="s">
        <v>2087</v>
      </c>
      <c r="C82" s="539" t="s">
        <v>2586</v>
      </c>
      <c r="D82" s="539" t="s">
        <v>2587</v>
      </c>
      <c r="E82" s="539" t="s">
        <v>2588</v>
      </c>
      <c r="F82" s="539" t="s">
        <v>2589</v>
      </c>
      <c r="G82" s="539" t="s">
        <v>2590</v>
      </c>
      <c r="H82" s="539"/>
      <c r="I82" s="539"/>
      <c r="J82" s="539"/>
      <c r="K82" s="539"/>
      <c r="L82" s="539"/>
      <c r="M82" s="1385"/>
      <c r="N82" s="1156"/>
      <c r="O82" s="1156"/>
      <c r="P82" s="2631"/>
      <c r="Q82" s="504"/>
    </row>
    <row r="83" spans="1:17" ht="14.2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4.25" thickTop="1">
      <c r="A84" s="534"/>
      <c r="B84" s="538" t="s">
        <v>2591</v>
      </c>
      <c r="C84" s="578" t="s">
        <v>2579</v>
      </c>
      <c r="D84" s="578" t="s">
        <v>2580</v>
      </c>
      <c r="E84" s="578" t="s">
        <v>2581</v>
      </c>
      <c r="F84" s="578" t="s">
        <v>2582</v>
      </c>
      <c r="G84" s="578" t="s">
        <v>2583</v>
      </c>
      <c r="H84" s="539"/>
      <c r="I84" s="539"/>
      <c r="J84" s="539"/>
      <c r="K84" s="540"/>
      <c r="L84" s="541"/>
      <c r="M84" s="542"/>
      <c r="N84" s="1155"/>
      <c r="O84" s="1155"/>
      <c r="P84" s="2631"/>
      <c r="Q84" s="504"/>
    </row>
    <row r="85" spans="1:17" ht="14.2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4.25" thickTop="1">
      <c r="A86" s="579"/>
      <c r="B86" s="538" t="s">
        <v>2592</v>
      </c>
      <c r="C86" s="554"/>
      <c r="D86" s="554"/>
      <c r="E86" s="554"/>
      <c r="F86" s="554"/>
      <c r="G86" s="554"/>
      <c r="H86" s="554"/>
      <c r="I86" s="554"/>
      <c r="J86" s="554"/>
      <c r="K86" s="554"/>
      <c r="L86" s="580"/>
      <c r="M86" s="581"/>
      <c r="N86" s="1154"/>
      <c r="O86" s="1154"/>
      <c r="P86" s="2631"/>
      <c r="Q86" s="504"/>
    </row>
    <row r="87" spans="1:17" s="117" customFormat="1" ht="14.2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4.25" thickTop="1">
      <c r="A88" s="579"/>
      <c r="B88" s="538" t="s">
        <v>2593</v>
      </c>
      <c r="C88" s="554"/>
      <c r="D88" s="554"/>
      <c r="E88" s="554"/>
      <c r="F88" s="2636"/>
      <c r="G88" s="554"/>
      <c r="H88" s="554"/>
      <c r="I88" s="554"/>
      <c r="J88" s="554"/>
      <c r="K88" s="554"/>
      <c r="L88" s="554"/>
      <c r="M88" s="581"/>
      <c r="N88" s="1154"/>
      <c r="O88" s="1154"/>
      <c r="P88" s="2631"/>
      <c r="Q88" s="504"/>
    </row>
    <row r="89" spans="1:17" s="117" customFormat="1" ht="14.2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4.25" thickTop="1">
      <c r="A90" s="553"/>
      <c r="B90" s="538">
        <f>B27</f>
        <v>111</v>
      </c>
      <c r="C90" s="554"/>
      <c r="D90" s="554"/>
      <c r="E90" s="554"/>
      <c r="F90" s="554"/>
      <c r="G90" s="554"/>
      <c r="H90" s="555"/>
      <c r="I90" s="555"/>
      <c r="J90" s="555"/>
      <c r="K90" s="555"/>
      <c r="L90" s="556"/>
      <c r="M90" s="557"/>
      <c r="N90" s="1157"/>
      <c r="O90" s="1157"/>
      <c r="P90" s="2632"/>
      <c r="Q90" s="559"/>
    </row>
    <row r="91" spans="1:17" s="471" customFormat="1" ht="14.25" thickBot="1">
      <c r="A91" s="553"/>
      <c r="B91" s="543"/>
      <c r="C91" s="560"/>
      <c r="D91" s="560"/>
      <c r="E91" s="560"/>
      <c r="F91" s="560"/>
      <c r="G91" s="560"/>
      <c r="H91" s="562"/>
      <c r="I91" s="562"/>
      <c r="J91" s="562"/>
      <c r="K91" s="562"/>
      <c r="L91" s="562"/>
      <c r="M91" s="563"/>
      <c r="N91" s="1157"/>
      <c r="O91" s="1157"/>
      <c r="P91" s="2632"/>
      <c r="Q91" s="559"/>
    </row>
    <row r="92" spans="1:17" ht="14.25" thickTop="1">
      <c r="A92" s="534"/>
      <c r="B92" s="538">
        <f>B28</f>
        <v>111</v>
      </c>
      <c r="C92" s="554"/>
      <c r="D92" s="554"/>
      <c r="E92" s="554"/>
      <c r="F92" s="554"/>
      <c r="G92" s="583"/>
      <c r="H92" s="583"/>
      <c r="I92" s="583"/>
      <c r="J92" s="583"/>
      <c r="K92" s="584"/>
      <c r="L92" s="585"/>
      <c r="M92" s="586"/>
      <c r="N92" s="1155"/>
      <c r="O92" s="1155"/>
      <c r="P92" s="2631"/>
      <c r="Q92" s="504"/>
    </row>
    <row r="93" spans="1:17" ht="14.25" thickBot="1">
      <c r="A93" s="534"/>
      <c r="B93" s="543"/>
      <c r="C93" s="560"/>
      <c r="D93" s="536"/>
      <c r="E93" s="536"/>
      <c r="F93" s="536"/>
      <c r="G93" s="536"/>
      <c r="H93" s="536"/>
      <c r="I93" s="536"/>
      <c r="J93" s="536"/>
      <c r="K93" s="536"/>
      <c r="L93" s="536"/>
      <c r="M93" s="537"/>
      <c r="N93" s="1156"/>
      <c r="O93" s="1156"/>
      <c r="P93" s="2631"/>
      <c r="Q93" s="504"/>
    </row>
    <row r="94" spans="1:17" ht="14.25" thickTop="1">
      <c r="A94" s="534"/>
      <c r="B94" s="538">
        <f>B29</f>
        <v>111</v>
      </c>
      <c r="C94" s="554"/>
      <c r="D94" s="554"/>
      <c r="E94" s="554"/>
      <c r="F94" s="554"/>
      <c r="G94" s="583"/>
      <c r="H94" s="583"/>
      <c r="I94" s="583"/>
      <c r="J94" s="583"/>
      <c r="K94" s="584"/>
      <c r="L94" s="585"/>
      <c r="M94" s="586"/>
      <c r="N94" s="1155"/>
      <c r="O94" s="1155"/>
      <c r="P94" s="2631"/>
      <c r="Q94" s="504"/>
    </row>
    <row r="95" spans="1:17" ht="14.25" thickBot="1">
      <c r="A95" s="534"/>
      <c r="B95" s="543"/>
      <c r="C95" s="560"/>
      <c r="D95" s="560"/>
      <c r="E95" s="560"/>
      <c r="F95" s="560"/>
      <c r="G95" s="536"/>
      <c r="H95" s="536"/>
      <c r="I95" s="536"/>
      <c r="J95" s="536"/>
      <c r="K95" s="536"/>
      <c r="L95" s="536"/>
      <c r="M95" s="537"/>
      <c r="N95" s="1156"/>
      <c r="O95" s="1156"/>
      <c r="P95" s="2631"/>
      <c r="Q95" s="504"/>
    </row>
    <row r="96" spans="1:17" ht="14.25" thickTop="1">
      <c r="A96" s="534"/>
      <c r="B96" s="538">
        <f>B30</f>
        <v>111</v>
      </c>
      <c r="C96" s="554"/>
      <c r="D96" s="554"/>
      <c r="E96" s="554"/>
      <c r="F96" s="554"/>
      <c r="G96" s="583"/>
      <c r="H96" s="583"/>
      <c r="I96" s="583"/>
      <c r="J96" s="583"/>
      <c r="K96" s="584"/>
      <c r="L96" s="585"/>
      <c r="M96" s="586"/>
      <c r="N96" s="1155"/>
      <c r="O96" s="1155"/>
      <c r="P96" s="2631"/>
      <c r="Q96" s="504"/>
    </row>
    <row r="97" spans="1:17" ht="14.25" thickBot="1">
      <c r="A97" s="534"/>
      <c r="B97" s="543"/>
      <c r="C97" s="570"/>
      <c r="D97" s="570"/>
      <c r="E97" s="570"/>
      <c r="F97" s="570"/>
      <c r="G97" s="536"/>
      <c r="H97" s="536"/>
      <c r="I97" s="536"/>
      <c r="J97" s="536"/>
      <c r="K97" s="536"/>
      <c r="L97" s="536"/>
      <c r="M97" s="537"/>
      <c r="N97" s="1156"/>
      <c r="O97" s="1156"/>
      <c r="P97" s="2631"/>
      <c r="Q97" s="504"/>
    </row>
    <row r="98" spans="1:17" ht="14.25" thickTop="1">
      <c r="A98" s="534"/>
      <c r="B98" s="546">
        <f>B31</f>
        <v>111</v>
      </c>
      <c r="C98" s="587"/>
      <c r="D98" s="587"/>
      <c r="E98" s="587"/>
      <c r="F98" s="587"/>
      <c r="G98" s="587"/>
      <c r="H98" s="587"/>
      <c r="I98" s="587"/>
      <c r="J98" s="587"/>
      <c r="K98" s="588"/>
      <c r="L98" s="589"/>
      <c r="M98" s="590"/>
      <c r="N98" s="1155"/>
      <c r="O98" s="1155"/>
      <c r="P98" s="2631"/>
      <c r="Q98" s="504"/>
    </row>
    <row r="99" spans="1:17" ht="14.25" thickBot="1">
      <c r="A99" s="2637"/>
      <c r="B99" s="569"/>
      <c r="C99" s="591"/>
      <c r="D99" s="591"/>
      <c r="E99" s="591"/>
      <c r="F99" s="591"/>
      <c r="G99" s="591"/>
      <c r="H99" s="591"/>
      <c r="I99" s="591"/>
      <c r="J99" s="591"/>
      <c r="K99" s="591"/>
      <c r="L99" s="591"/>
      <c r="M99" s="592"/>
      <c r="N99" s="1156"/>
      <c r="O99" s="1156"/>
      <c r="P99" s="2631"/>
      <c r="Q99" s="504"/>
    </row>
    <row r="100" spans="1:17">
      <c r="A100" s="527" t="s">
        <v>2545</v>
      </c>
      <c r="B100" s="528" t="s">
        <v>2594</v>
      </c>
      <c r="C100" s="530"/>
      <c r="D100" s="530"/>
      <c r="E100" s="530"/>
      <c r="F100" s="530"/>
      <c r="G100" s="530"/>
      <c r="H100" s="530"/>
      <c r="I100" s="530"/>
      <c r="J100" s="530"/>
      <c r="K100" s="531"/>
      <c r="L100" s="532"/>
      <c r="M100" s="533"/>
      <c r="N100" s="1155"/>
      <c r="O100" s="1155"/>
      <c r="P100" s="2631"/>
      <c r="Q100" s="504"/>
    </row>
    <row r="101" spans="1:17" ht="14.2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4.25" thickTop="1">
      <c r="A102" s="534"/>
      <c r="B102" s="538" t="s">
        <v>2595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25" thickBot="1">
      <c r="A104" s="553"/>
      <c r="B104" s="543"/>
      <c r="C104" s="560"/>
      <c r="D104" s="536"/>
      <c r="E104" s="536"/>
      <c r="F104" s="536"/>
      <c r="G104" s="536"/>
      <c r="H104" s="536"/>
      <c r="I104" s="536"/>
      <c r="J104" s="536"/>
      <c r="K104" s="536"/>
      <c r="L104" s="536"/>
      <c r="M104" s="536"/>
      <c r="N104" s="1156"/>
      <c r="O104" s="1156"/>
      <c r="P104" s="2632"/>
      <c r="Q104" s="559"/>
    </row>
    <row r="105" spans="1:17" ht="13.9" thickTop="1">
      <c r="A105" s="599"/>
      <c r="B105" s="538" t="s">
        <v>2596</v>
      </c>
      <c r="C105" s="554"/>
      <c r="D105" s="554"/>
      <c r="E105" s="583"/>
      <c r="F105" s="583"/>
      <c r="G105" s="583"/>
      <c r="H105" s="583"/>
      <c r="I105" s="583"/>
      <c r="J105" s="583"/>
      <c r="K105" s="584"/>
      <c r="L105" s="585"/>
      <c r="M105" s="586"/>
      <c r="N105" s="1155"/>
      <c r="O105" s="1155"/>
      <c r="P105" s="2631"/>
      <c r="Q105" s="504"/>
    </row>
    <row r="106" spans="1:17" ht="14.2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3.9" thickTop="1">
      <c r="A107" s="599"/>
      <c r="B107" s="538" t="s">
        <v>2597</v>
      </c>
      <c r="C107" s="583"/>
      <c r="D107" s="583"/>
      <c r="E107" s="583"/>
      <c r="F107" s="583"/>
      <c r="G107" s="583"/>
      <c r="H107" s="583"/>
      <c r="I107" s="583"/>
      <c r="J107" s="583"/>
      <c r="K107" s="584"/>
      <c r="L107" s="585"/>
      <c r="M107" s="586"/>
      <c r="N107" s="1155"/>
      <c r="O107" s="1155"/>
      <c r="P107" s="2631"/>
      <c r="Q107" s="504"/>
    </row>
    <row r="108" spans="1:17" ht="14.2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3.9" thickTop="1">
      <c r="A109" s="599"/>
      <c r="B109" s="538" t="s">
        <v>2598</v>
      </c>
      <c r="C109" s="554"/>
      <c r="D109" s="554"/>
      <c r="E109" s="554"/>
      <c r="F109" s="583"/>
      <c r="G109" s="583"/>
      <c r="H109" s="583"/>
      <c r="I109" s="583"/>
      <c r="J109" s="583"/>
      <c r="K109" s="584"/>
      <c r="L109" s="585"/>
      <c r="M109" s="586"/>
      <c r="N109" s="1155"/>
      <c r="O109" s="1155"/>
      <c r="P109" s="2631"/>
      <c r="Q109" s="504"/>
    </row>
    <row r="110" spans="1:17" ht="14.2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3.9"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4.2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3.9" thickTop="1">
      <c r="A114" s="599"/>
      <c r="B114" s="538" t="s">
        <v>2599</v>
      </c>
      <c r="C114" s="554"/>
      <c r="D114" s="554"/>
      <c r="E114" s="583"/>
      <c r="F114" s="583"/>
      <c r="G114" s="583"/>
      <c r="H114" s="583"/>
      <c r="I114" s="583"/>
      <c r="J114" s="583"/>
      <c r="K114" s="584"/>
      <c r="L114" s="585"/>
      <c r="M114" s="586"/>
      <c r="N114" s="1155"/>
      <c r="O114" s="1155"/>
      <c r="P114" s="2631"/>
      <c r="Q114" s="504"/>
    </row>
    <row r="115" spans="1:17" ht="14.2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3.9" thickTop="1">
      <c r="A116" s="599"/>
      <c r="B116" s="538" t="s">
        <v>2600</v>
      </c>
      <c r="C116" s="554"/>
      <c r="D116" s="554"/>
      <c r="E116" s="554"/>
      <c r="F116" s="554"/>
      <c r="G116" s="554"/>
      <c r="H116" s="583"/>
      <c r="I116" s="583"/>
      <c r="J116" s="583"/>
      <c r="K116" s="584"/>
      <c r="L116" s="585"/>
      <c r="M116" s="586"/>
      <c r="N116" s="1155"/>
      <c r="O116" s="1155"/>
      <c r="P116" s="2631"/>
      <c r="Q116" s="504"/>
    </row>
    <row r="117" spans="1:17" ht="14.2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3.9" thickTop="1">
      <c r="A118" s="599"/>
      <c r="B118" s="538" t="s">
        <v>2601</v>
      </c>
      <c r="C118" s="583"/>
      <c r="D118" s="583"/>
      <c r="E118" s="583"/>
      <c r="F118" s="583"/>
      <c r="G118" s="583"/>
      <c r="H118" s="583"/>
      <c r="I118" s="583"/>
      <c r="J118" s="583"/>
      <c r="K118" s="584"/>
      <c r="L118" s="585"/>
      <c r="M118" s="586"/>
      <c r="N118" s="1155"/>
      <c r="O118" s="1155"/>
      <c r="P118" s="2631"/>
      <c r="Q118" s="504"/>
    </row>
    <row r="119" spans="1:17" ht="14.2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7.75" thickTop="1">
      <c r="A120" s="593"/>
      <c r="B120" s="538" t="s">
        <v>2556</v>
      </c>
      <c r="C120" s="554"/>
      <c r="D120" s="554"/>
      <c r="E120" s="554"/>
      <c r="F120" s="554"/>
      <c r="G120" s="554"/>
      <c r="H120" s="554"/>
      <c r="I120" s="554"/>
      <c r="J120" s="554"/>
      <c r="K120" s="554"/>
      <c r="L120" s="580"/>
      <c r="M120" s="581"/>
      <c r="N120" s="1157"/>
      <c r="O120" s="1157"/>
      <c r="P120" s="2632"/>
      <c r="Q120" s="559"/>
    </row>
    <row r="121" spans="1:17" s="471" customFormat="1" ht="14.25" thickBot="1">
      <c r="A121" s="553"/>
      <c r="B121" s="535"/>
      <c r="C121" s="560"/>
      <c r="D121" s="536"/>
      <c r="E121" s="536"/>
      <c r="F121" s="536"/>
      <c r="G121" s="536"/>
      <c r="H121" s="536"/>
      <c r="I121" s="536"/>
      <c r="J121" s="536"/>
      <c r="K121" s="536"/>
      <c r="L121" s="536"/>
      <c r="M121" s="536"/>
      <c r="N121" s="1157"/>
      <c r="O121" s="1157"/>
      <c r="P121" s="2632"/>
      <c r="Q121" s="559"/>
    </row>
    <row r="122" spans="1:17" ht="13.9" thickTop="1">
      <c r="A122" s="599"/>
      <c r="B122" s="538" t="s">
        <v>2602</v>
      </c>
      <c r="C122" s="554"/>
      <c r="D122" s="554"/>
      <c r="E122" s="554"/>
      <c r="F122" s="583"/>
      <c r="G122" s="583"/>
      <c r="H122" s="583"/>
      <c r="I122" s="583"/>
      <c r="J122" s="583"/>
      <c r="K122" s="584"/>
      <c r="L122" s="585"/>
      <c r="M122" s="586"/>
      <c r="N122" s="1155"/>
      <c r="O122" s="1155"/>
      <c r="P122" s="2631"/>
      <c r="Q122" s="504"/>
    </row>
    <row r="123" spans="1:17" ht="14.2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27.4" thickTop="1">
      <c r="A124" s="599"/>
      <c r="B124" s="538" t="s">
        <v>2603</v>
      </c>
      <c r="C124" s="578" t="s">
        <v>2579</v>
      </c>
      <c r="D124" s="578" t="s">
        <v>2580</v>
      </c>
      <c r="E124" s="578" t="s">
        <v>2581</v>
      </c>
      <c r="F124" s="578" t="s">
        <v>2582</v>
      </c>
      <c r="G124" s="578" t="s">
        <v>2583</v>
      </c>
      <c r="H124" s="539"/>
      <c r="I124" s="539"/>
      <c r="J124" s="539"/>
      <c r="K124" s="540"/>
      <c r="L124" s="541"/>
      <c r="M124" s="542"/>
      <c r="N124" s="1155"/>
      <c r="O124" s="1155"/>
      <c r="P124" s="2632"/>
      <c r="Q124" s="504"/>
    </row>
    <row r="125" spans="1:17" ht="14.2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3.9"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25" thickBot="1">
      <c r="A127" s="553"/>
      <c r="B127" s="543"/>
      <c r="C127" s="560"/>
      <c r="D127" s="536"/>
      <c r="E127" s="536"/>
      <c r="F127" s="536"/>
      <c r="G127" s="560"/>
      <c r="H127" s="562"/>
      <c r="I127" s="562"/>
      <c r="J127" s="562"/>
      <c r="K127" s="562"/>
      <c r="L127" s="562"/>
      <c r="M127" s="563"/>
      <c r="N127" s="1157"/>
      <c r="O127" s="1157"/>
      <c r="P127" s="2632"/>
      <c r="Q127" s="559"/>
    </row>
    <row r="128" spans="1:17" ht="13.9" thickTop="1">
      <c r="A128" s="599"/>
      <c r="B128" s="538">
        <f>B45</f>
        <v>111</v>
      </c>
      <c r="C128" s="554"/>
      <c r="D128" s="554"/>
      <c r="E128" s="554"/>
      <c r="F128" s="554"/>
      <c r="G128" s="583"/>
      <c r="H128" s="583"/>
      <c r="I128" s="583"/>
      <c r="J128" s="583"/>
      <c r="K128" s="584"/>
      <c r="L128" s="585"/>
      <c r="M128" s="586"/>
      <c r="N128" s="1155"/>
      <c r="O128" s="1155"/>
      <c r="P128" s="2631"/>
      <c r="Q128" s="504"/>
    </row>
    <row r="129" spans="1:17" ht="14.25" thickBot="1">
      <c r="A129" s="534"/>
      <c r="B129" s="543"/>
      <c r="C129" s="560"/>
      <c r="D129" s="560"/>
      <c r="E129" s="560"/>
      <c r="F129" s="560"/>
      <c r="G129" s="536"/>
      <c r="H129" s="536"/>
      <c r="I129" s="536"/>
      <c r="J129" s="536"/>
      <c r="K129" s="536"/>
      <c r="L129" s="536"/>
      <c r="M129" s="537"/>
      <c r="N129" s="1156"/>
      <c r="O129" s="1156"/>
      <c r="P129" s="2631"/>
      <c r="Q129" s="504"/>
    </row>
    <row r="130" spans="1:17" ht="13.9" thickTop="1">
      <c r="A130" s="599"/>
      <c r="B130" s="546">
        <f>B46</f>
        <v>111</v>
      </c>
      <c r="C130" s="554"/>
      <c r="D130" s="554"/>
      <c r="E130" s="554"/>
      <c r="F130" s="554"/>
      <c r="G130" s="587"/>
      <c r="H130" s="587"/>
      <c r="I130" s="587"/>
      <c r="J130" s="587"/>
      <c r="K130" s="523"/>
      <c r="L130" s="524"/>
      <c r="M130" s="590"/>
      <c r="N130" s="1155"/>
      <c r="O130" s="1155"/>
      <c r="P130" s="2631"/>
      <c r="Q130" s="504"/>
    </row>
    <row r="131" spans="1:17" ht="14.25" thickBot="1">
      <c r="A131" s="2637"/>
      <c r="B131" s="569"/>
      <c r="C131" s="570"/>
      <c r="D131" s="570"/>
      <c r="E131" s="570"/>
      <c r="F131" s="570"/>
      <c r="G131" s="591"/>
      <c r="H131" s="591"/>
      <c r="I131" s="591"/>
      <c r="J131" s="591"/>
      <c r="K131" s="591"/>
      <c r="L131" s="591"/>
      <c r="M131" s="592"/>
      <c r="N131" s="1156"/>
      <c r="O131" s="1156"/>
      <c r="P131" s="2631"/>
      <c r="Q131" s="504"/>
    </row>
    <row r="136" spans="1:17" ht="13.9" thickBot="1">
      <c r="B136" s="2638" t="s">
        <v>2604</v>
      </c>
    </row>
    <row r="137" spans="1:17" ht="15">
      <c r="B137" s="2639" t="s">
        <v>2605</v>
      </c>
      <c r="C137" s="2640"/>
      <c r="D137" s="2640"/>
      <c r="E137" s="2640"/>
      <c r="F137" s="2640"/>
      <c r="G137" s="2641"/>
      <c r="H137" s="2642"/>
      <c r="I137" s="2643" t="s">
        <v>2606</v>
      </c>
      <c r="J137" s="2640"/>
      <c r="K137" s="2644"/>
    </row>
    <row r="138" spans="1:17" ht="15">
      <c r="B138" s="2645"/>
      <c r="C138" s="146" t="s">
        <v>2607</v>
      </c>
      <c r="D138" s="146" t="s">
        <v>2608</v>
      </c>
      <c r="E138" s="2646" t="s">
        <v>2609</v>
      </c>
      <c r="F138" s="2647" t="s">
        <v>2610</v>
      </c>
      <c r="G138" s="146" t="s">
        <v>2608</v>
      </c>
      <c r="H138" s="147" t="s">
        <v>2609</v>
      </c>
      <c r="I138" s="2648"/>
      <c r="J138" s="146" t="s">
        <v>2611</v>
      </c>
      <c r="K138" s="147" t="s">
        <v>2612</v>
      </c>
    </row>
    <row r="139" spans="1:17" ht="15">
      <c r="B139" s="1087">
        <v>6</v>
      </c>
      <c r="C139" s="1088">
        <v>96</v>
      </c>
      <c r="D139" s="2649" t="s">
        <v>2613</v>
      </c>
      <c r="E139" s="1089">
        <v>100</v>
      </c>
      <c r="F139" s="1090">
        <v>102.5</v>
      </c>
      <c r="G139" s="2649" t="s">
        <v>2613</v>
      </c>
      <c r="H139" s="1091">
        <v>105</v>
      </c>
      <c r="I139" s="2650" t="s">
        <v>2614</v>
      </c>
      <c r="J139" s="1088">
        <v>20</v>
      </c>
      <c r="K139" s="1092">
        <f>C145/(J139-2)</f>
        <v>4.0555555555555553E-3</v>
      </c>
    </row>
    <row r="140" spans="1:17" ht="15">
      <c r="B140" s="1093">
        <v>5</v>
      </c>
      <c r="C140" s="1094">
        <v>100</v>
      </c>
      <c r="D140" s="1094"/>
      <c r="E140" s="1095"/>
      <c r="F140" s="1096">
        <v>102</v>
      </c>
      <c r="G140" s="1094"/>
      <c r="H140" s="1097"/>
      <c r="I140" s="2651" t="s">
        <v>2615</v>
      </c>
      <c r="J140" s="315">
        <f>ROUNDUP((J139-1)/2,0)</f>
        <v>10</v>
      </c>
      <c r="K140" s="1098">
        <v>100</v>
      </c>
    </row>
    <row r="141" spans="1:17" ht="15">
      <c r="B141" s="1093">
        <v>4</v>
      </c>
      <c r="C141" s="1094">
        <v>102</v>
      </c>
      <c r="D141" s="1094"/>
      <c r="E141" s="1095"/>
      <c r="F141" s="1096">
        <v>101.5</v>
      </c>
      <c r="G141" s="1094"/>
      <c r="H141" s="1097"/>
      <c r="I141" s="2651" t="s">
        <v>2616</v>
      </c>
      <c r="J141" s="315">
        <v>1</v>
      </c>
      <c r="K141" s="1099">
        <f>ROUND(100+(J141-J140)*K139*100,1)</f>
        <v>96.4</v>
      </c>
    </row>
    <row r="142" spans="1:17" ht="15">
      <c r="B142" s="1093">
        <v>3</v>
      </c>
      <c r="C142" s="1094">
        <v>103</v>
      </c>
      <c r="D142" s="1094"/>
      <c r="E142" s="1095"/>
      <c r="F142" s="1096">
        <v>101</v>
      </c>
      <c r="G142" s="1094"/>
      <c r="H142" s="1097"/>
      <c r="I142" s="2651" t="s">
        <v>2617</v>
      </c>
      <c r="J142" s="315">
        <f>J139</f>
        <v>20</v>
      </c>
      <c r="K142" s="1100">
        <v>95</v>
      </c>
    </row>
    <row r="143" spans="1:17" ht="15">
      <c r="B143" s="1093">
        <v>2</v>
      </c>
      <c r="C143" s="1094">
        <v>100</v>
      </c>
      <c r="D143" s="1094"/>
      <c r="E143" s="1095"/>
      <c r="F143" s="1096">
        <v>100.5</v>
      </c>
      <c r="G143" s="1094"/>
      <c r="H143" s="1097"/>
      <c r="I143" s="2651" t="s">
        <v>2618</v>
      </c>
      <c r="J143" s="1094">
        <v>15</v>
      </c>
      <c r="K143" s="1099">
        <f>ROUND(100+(J143-J140)*K139*100,1)</f>
        <v>102</v>
      </c>
    </row>
    <row r="144" spans="1:17" ht="15">
      <c r="B144" s="1093">
        <v>1</v>
      </c>
      <c r="C144" s="1094">
        <v>98</v>
      </c>
      <c r="D144" s="2652" t="s">
        <v>2619</v>
      </c>
      <c r="E144" s="1095">
        <v>102</v>
      </c>
      <c r="F144" s="1101">
        <v>100</v>
      </c>
      <c r="G144" s="2652" t="s">
        <v>2619</v>
      </c>
      <c r="H144" s="1097">
        <v>105</v>
      </c>
      <c r="I144" s="2651" t="s">
        <v>2618</v>
      </c>
      <c r="J144" s="1094">
        <v>18</v>
      </c>
      <c r="K144" s="1099">
        <f>ROUND(100+(J144-J140)*K139*100,1)</f>
        <v>103.2</v>
      </c>
    </row>
    <row r="145" spans="2:11" ht="16.149999999999999" thickBot="1">
      <c r="B145" s="2653" t="s">
        <v>2620</v>
      </c>
      <c r="C145" s="1102">
        <f>ROUND(MAX(C139:C144)/MIN(C139:C144)-1,3)</f>
        <v>7.2999999999999995E-2</v>
      </c>
      <c r="D145" s="1103"/>
      <c r="E145" s="1103"/>
      <c r="F145" s="2654" t="s">
        <v>2621</v>
      </c>
      <c r="G145" s="2655"/>
      <c r="H145" s="2656"/>
      <c r="I145" s="2657" t="s">
        <v>2618</v>
      </c>
      <c r="J145" s="1104">
        <v>8</v>
      </c>
      <c r="K145" s="1105">
        <f>ROUND(100+(J145-J140)*K139*100,1)</f>
        <v>99.2</v>
      </c>
    </row>
    <row r="147" spans="2:11">
      <c r="B147" s="2638" t="s">
        <v>2622</v>
      </c>
    </row>
    <row r="148" spans="2:11">
      <c r="B148" s="2638" t="s">
        <v>2623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5"/>
  <cols>
    <col min="1" max="1" width="84" style="1948" customWidth="1"/>
    <col min="2" max="16384" width="9" style="1948"/>
  </cols>
  <sheetData>
    <row r="1" spans="1:1" ht="23.25">
      <c r="A1" s="1947" t="s">
        <v>1610</v>
      </c>
    </row>
    <row r="2" spans="1:1">
      <c r="A2" s="1949"/>
    </row>
    <row r="3" spans="1:1" ht="17.649999999999999">
      <c r="A3" s="1950" t="str">
        <f>项目基本情况!B5&amp;"："</f>
        <v>北京丰泰新发资产管理有限公司：</v>
      </c>
    </row>
    <row r="4" spans="1:1" ht="34.5">
      <c r="A4" s="1951" t="str">
        <f>"受贵公司委托，我公司对"&amp;项目基本情况!S1&amp;"进行了预评估。"</f>
        <v>受贵公司委托，我公司对北京市丰台区花乡新发地农副产品批发市场B地块出让国有建设用地使用权及在建建筑物房地产抵押价值进行了预评估。</v>
      </c>
    </row>
    <row r="5" spans="1:1" ht="17.649999999999999">
      <c r="A5" s="1952" t="s">
        <v>1611</v>
      </c>
    </row>
    <row r="6" spans="1:1" ht="17.649999999999999">
      <c r="A6" s="1953" t="s">
        <v>1612</v>
      </c>
    </row>
    <row r="7" spans="1:1" ht="86.25">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新发地农副产品批发市场B地块出让国有建设用地使用权及在建建筑物房地产，为所有。根据《国有土地使用证》[京丰国用（2012出）第00197号]，估价对象（分摊）出让国有建设用地使用权面积为51219.74平方米。根据北京新发地批发市场升级改造项目数据，估价对象建筑面积为166960平方米。</v>
      </c>
    </row>
    <row r="8" spans="1:1" ht="54.4">
      <c r="A8" s="1954" t="s">
        <v>1613</v>
      </c>
    </row>
    <row r="9" spans="1:1" ht="17.649999999999999">
      <c r="A9" s="1953" t="s">
        <v>1614</v>
      </c>
    </row>
    <row r="10" spans="1:1" ht="86.25">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新发地农副产品批发市场B地块出让国有建设用地使用权及在建建筑物房地产,为开发建设的商业项目，该项目尚在开发建设中。根据《国有土地使用证》[京丰国用（2012出）第00197号]，估价对象（分摊）出让国有建设用地使用权面积为51219.74平方米。根据北京新发地批发市场升级改造项目数据，估价对象规划建筑面积为166960平方米。</v>
      </c>
    </row>
    <row r="11" spans="1:1" ht="72">
      <c r="A11" s="1954" t="s">
        <v>1615</v>
      </c>
    </row>
    <row r="12" spans="1:1" ht="17.649999999999999">
      <c r="A12" s="1952" t="s">
        <v>1616</v>
      </c>
    </row>
    <row r="13" spans="1:1" ht="38.25" customHeight="1">
      <c r="A13" s="1955" t="str">
        <f>IF(项目基本情况!B8="抵押",IF(项目基本情况!B5=项目基本情况!B6,定义!C51,定义!B51),定义!D51)</f>
        <v>为估价委托人在向农商银行丰台支行办理贷款手续过程中，确定房地产抵押贷款额度提供参考依据而评估房地产抵押价值。</v>
      </c>
    </row>
    <row r="14" spans="1:1" ht="17.649999999999999">
      <c r="A14" s="1956" t="s">
        <v>1617</v>
      </c>
    </row>
    <row r="15" spans="1:1" ht="17.25">
      <c r="A15" s="1957" t="str">
        <f>TEXT(项目基本情况!D3,"yyyy年m月d日;;")&amp;IF(项目基本情况!D3=项目基本情况!B3,"（评估专业人员实地查勘之日）","")</f>
        <v>2018年4月25日（评估专业人员实地查勘之日）</v>
      </c>
    </row>
    <row r="16" spans="1:1" ht="17.649999999999999">
      <c r="A16" s="1956" t="s">
        <v>1618</v>
      </c>
    </row>
    <row r="17" spans="1:1" ht="70.5">
      <c r="A17" s="1951" t="s">
        <v>1619</v>
      </c>
    </row>
    <row r="18" spans="1:1" ht="69">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25日，估价对象规划用途为批发零售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批发零售业，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5">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1.75">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25">
      <c r="A22" s="1951" t="str">
        <f>IF(项目基本情况!B9="房地产市场价值","——",IF(项目基本情况!E9="——","",定义!C57))</f>
        <v/>
      </c>
    </row>
    <row r="23" spans="1:1" ht="17.649999999999999">
      <c r="A23" s="1956" t="s">
        <v>1608</v>
      </c>
    </row>
    <row r="24" spans="1:1" ht="17.25">
      <c r="A24" s="1958" t="str">
        <f>"本次评估采用的主估价方法为"&amp;结果表!K4&amp;"和"&amp;结果表!L4&amp;"。"</f>
        <v>本次评估采用的主估价方法为成本法和假设开发法。</v>
      </c>
    </row>
    <row r="25" spans="1:1" ht="17.25">
      <c r="A25" s="1958"/>
    </row>
    <row r="26" spans="1:1" ht="17.649999999999999">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J10" sqref="J10"/>
    </sheetView>
  </sheetViews>
  <sheetFormatPr defaultColWidth="9" defaultRowHeight="13.5"/>
  <cols>
    <col min="1" max="1" width="10.46484375" style="403" customWidth="1"/>
    <col min="2" max="2" width="15.73046875" style="403" customWidth="1"/>
    <col min="3" max="3" width="15.1328125" style="403" customWidth="1"/>
    <col min="4" max="4" width="12.265625" style="403" customWidth="1"/>
    <col min="5" max="5" width="14.3984375" style="403" customWidth="1"/>
    <col min="6" max="6" width="12.265625" style="403" customWidth="1"/>
    <col min="7" max="7" width="14.46484375" style="403" customWidth="1"/>
    <col min="8" max="8" width="12.265625" style="403" customWidth="1"/>
    <col min="9" max="9" width="14.46484375" style="403" customWidth="1"/>
    <col min="10" max="10" width="12.265625" style="403" customWidth="1"/>
    <col min="11" max="11" width="12.265625" style="495" customWidth="1"/>
    <col min="12" max="12" width="12.265625" style="496" customWidth="1"/>
    <col min="13" max="15" width="12.265625" style="403" customWidth="1"/>
    <col min="16" max="16" width="4.73046875" style="2625" customWidth="1"/>
    <col min="17" max="17" width="19.46484375" style="403" customWidth="1"/>
    <col min="18" max="22" width="6.1328125" style="403" customWidth="1"/>
    <col min="23" max="23" width="5.73046875" style="403" customWidth="1"/>
    <col min="24" max="24" width="4.265625" style="403" customWidth="1"/>
    <col min="25" max="25" width="3.46484375" style="403" customWidth="1"/>
    <col min="26" max="26" width="19.73046875" style="403" customWidth="1"/>
    <col min="27" max="28" width="9.3984375" style="403" customWidth="1"/>
    <col min="29" max="16384" width="9" style="403"/>
  </cols>
  <sheetData>
    <row r="1" spans="1:29" s="1632" customFormat="1" ht="28.5" customHeight="1" thickBot="1">
      <c r="A1" s="1621" t="s">
        <v>2510</v>
      </c>
      <c r="B1" s="2583" t="s">
        <v>2624</v>
      </c>
      <c r="C1" s="1637" t="s">
        <v>2512</v>
      </c>
      <c r="D1" s="1624"/>
      <c r="E1" s="2658"/>
      <c r="F1" s="2585"/>
      <c r="G1" s="1634" t="s">
        <v>2625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2312</v>
      </c>
      <c r="B2" s="1421" t="e">
        <f ca="1">IF(C2="——",ROUND(C49*D3/10000,0),ROUND(C49*D3/10000,0)-D2)</f>
        <v>#DIV/0!</v>
      </c>
      <c r="C2" s="2587"/>
      <c r="D2" s="1368" t="e">
        <f ca="1">SUMIF(INDIRECT("'"&amp;F2&amp;"'"&amp;"!A:A"),"承租人权益价值",INDIRECT("'"&amp;F2&amp;"'"&amp;"!c:c"))</f>
        <v>#REF!</v>
      </c>
      <c r="E2" s="2588" t="s">
        <v>2313</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2314</v>
      </c>
      <c r="B3" s="609" t="e">
        <f ca="1">IF(C2="——",C49,ROUND(B2*10000/D3,0))</f>
        <v>#DIV/0!</v>
      </c>
      <c r="C3" s="400" t="s">
        <v>2626</v>
      </c>
      <c r="D3" s="399">
        <f>IF(D1="",'数据-汇总表'!E3,SUMIF('数据-汇总表'!$C19:$C33,D1,'数据-汇总表'!$E19:$E33))</f>
        <v>166960</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3.9">
      <c r="A4" s="401" t="s">
        <v>2627</v>
      </c>
      <c r="B4" s="402"/>
      <c r="C4" s="3259" t="s">
        <v>2628</v>
      </c>
      <c r="D4" s="3260"/>
      <c r="E4" s="3261" t="s">
        <v>2629</v>
      </c>
      <c r="F4" s="3262"/>
      <c r="G4" s="3259" t="s">
        <v>2630</v>
      </c>
      <c r="H4" s="3260"/>
      <c r="I4" s="3259" t="s">
        <v>2631</v>
      </c>
      <c r="J4" s="3260"/>
      <c r="K4" s="610" t="s">
        <v>2632</v>
      </c>
      <c r="L4" s="1133"/>
      <c r="M4" s="1134"/>
      <c r="N4" s="1134"/>
      <c r="O4" s="1134"/>
      <c r="P4" s="3263" t="s">
        <v>2633</v>
      </c>
      <c r="Q4" s="3264"/>
      <c r="R4" s="3246" t="s">
        <v>2629</v>
      </c>
      <c r="S4" s="3247"/>
      <c r="T4" s="3246" t="s">
        <v>2630</v>
      </c>
      <c r="U4" s="3247"/>
      <c r="V4" s="3271" t="s">
        <v>2631</v>
      </c>
      <c r="W4" s="3271"/>
      <c r="X4" s="1816"/>
      <c r="Y4" s="3246" t="s">
        <v>2633</v>
      </c>
      <c r="Z4" s="3247"/>
      <c r="AA4" s="3241" t="s">
        <v>2629</v>
      </c>
      <c r="AB4" s="3271" t="s">
        <v>2630</v>
      </c>
      <c r="AC4" s="3241" t="s">
        <v>2631</v>
      </c>
    </row>
    <row r="5" spans="1:29" ht="13.9">
      <c r="A5" s="404"/>
      <c r="B5" s="405"/>
      <c r="C5" s="3252" t="s">
        <v>2524</v>
      </c>
      <c r="D5" s="3253"/>
      <c r="E5" s="3250" t="s">
        <v>2525</v>
      </c>
      <c r="F5" s="3251"/>
      <c r="G5" s="3252" t="s">
        <v>2526</v>
      </c>
      <c r="H5" s="3253"/>
      <c r="I5" s="3252" t="s">
        <v>2527</v>
      </c>
      <c r="J5" s="3253"/>
      <c r="K5" s="610"/>
      <c r="L5" s="1133"/>
      <c r="M5" s="1134"/>
      <c r="N5" s="1134"/>
      <c r="O5" s="1134"/>
      <c r="P5" s="3265"/>
      <c r="Q5" s="3266"/>
      <c r="R5" s="3248"/>
      <c r="S5" s="3249"/>
      <c r="T5" s="3248"/>
      <c r="U5" s="3249"/>
      <c r="V5" s="3271"/>
      <c r="W5" s="3271"/>
      <c r="X5" s="1816"/>
      <c r="Y5" s="3248"/>
      <c r="Z5" s="3249"/>
      <c r="AA5" s="3242"/>
      <c r="AB5" s="3271"/>
      <c r="AC5" s="3242"/>
    </row>
    <row r="6" spans="1:29" ht="14.25" thickBot="1">
      <c r="A6" s="406"/>
      <c r="B6" s="407"/>
      <c r="C6" s="3254" t="s">
        <v>2528</v>
      </c>
      <c r="D6" s="3255"/>
      <c r="E6" s="3256" t="s">
        <v>2528</v>
      </c>
      <c r="F6" s="3257"/>
      <c r="G6" s="3254" t="s">
        <v>2528</v>
      </c>
      <c r="H6" s="3255"/>
      <c r="I6" s="3254" t="s">
        <v>2528</v>
      </c>
      <c r="J6" s="3255"/>
      <c r="K6" s="610" t="s">
        <v>2529</v>
      </c>
      <c r="L6" s="1133"/>
      <c r="M6" s="1134"/>
      <c r="N6" s="1134"/>
      <c r="O6" s="1134"/>
      <c r="P6" s="3267"/>
      <c r="Q6" s="3268"/>
      <c r="R6" s="3248"/>
      <c r="S6" s="3249"/>
      <c r="T6" s="3269"/>
      <c r="U6" s="3270"/>
      <c r="V6" s="3271"/>
      <c r="W6" s="3271"/>
      <c r="X6" s="1816"/>
      <c r="Y6" s="3269"/>
      <c r="Z6" s="3270"/>
      <c r="AA6" s="3243"/>
      <c r="AB6" s="3271"/>
      <c r="AC6" s="3243"/>
    </row>
    <row r="7" spans="1:29" s="117" customFormat="1" ht="14.25" thickBot="1">
      <c r="A7" s="408" t="s">
        <v>2530</v>
      </c>
      <c r="B7" s="409"/>
      <c r="C7" s="410">
        <f>'数据-取费表'!B2</f>
        <v>43215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4" t="s">
        <v>2531</v>
      </c>
      <c r="Q7" s="3272"/>
      <c r="R7" s="770" t="s">
        <v>17</v>
      </c>
      <c r="S7" s="771">
        <f t="shared" ref="S7:S15" si="0">F7</f>
        <v>0</v>
      </c>
      <c r="T7" s="770" t="s">
        <v>17</v>
      </c>
      <c r="U7" s="771">
        <f t="shared" ref="U7:U15" si="1">H7</f>
        <v>0</v>
      </c>
      <c r="V7" s="770" t="s">
        <v>17</v>
      </c>
      <c r="W7" s="771">
        <f t="shared" ref="W7:W15" si="2">J7</f>
        <v>0</v>
      </c>
      <c r="X7" s="772"/>
      <c r="Y7" s="3244" t="s">
        <v>2531</v>
      </c>
      <c r="Z7" s="3245"/>
      <c r="AA7" s="773" t="e">
        <f>D7/F7</f>
        <v>#DIV/0!</v>
      </c>
      <c r="AB7" s="773" t="e">
        <f>D7/H7</f>
        <v>#DIV/0!</v>
      </c>
      <c r="AC7" s="773" t="e">
        <f>D7/J7</f>
        <v>#DIV/0!</v>
      </c>
    </row>
    <row r="8" spans="1:29" s="117" customFormat="1" ht="14.25" thickBot="1">
      <c r="A8" s="408" t="s">
        <v>2532</v>
      </c>
      <c r="B8" s="409"/>
      <c r="C8" s="414" t="s">
        <v>2634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4" t="s">
        <v>2534</v>
      </c>
      <c r="Q8" s="3245"/>
      <c r="R8" s="770" t="s">
        <v>17</v>
      </c>
      <c r="S8" s="771">
        <f t="shared" si="0"/>
        <v>0</v>
      </c>
      <c r="T8" s="770" t="s">
        <v>17</v>
      </c>
      <c r="U8" s="771">
        <f t="shared" si="1"/>
        <v>0</v>
      </c>
      <c r="V8" s="770" t="s">
        <v>17</v>
      </c>
      <c r="W8" s="771">
        <f t="shared" si="2"/>
        <v>0</v>
      </c>
      <c r="X8" s="772"/>
      <c r="Y8" s="3244" t="s">
        <v>2534</v>
      </c>
      <c r="Z8" s="3245"/>
      <c r="AA8" s="773" t="e">
        <f t="shared" ref="AA8:AA46" si="3">D8/F8</f>
        <v>#DIV/0!</v>
      </c>
      <c r="AB8" s="773" t="e">
        <f t="shared" ref="AB8:AB46" si="4">D8/H8</f>
        <v>#DIV/0!</v>
      </c>
      <c r="AC8" s="773" t="e">
        <f t="shared" ref="AC8:AC46" si="5">D8/J8</f>
        <v>#DIV/0!</v>
      </c>
    </row>
    <row r="9" spans="1:29" s="117" customFormat="1">
      <c r="A9" s="415" t="s">
        <v>2535</v>
      </c>
      <c r="B9" s="71" t="s">
        <v>2536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58" t="s">
        <v>2537</v>
      </c>
      <c r="Q9" s="1798" t="str">
        <f t="shared" ref="Q9:Q15" si="6">B9</f>
        <v>用途</v>
      </c>
      <c r="R9" s="770" t="s">
        <v>17</v>
      </c>
      <c r="S9" s="771">
        <f t="shared" si="0"/>
        <v>100</v>
      </c>
      <c r="T9" s="770" t="s">
        <v>17</v>
      </c>
      <c r="U9" s="771">
        <f t="shared" si="1"/>
        <v>100</v>
      </c>
      <c r="V9" s="770" t="s">
        <v>17</v>
      </c>
      <c r="W9" s="771">
        <f t="shared" si="2"/>
        <v>100</v>
      </c>
      <c r="X9" s="772"/>
      <c r="Y9" s="3066"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8"/>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58"/>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8"/>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8"/>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4"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8"/>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15">
      <c r="A15" s="440" t="s">
        <v>2541</v>
      </c>
      <c r="B15" s="69" t="s">
        <v>2635</v>
      </c>
      <c r="C15" s="2604">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5" t="s">
        <v>2542</v>
      </c>
      <c r="Q15" s="1813" t="str">
        <f t="shared" si="6"/>
        <v>商业繁华度</v>
      </c>
      <c r="R15" s="774" t="s">
        <v>17</v>
      </c>
      <c r="S15" s="775">
        <f t="shared" si="0"/>
        <v>100</v>
      </c>
      <c r="T15" s="774" t="s">
        <v>17</v>
      </c>
      <c r="U15" s="775">
        <f t="shared" si="1"/>
        <v>100</v>
      </c>
      <c r="V15" s="774" t="s">
        <v>17</v>
      </c>
      <c r="W15" s="775">
        <f t="shared" si="2"/>
        <v>100</v>
      </c>
      <c r="X15" s="1816"/>
      <c r="Y15" s="3278" t="s">
        <v>2542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86"/>
      <c r="Q16" s="1813"/>
      <c r="R16" s="774"/>
      <c r="S16" s="775"/>
      <c r="T16" s="774"/>
      <c r="U16" s="775"/>
      <c r="V16" s="774"/>
      <c r="W16" s="775"/>
      <c r="X16" s="1816"/>
      <c r="Y16" s="3279"/>
      <c r="Z16" s="1817"/>
      <c r="AA16" s="1814">
        <v>1</v>
      </c>
      <c r="AB16" s="1814">
        <v>1</v>
      </c>
      <c r="AC16" s="1814">
        <v>1</v>
      </c>
    </row>
    <row r="17" spans="1:29" ht="15">
      <c r="A17" s="428"/>
      <c r="B17" s="451" t="s">
        <v>2086</v>
      </c>
      <c r="C17" s="2608">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6"/>
      <c r="Q17" s="1813" t="str">
        <f>B17</f>
        <v>交通便捷度</v>
      </c>
      <c r="R17" s="774" t="s">
        <v>17</v>
      </c>
      <c r="S17" s="775">
        <f>F17</f>
        <v>100</v>
      </c>
      <c r="T17" s="774" t="s">
        <v>17</v>
      </c>
      <c r="U17" s="775">
        <f>H17</f>
        <v>100</v>
      </c>
      <c r="V17" s="774" t="s">
        <v>17</v>
      </c>
      <c r="W17" s="775">
        <f>J17</f>
        <v>100</v>
      </c>
      <c r="X17" s="1816"/>
      <c r="Y17" s="3279"/>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86"/>
      <c r="Q18" s="1813"/>
      <c r="R18" s="774"/>
      <c r="S18" s="775"/>
      <c r="T18" s="774"/>
      <c r="U18" s="775"/>
      <c r="V18" s="774"/>
      <c r="W18" s="775"/>
      <c r="X18" s="1816"/>
      <c r="Y18" s="3279"/>
      <c r="Z18" s="1817"/>
      <c r="AA18" s="1814">
        <v>1</v>
      </c>
      <c r="AB18" s="1814">
        <v>1</v>
      </c>
      <c r="AC18" s="1814">
        <v>1</v>
      </c>
    </row>
    <row r="19" spans="1:29" ht="15">
      <c r="A19" s="428"/>
      <c r="B19" s="451" t="s">
        <v>2636</v>
      </c>
      <c r="C19" s="2608">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6"/>
      <c r="Q19" s="1813" t="str">
        <f>B19</f>
        <v>公共配套设施</v>
      </c>
      <c r="R19" s="774" t="s">
        <v>17</v>
      </c>
      <c r="S19" s="775">
        <f>F19</f>
        <v>100</v>
      </c>
      <c r="T19" s="774" t="s">
        <v>17</v>
      </c>
      <c r="U19" s="775">
        <f>H19</f>
        <v>100</v>
      </c>
      <c r="V19" s="774" t="s">
        <v>17</v>
      </c>
      <c r="W19" s="775">
        <f>J19</f>
        <v>100</v>
      </c>
      <c r="X19" s="1816"/>
      <c r="Y19" s="3279"/>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86"/>
      <c r="Q20" s="1813"/>
      <c r="R20" s="774"/>
      <c r="S20" s="775"/>
      <c r="T20" s="774"/>
      <c r="U20" s="775"/>
      <c r="V20" s="774"/>
      <c r="W20" s="775"/>
      <c r="X20" s="1816"/>
      <c r="Y20" s="3279"/>
      <c r="Z20" s="1817"/>
      <c r="AA20" s="1814">
        <v>1</v>
      </c>
      <c r="AB20" s="1814">
        <v>1</v>
      </c>
      <c r="AC20" s="1814">
        <v>1</v>
      </c>
    </row>
    <row r="21" spans="1:29" ht="15">
      <c r="A21" s="428"/>
      <c r="B21" s="1387" t="s">
        <v>2637</v>
      </c>
      <c r="C21" s="2608">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6"/>
      <c r="Q21" s="1813" t="str">
        <f>B21</f>
        <v>基础设施水平</v>
      </c>
      <c r="R21" s="774" t="s">
        <v>17</v>
      </c>
      <c r="S21" s="775">
        <f>F21</f>
        <v>100</v>
      </c>
      <c r="T21" s="774" t="s">
        <v>17</v>
      </c>
      <c r="U21" s="775">
        <f>H21</f>
        <v>100</v>
      </c>
      <c r="V21" s="774" t="s">
        <v>17</v>
      </c>
      <c r="W21" s="775">
        <f>J21</f>
        <v>100</v>
      </c>
      <c r="X21" s="1816"/>
      <c r="Y21" s="3279"/>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86"/>
      <c r="Q22" s="1813"/>
      <c r="R22" s="774"/>
      <c r="S22" s="775"/>
      <c r="T22" s="774"/>
      <c r="U22" s="775"/>
      <c r="V22" s="774"/>
      <c r="W22" s="775"/>
      <c r="X22" s="1816"/>
      <c r="Y22" s="3279"/>
      <c r="Z22" s="1817"/>
      <c r="AA22" s="1814">
        <v>1</v>
      </c>
      <c r="AB22" s="1814">
        <v>1</v>
      </c>
      <c r="AC22" s="1814">
        <v>1</v>
      </c>
    </row>
    <row r="23" spans="1:29" ht="15">
      <c r="A23" s="428"/>
      <c r="B23" s="451" t="s">
        <v>2089</v>
      </c>
      <c r="C23" s="2665">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6"/>
      <c r="Q23" s="1813" t="str">
        <f>B23</f>
        <v>自然及人文环境</v>
      </c>
      <c r="R23" s="774" t="s">
        <v>17</v>
      </c>
      <c r="S23" s="775">
        <f>F23</f>
        <v>100</v>
      </c>
      <c r="T23" s="774" t="s">
        <v>17</v>
      </c>
      <c r="U23" s="775">
        <f>H23</f>
        <v>100</v>
      </c>
      <c r="V23" s="774" t="s">
        <v>17</v>
      </c>
      <c r="W23" s="775">
        <f>J23</f>
        <v>100</v>
      </c>
      <c r="X23" s="1816"/>
      <c r="Y23" s="3279"/>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86"/>
      <c r="Q24" s="1813"/>
      <c r="R24" s="774"/>
      <c r="S24" s="775"/>
      <c r="T24" s="774"/>
      <c r="U24" s="775"/>
      <c r="V24" s="774"/>
      <c r="W24" s="775"/>
      <c r="X24" s="1816"/>
      <c r="Y24" s="3279"/>
      <c r="Z24" s="1817"/>
      <c r="AA24" s="1814">
        <v>1</v>
      </c>
      <c r="AB24" s="1814">
        <v>1</v>
      </c>
      <c r="AC24" s="1814">
        <v>1</v>
      </c>
    </row>
    <row r="25" spans="1:29" ht="15">
      <c r="A25" s="428"/>
      <c r="B25" s="422" t="s">
        <v>2638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6"/>
      <c r="Q25" s="1813" t="str">
        <f t="shared" ref="Q25:Q46" si="11">B25</f>
        <v>临街状况</v>
      </c>
      <c r="R25" s="774" t="s">
        <v>17</v>
      </c>
      <c r="S25" s="775">
        <f>F25</f>
        <v>100</v>
      </c>
      <c r="T25" s="774" t="s">
        <v>17</v>
      </c>
      <c r="U25" s="775">
        <f>H25</f>
        <v>100</v>
      </c>
      <c r="V25" s="774" t="s">
        <v>17</v>
      </c>
      <c r="W25" s="775">
        <f>J25</f>
        <v>100</v>
      </c>
      <c r="X25" s="1816"/>
      <c r="Y25" s="3279"/>
      <c r="Z25" s="1817" t="str">
        <f>Q25</f>
        <v>临街状况</v>
      </c>
      <c r="AA25" s="1814">
        <f t="shared" si="3"/>
        <v>1</v>
      </c>
      <c r="AB25" s="1814">
        <f t="shared" si="4"/>
        <v>1</v>
      </c>
      <c r="AC25" s="1814">
        <f t="shared" si="5"/>
        <v>1</v>
      </c>
    </row>
    <row r="26" spans="1:29" ht="15">
      <c r="A26" s="428"/>
      <c r="B26" s="1389" t="s">
        <v>2639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6"/>
      <c r="Q26" s="1813" t="str">
        <f t="shared" si="11"/>
        <v>平面位置/可视性</v>
      </c>
      <c r="R26" s="774" t="s">
        <v>17</v>
      </c>
      <c r="S26" s="775">
        <f>F26</f>
        <v>100</v>
      </c>
      <c r="T26" s="774" t="s">
        <v>17</v>
      </c>
      <c r="U26" s="775">
        <f>H26</f>
        <v>100</v>
      </c>
      <c r="V26" s="774" t="s">
        <v>17</v>
      </c>
      <c r="W26" s="775">
        <f>J26</f>
        <v>100</v>
      </c>
      <c r="X26" s="1816"/>
      <c r="Y26" s="3279"/>
      <c r="Z26" s="1817" t="str">
        <f>Q26</f>
        <v>平面位置/可视性</v>
      </c>
      <c r="AA26" s="1814">
        <f t="shared" si="3"/>
        <v>1</v>
      </c>
      <c r="AB26" s="1814">
        <f t="shared" si="4"/>
        <v>1</v>
      </c>
      <c r="AC26" s="1814">
        <f t="shared" si="5"/>
        <v>1</v>
      </c>
    </row>
    <row r="27" spans="1:29" s="117" customFormat="1" ht="15">
      <c r="A27" s="431"/>
      <c r="B27" s="451" t="s">
        <v>2640</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86"/>
      <c r="Q27" s="1798" t="str">
        <f t="shared" si="11"/>
        <v>人流量</v>
      </c>
      <c r="R27" s="770" t="s">
        <v>17</v>
      </c>
      <c r="S27" s="771">
        <f>F27</f>
        <v>100</v>
      </c>
      <c r="T27" s="770" t="s">
        <v>17</v>
      </c>
      <c r="U27" s="771">
        <f>H27</f>
        <v>100</v>
      </c>
      <c r="V27" s="770" t="s">
        <v>17</v>
      </c>
      <c r="W27" s="771">
        <f>J27</f>
        <v>100</v>
      </c>
      <c r="X27" s="772"/>
      <c r="Y27" s="3279"/>
      <c r="Z27" s="55" t="str">
        <f>Q27</f>
        <v>人流量</v>
      </c>
      <c r="AA27" s="1814">
        <f>D27/F27</f>
        <v>1</v>
      </c>
      <c r="AB27" s="1814">
        <f>D27/H27</f>
        <v>1</v>
      </c>
      <c r="AC27" s="1814">
        <f>D27/J27</f>
        <v>1</v>
      </c>
    </row>
    <row r="28" spans="1:29" ht="15">
      <c r="A28" s="428"/>
      <c r="B28" s="422" t="s">
        <v>2641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7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6"/>
      <c r="Q29" s="1813">
        <f t="shared" si="11"/>
        <v>111</v>
      </c>
      <c r="R29" s="774" t="s">
        <v>17</v>
      </c>
      <c r="S29" s="775">
        <f t="shared" si="12"/>
        <v>100</v>
      </c>
      <c r="T29" s="774" t="s">
        <v>17</v>
      </c>
      <c r="U29" s="775">
        <f t="shared" si="13"/>
        <v>100</v>
      </c>
      <c r="V29" s="774" t="s">
        <v>17</v>
      </c>
      <c r="W29" s="775">
        <f t="shared" si="14"/>
        <v>100</v>
      </c>
      <c r="X29" s="1816"/>
      <c r="Y29" s="327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6"/>
      <c r="Q30" s="1813">
        <f t="shared" si="11"/>
        <v>111</v>
      </c>
      <c r="R30" s="774" t="s">
        <v>17</v>
      </c>
      <c r="S30" s="775">
        <f t="shared" si="12"/>
        <v>100</v>
      </c>
      <c r="T30" s="774" t="s">
        <v>17</v>
      </c>
      <c r="U30" s="775">
        <f t="shared" si="13"/>
        <v>100</v>
      </c>
      <c r="V30" s="774" t="s">
        <v>17</v>
      </c>
      <c r="W30" s="775">
        <f t="shared" si="14"/>
        <v>100</v>
      </c>
      <c r="X30" s="1816"/>
      <c r="Y30" s="3279"/>
      <c r="Z30" s="1817">
        <f t="shared" si="15"/>
        <v>111</v>
      </c>
      <c r="AA30" s="1814">
        <f t="shared" si="3"/>
        <v>1</v>
      </c>
      <c r="AB30" s="1814">
        <f t="shared" si="4"/>
        <v>1</v>
      </c>
      <c r="AC30" s="1814">
        <f t="shared" si="5"/>
        <v>1</v>
      </c>
    </row>
    <row r="31" spans="1:29" ht="15.4"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6"/>
      <c r="Q31" s="1813">
        <f t="shared" si="11"/>
        <v>111</v>
      </c>
      <c r="R31" s="774" t="s">
        <v>17</v>
      </c>
      <c r="S31" s="775">
        <f t="shared" si="12"/>
        <v>100</v>
      </c>
      <c r="T31" s="774" t="s">
        <v>17</v>
      </c>
      <c r="U31" s="775">
        <f t="shared" si="13"/>
        <v>100</v>
      </c>
      <c r="V31" s="774" t="s">
        <v>17</v>
      </c>
      <c r="W31" s="775">
        <f t="shared" si="14"/>
        <v>100</v>
      </c>
      <c r="X31" s="1816"/>
      <c r="Y31" s="3279"/>
      <c r="Z31" s="1817">
        <f t="shared" si="15"/>
        <v>111</v>
      </c>
      <c r="AA31" s="1814">
        <f t="shared" si="3"/>
        <v>1</v>
      </c>
      <c r="AB31" s="1814">
        <f t="shared" si="4"/>
        <v>1</v>
      </c>
      <c r="AC31" s="1814">
        <f t="shared" si="5"/>
        <v>1</v>
      </c>
    </row>
    <row r="32" spans="1:29" ht="15">
      <c r="A32" s="440" t="s">
        <v>2545</v>
      </c>
      <c r="B32" s="71" t="s">
        <v>2642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80" t="s">
        <v>2547</v>
      </c>
      <c r="Q32" s="1813" t="str">
        <f t="shared" si="11"/>
        <v>商业类型</v>
      </c>
      <c r="R32" s="774" t="s">
        <v>17</v>
      </c>
      <c r="S32" s="775">
        <f t="shared" si="12"/>
        <v>100</v>
      </c>
      <c r="T32" s="774" t="s">
        <v>17</v>
      </c>
      <c r="U32" s="775">
        <f t="shared" si="13"/>
        <v>100</v>
      </c>
      <c r="V32" s="774" t="s">
        <v>17</v>
      </c>
      <c r="W32" s="775">
        <f t="shared" si="14"/>
        <v>100</v>
      </c>
      <c r="X32" s="1816"/>
      <c r="Y32" s="3283" t="s">
        <v>2547</v>
      </c>
      <c r="Z32" s="1817" t="str">
        <f t="shared" si="15"/>
        <v>商业类型</v>
      </c>
      <c r="AA32" s="1814">
        <f t="shared" si="3"/>
        <v>1</v>
      </c>
      <c r="AB32" s="1814">
        <f t="shared" si="4"/>
        <v>1</v>
      </c>
      <c r="AC32" s="1814">
        <f t="shared" si="5"/>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1"/>
      <c r="Q33" s="776" t="str">
        <f t="shared" si="11"/>
        <v>项目建筑规模</v>
      </c>
      <c r="R33" s="777" t="s">
        <v>17</v>
      </c>
      <c r="S33" s="778" t="e">
        <f t="shared" si="12"/>
        <v>#N/A</v>
      </c>
      <c r="T33" s="777" t="s">
        <v>17</v>
      </c>
      <c r="U33" s="778" t="e">
        <f t="shared" si="13"/>
        <v>#N/A</v>
      </c>
      <c r="V33" s="777" t="s">
        <v>17</v>
      </c>
      <c r="W33" s="778" t="e">
        <f t="shared" si="14"/>
        <v>#N/A</v>
      </c>
      <c r="X33" s="779"/>
      <c r="Y33" s="3283"/>
      <c r="Z33" s="780" t="str">
        <f t="shared" si="15"/>
        <v>项目建筑规模</v>
      </c>
      <c r="AA33" s="1814" t="e">
        <f t="shared" si="3"/>
        <v>#N/A</v>
      </c>
      <c r="AB33" s="1814" t="e">
        <f t="shared" si="4"/>
        <v>#N/A</v>
      </c>
      <c r="AC33" s="1814" t="e">
        <f t="shared" si="5"/>
        <v>#N/A</v>
      </c>
    </row>
    <row r="34" spans="1:29" ht="15">
      <c r="A34" s="472"/>
      <c r="B34" s="422" t="s">
        <v>2549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81"/>
      <c r="Q34" s="1813" t="str">
        <f t="shared" si="11"/>
        <v>建筑结构</v>
      </c>
      <c r="R34" s="774" t="s">
        <v>17</v>
      </c>
      <c r="S34" s="775">
        <f t="shared" si="12"/>
        <v>100</v>
      </c>
      <c r="T34" s="774" t="s">
        <v>17</v>
      </c>
      <c r="U34" s="775">
        <f t="shared" si="13"/>
        <v>100</v>
      </c>
      <c r="V34" s="774" t="s">
        <v>17</v>
      </c>
      <c r="W34" s="775">
        <f t="shared" si="14"/>
        <v>100</v>
      </c>
      <c r="X34" s="1816"/>
      <c r="Y34" s="3283"/>
      <c r="Z34" s="1817" t="str">
        <f t="shared" si="15"/>
        <v>建筑结构</v>
      </c>
      <c r="AA34" s="1814">
        <f t="shared" si="3"/>
        <v>1</v>
      </c>
      <c r="AB34" s="1814">
        <f t="shared" si="4"/>
        <v>1</v>
      </c>
      <c r="AC34" s="1814">
        <f t="shared" si="5"/>
        <v>1</v>
      </c>
    </row>
    <row r="35" spans="1:29" ht="15">
      <c r="A35" s="472"/>
      <c r="B35" s="422" t="s">
        <v>2643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81"/>
      <c r="Q35" s="1813" t="str">
        <f t="shared" si="11"/>
        <v>公共部分装修</v>
      </c>
      <c r="R35" s="774" t="s">
        <v>17</v>
      </c>
      <c r="S35" s="775">
        <f t="shared" si="12"/>
        <v>100</v>
      </c>
      <c r="T35" s="774" t="s">
        <v>17</v>
      </c>
      <c r="U35" s="775">
        <f t="shared" si="13"/>
        <v>100</v>
      </c>
      <c r="V35" s="774" t="s">
        <v>17</v>
      </c>
      <c r="W35" s="775">
        <f t="shared" si="14"/>
        <v>100</v>
      </c>
      <c r="X35" s="1816"/>
      <c r="Y35" s="3283"/>
      <c r="Z35" s="1817" t="str">
        <f t="shared" si="15"/>
        <v>公共部分装修</v>
      </c>
      <c r="AA35" s="1814">
        <f t="shared" si="3"/>
        <v>1</v>
      </c>
      <c r="AB35" s="1814">
        <f t="shared" si="4"/>
        <v>1</v>
      </c>
      <c r="AC35" s="1814">
        <f t="shared" si="5"/>
        <v>1</v>
      </c>
    </row>
    <row r="36" spans="1:29" ht="15">
      <c r="A36" s="472"/>
      <c r="B36" s="422" t="s">
        <v>2644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1"/>
      <c r="Q36" s="1813" t="str">
        <f t="shared" si="11"/>
        <v>成新度</v>
      </c>
      <c r="R36" s="774" t="s">
        <v>17</v>
      </c>
      <c r="S36" s="775" t="e">
        <f t="shared" si="12"/>
        <v>#N/A</v>
      </c>
      <c r="T36" s="774" t="s">
        <v>17</v>
      </c>
      <c r="U36" s="775" t="e">
        <f t="shared" si="13"/>
        <v>#N/A</v>
      </c>
      <c r="V36" s="774" t="s">
        <v>17</v>
      </c>
      <c r="W36" s="775" t="e">
        <f t="shared" si="14"/>
        <v>#N/A</v>
      </c>
      <c r="X36" s="1816"/>
      <c r="Y36" s="3283"/>
      <c r="Z36" s="1817" t="str">
        <f t="shared" si="15"/>
        <v>成新度</v>
      </c>
      <c r="AA36" s="1814" t="e">
        <f t="shared" si="3"/>
        <v>#N/A</v>
      </c>
      <c r="AB36" s="1814" t="e">
        <f t="shared" si="4"/>
        <v>#N/A</v>
      </c>
      <c r="AC36" s="1814" t="e">
        <f t="shared" si="5"/>
        <v>#N/A</v>
      </c>
    </row>
    <row r="37" spans="1:29" s="117" customFormat="1" ht="15">
      <c r="A37" s="473"/>
      <c r="B37" s="422" t="s">
        <v>2645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81"/>
      <c r="Q37" s="1798" t="str">
        <f t="shared" si="11"/>
        <v>市政基础设施</v>
      </c>
      <c r="R37" s="770" t="s">
        <v>17</v>
      </c>
      <c r="S37" s="771">
        <f t="shared" si="12"/>
        <v>100</v>
      </c>
      <c r="T37" s="770" t="s">
        <v>17</v>
      </c>
      <c r="U37" s="771">
        <f t="shared" si="13"/>
        <v>100</v>
      </c>
      <c r="V37" s="770" t="s">
        <v>17</v>
      </c>
      <c r="W37" s="771">
        <f t="shared" si="14"/>
        <v>100</v>
      </c>
      <c r="X37" s="772"/>
      <c r="Y37" s="3283"/>
      <c r="Z37" s="55" t="str">
        <f t="shared" si="15"/>
        <v>市政基础设施</v>
      </c>
      <c r="AA37" s="773">
        <f t="shared" si="3"/>
        <v>1</v>
      </c>
      <c r="AB37" s="773">
        <f t="shared" si="4"/>
        <v>1</v>
      </c>
      <c r="AC37" s="773">
        <f t="shared" si="5"/>
        <v>1</v>
      </c>
    </row>
    <row r="38" spans="1:29" ht="15">
      <c r="A38" s="472"/>
      <c r="B38" s="422" t="s">
        <v>2646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81" t="s">
        <v>2547</v>
      </c>
      <c r="Q38" s="1813" t="str">
        <f t="shared" si="11"/>
        <v>业态</v>
      </c>
      <c r="R38" s="774" t="s">
        <v>17</v>
      </c>
      <c r="S38" s="775">
        <f t="shared" si="12"/>
        <v>100</v>
      </c>
      <c r="T38" s="774" t="s">
        <v>17</v>
      </c>
      <c r="U38" s="775">
        <f t="shared" si="13"/>
        <v>100</v>
      </c>
      <c r="V38" s="774" t="s">
        <v>17</v>
      </c>
      <c r="W38" s="775">
        <f t="shared" si="14"/>
        <v>100</v>
      </c>
      <c r="X38" s="1816"/>
      <c r="Y38" s="3283" t="s">
        <v>2547</v>
      </c>
      <c r="Z38" s="1817" t="str">
        <f t="shared" si="15"/>
        <v>业态</v>
      </c>
      <c r="AA38" s="1814">
        <f t="shared" si="3"/>
        <v>1</v>
      </c>
      <c r="AB38" s="1814">
        <f t="shared" si="4"/>
        <v>1</v>
      </c>
      <c r="AC38" s="1814">
        <f t="shared" si="5"/>
        <v>1</v>
      </c>
    </row>
    <row r="39" spans="1:29" ht="15">
      <c r="A39" s="472"/>
      <c r="B39" s="422" t="s">
        <v>2647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81"/>
      <c r="Q39" s="1813" t="str">
        <f t="shared" si="11"/>
        <v>层高</v>
      </c>
      <c r="R39" s="774" t="s">
        <v>17</v>
      </c>
      <c r="S39" s="775">
        <f t="shared" si="12"/>
        <v>100</v>
      </c>
      <c r="T39" s="774" t="s">
        <v>17</v>
      </c>
      <c r="U39" s="775">
        <f t="shared" si="13"/>
        <v>100</v>
      </c>
      <c r="V39" s="774" t="s">
        <v>17</v>
      </c>
      <c r="W39" s="775">
        <f t="shared" si="14"/>
        <v>100</v>
      </c>
      <c r="X39" s="1816"/>
      <c r="Y39" s="3283"/>
      <c r="Z39" s="1817" t="str">
        <f t="shared" si="15"/>
        <v>层高</v>
      </c>
      <c r="AA39" s="1814">
        <f t="shared" si="3"/>
        <v>1</v>
      </c>
      <c r="AB39" s="1814">
        <f t="shared" si="4"/>
        <v>1</v>
      </c>
      <c r="AC39" s="1814">
        <f t="shared" si="5"/>
        <v>1</v>
      </c>
    </row>
    <row r="40" spans="1:29" ht="15">
      <c r="A40" s="472"/>
      <c r="B40" s="422" t="s">
        <v>2648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1"/>
      <c r="Q40" s="1813" t="str">
        <f t="shared" si="11"/>
        <v>单套建筑面积</v>
      </c>
      <c r="R40" s="774" t="s">
        <v>17</v>
      </c>
      <c r="S40" s="775">
        <f t="shared" si="12"/>
        <v>100</v>
      </c>
      <c r="T40" s="774" t="s">
        <v>17</v>
      </c>
      <c r="U40" s="775">
        <f t="shared" si="13"/>
        <v>100</v>
      </c>
      <c r="V40" s="774" t="s">
        <v>17</v>
      </c>
      <c r="W40" s="775">
        <f t="shared" si="14"/>
        <v>100</v>
      </c>
      <c r="X40" s="1816"/>
      <c r="Y40" s="3283"/>
      <c r="Z40" s="1817" t="str">
        <f t="shared" si="15"/>
        <v>单套建筑面积</v>
      </c>
      <c r="AA40" s="1814">
        <f t="shared" si="3"/>
        <v>1</v>
      </c>
      <c r="AB40" s="1814">
        <f t="shared" si="4"/>
        <v>1</v>
      </c>
      <c r="AC40" s="1814">
        <f t="shared" si="5"/>
        <v>1</v>
      </c>
    </row>
    <row r="41" spans="1:29" s="471" customFormat="1" ht="15">
      <c r="A41" s="468"/>
      <c r="B41" s="1815" t="s">
        <v>2649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1"/>
      <c r="Q41" s="776" t="str">
        <f t="shared" si="11"/>
        <v>进深比</v>
      </c>
      <c r="R41" s="777" t="s">
        <v>17</v>
      </c>
      <c r="S41" s="778">
        <f t="shared" si="12"/>
        <v>100</v>
      </c>
      <c r="T41" s="777" t="s">
        <v>17</v>
      </c>
      <c r="U41" s="778">
        <f t="shared" si="13"/>
        <v>100</v>
      </c>
      <c r="V41" s="777" t="s">
        <v>17</v>
      </c>
      <c r="W41" s="778">
        <f t="shared" si="14"/>
        <v>100</v>
      </c>
      <c r="X41" s="779"/>
      <c r="Y41" s="3283"/>
      <c r="Z41" s="780" t="str">
        <f t="shared" si="15"/>
        <v>进深比</v>
      </c>
      <c r="AA41" s="1814">
        <f t="shared" si="3"/>
        <v>1</v>
      </c>
      <c r="AB41" s="1814">
        <f t="shared" si="4"/>
        <v>1</v>
      </c>
      <c r="AC41" s="1814">
        <f t="shared" si="5"/>
        <v>1</v>
      </c>
    </row>
    <row r="42" spans="1:29" ht="15">
      <c r="A42" s="472"/>
      <c r="B42" s="422" t="s">
        <v>2650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81"/>
      <c r="Q42" s="1813" t="str">
        <f t="shared" si="11"/>
        <v>内部装修</v>
      </c>
      <c r="R42" s="774" t="s">
        <v>17</v>
      </c>
      <c r="S42" s="775">
        <f t="shared" si="12"/>
        <v>100</v>
      </c>
      <c r="T42" s="774" t="s">
        <v>17</v>
      </c>
      <c r="U42" s="775">
        <f t="shared" si="13"/>
        <v>100</v>
      </c>
      <c r="V42" s="774" t="s">
        <v>17</v>
      </c>
      <c r="W42" s="775">
        <f t="shared" si="14"/>
        <v>100</v>
      </c>
      <c r="X42" s="1816"/>
      <c r="Y42" s="3283"/>
      <c r="Z42" s="1817" t="str">
        <f t="shared" si="15"/>
        <v>内部装修</v>
      </c>
      <c r="AA42" s="1814">
        <f t="shared" si="3"/>
        <v>1</v>
      </c>
      <c r="AB42" s="1814">
        <f t="shared" si="4"/>
        <v>1</v>
      </c>
      <c r="AC42" s="1814">
        <f t="shared" si="5"/>
        <v>1</v>
      </c>
    </row>
    <row r="43" spans="1:29" ht="27">
      <c r="A43" s="472"/>
      <c r="B43" s="422" t="s">
        <v>2558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81"/>
      <c r="Q43" s="1813" t="str">
        <f t="shared" si="11"/>
        <v>内部装修维护情况</v>
      </c>
      <c r="R43" s="774" t="s">
        <v>17</v>
      </c>
      <c r="S43" s="775">
        <f t="shared" si="12"/>
        <v>100</v>
      </c>
      <c r="T43" s="774" t="s">
        <v>17</v>
      </c>
      <c r="U43" s="775">
        <f t="shared" si="13"/>
        <v>100</v>
      </c>
      <c r="V43" s="774" t="s">
        <v>17</v>
      </c>
      <c r="W43" s="775">
        <f t="shared" si="14"/>
        <v>100</v>
      </c>
      <c r="X43" s="1816"/>
      <c r="Y43" s="328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1"/>
      <c r="Q44" s="1798">
        <f t="shared" si="11"/>
        <v>111</v>
      </c>
      <c r="R44" s="770" t="s">
        <v>17</v>
      </c>
      <c r="S44" s="771">
        <f t="shared" si="12"/>
        <v>100</v>
      </c>
      <c r="T44" s="770" t="s">
        <v>17</v>
      </c>
      <c r="U44" s="771">
        <f t="shared" si="13"/>
        <v>100</v>
      </c>
      <c r="V44" s="770" t="s">
        <v>17</v>
      </c>
      <c r="W44" s="771">
        <f t="shared" si="14"/>
        <v>100</v>
      </c>
      <c r="X44" s="772"/>
      <c r="Y44" s="328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1"/>
      <c r="Q45" s="1813">
        <f t="shared" si="11"/>
        <v>111</v>
      </c>
      <c r="R45" s="774" t="s">
        <v>17</v>
      </c>
      <c r="S45" s="775">
        <f t="shared" si="12"/>
        <v>100</v>
      </c>
      <c r="T45" s="774" t="s">
        <v>17</v>
      </c>
      <c r="U45" s="775">
        <f t="shared" si="13"/>
        <v>100</v>
      </c>
      <c r="V45" s="774" t="s">
        <v>17</v>
      </c>
      <c r="W45" s="775">
        <f t="shared" si="14"/>
        <v>100</v>
      </c>
      <c r="X45" s="1816"/>
      <c r="Y45" s="3283"/>
      <c r="Z45" s="1817">
        <f t="shared" si="15"/>
        <v>111</v>
      </c>
      <c r="AA45" s="1814">
        <f t="shared" si="3"/>
        <v>1</v>
      </c>
      <c r="AB45" s="1814">
        <f t="shared" si="4"/>
        <v>1</v>
      </c>
      <c r="AC45" s="1814">
        <f t="shared" si="5"/>
        <v>1</v>
      </c>
    </row>
    <row r="46" spans="1:29" ht="15.4"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2"/>
      <c r="Q46" s="1813">
        <f t="shared" si="11"/>
        <v>111</v>
      </c>
      <c r="R46" s="774" t="s">
        <v>17</v>
      </c>
      <c r="S46" s="775">
        <f t="shared" si="12"/>
        <v>100</v>
      </c>
      <c r="T46" s="774" t="s">
        <v>17</v>
      </c>
      <c r="U46" s="775">
        <f t="shared" si="13"/>
        <v>100</v>
      </c>
      <c r="V46" s="774" t="s">
        <v>17</v>
      </c>
      <c r="W46" s="775">
        <f t="shared" si="14"/>
        <v>100</v>
      </c>
      <c r="X46" s="1816"/>
      <c r="Y46" s="3284"/>
      <c r="Z46" s="1817">
        <f t="shared" si="15"/>
        <v>111</v>
      </c>
      <c r="AA46" s="1814">
        <f t="shared" si="3"/>
        <v>1</v>
      </c>
      <c r="AB46" s="1814">
        <f t="shared" si="4"/>
        <v>1</v>
      </c>
      <c r="AC46" s="1814">
        <f t="shared" si="5"/>
        <v>1</v>
      </c>
    </row>
    <row r="47" spans="1:29" ht="13.9">
      <c r="A47" s="479" t="s">
        <v>2559</v>
      </c>
      <c r="B47" s="480"/>
      <c r="C47" s="1410" t="s">
        <v>1</v>
      </c>
      <c r="D47" s="1411"/>
      <c r="E47" s="1412"/>
      <c r="F47" s="1413"/>
      <c r="G47" s="1414"/>
      <c r="H47" s="1415"/>
      <c r="I47" s="1412"/>
      <c r="J47" s="1415"/>
      <c r="K47" s="783"/>
      <c r="L47" s="1146"/>
      <c r="M47" s="1147"/>
      <c r="N47" s="1134"/>
      <c r="O47" s="1147"/>
      <c r="P47" s="3276" t="str">
        <f>A47</f>
        <v>成交单价（元/平方米）</v>
      </c>
      <c r="Q47" s="3276"/>
      <c r="R47" s="3271">
        <f>E47</f>
        <v>0</v>
      </c>
      <c r="S47" s="3271"/>
      <c r="T47" s="3271">
        <f>G47</f>
        <v>0</v>
      </c>
      <c r="U47" s="3271"/>
      <c r="V47" s="3271">
        <f>I47</f>
        <v>0</v>
      </c>
      <c r="W47" s="3271"/>
      <c r="X47" s="759"/>
      <c r="Y47" s="781"/>
      <c r="Z47" s="759"/>
      <c r="AA47" s="759"/>
      <c r="AB47" s="759"/>
      <c r="AC47" s="759"/>
    </row>
    <row r="48" spans="1:29" ht="14.25" thickBot="1">
      <c r="A48" s="486" t="s">
        <v>2651</v>
      </c>
      <c r="B48" s="487"/>
      <c r="C48" s="1416" t="e">
        <f>R49</f>
        <v>#DIV/0!</v>
      </c>
      <c r="D48" s="1417"/>
      <c r="E48" s="1418" t="e">
        <f>R48</f>
        <v>#DIV/0!</v>
      </c>
      <c r="F48" s="1418"/>
      <c r="G48" s="1416" t="e">
        <f>T48</f>
        <v>#DIV/0!</v>
      </c>
      <c r="H48" s="1417"/>
      <c r="I48" s="1418" t="e">
        <f>V48</f>
        <v>#DIV/0!</v>
      </c>
      <c r="J48" s="1417"/>
      <c r="K48" s="784"/>
      <c r="L48" s="1146"/>
      <c r="M48" s="1147"/>
      <c r="N48" s="1134"/>
      <c r="O48" s="1147"/>
      <c r="P48" s="3276" t="str">
        <f>A48</f>
        <v>比较价值（元/平方米）</v>
      </c>
      <c r="Q48" s="3276"/>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59"/>
      <c r="Y48" s="759"/>
      <c r="Z48" s="759"/>
      <c r="AA48" s="759"/>
      <c r="AB48" s="759"/>
      <c r="AC48" s="759"/>
    </row>
    <row r="49" spans="1:29" ht="14.25" thickBot="1">
      <c r="A49" s="492" t="s">
        <v>2652</v>
      </c>
      <c r="B49" s="493"/>
      <c r="C49" s="1420" t="e">
        <f>R49</f>
        <v>#DIV/0!</v>
      </c>
      <c r="D49" s="1420"/>
      <c r="E49" s="1420"/>
      <c r="F49" s="1420"/>
      <c r="G49" s="1420"/>
      <c r="H49" s="1420"/>
      <c r="I49" s="1420"/>
      <c r="J49" s="1420"/>
      <c r="K49" s="785"/>
      <c r="L49" s="1146"/>
      <c r="M49" s="1147"/>
      <c r="N49" s="1134"/>
      <c r="O49" s="1147"/>
      <c r="P49" s="3273" t="str">
        <f>A49</f>
        <v>估价对象XX用房的比较价值（楼面单价，元/平方米）</v>
      </c>
      <c r="Q49" s="3274"/>
      <c r="R49" s="3275" t="e">
        <f>IF(F1="售价",ROUND(AVERAGE(R48:V48),0),ROUND(AVERAGE(R48:V48),1))</f>
        <v>#DIV/0!</v>
      </c>
      <c r="S49" s="3275"/>
      <c r="T49" s="3275"/>
      <c r="U49" s="3275"/>
      <c r="V49" s="3275"/>
      <c r="W49" s="327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2655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2656</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3.9">
      <c r="A58" s="505" t="s">
        <v>2530</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3.9">
      <c r="A59" s="509"/>
      <c r="B59" s="510"/>
      <c r="C59" s="1576">
        <v>100</v>
      </c>
      <c r="D59" s="512"/>
      <c r="E59" s="512"/>
      <c r="F59" s="512"/>
      <c r="G59" s="512"/>
      <c r="H59" s="512"/>
      <c r="I59" s="512"/>
      <c r="J59" s="512"/>
      <c r="K59" s="512"/>
      <c r="L59" s="512"/>
      <c r="M59" s="513"/>
      <c r="N59" s="512"/>
      <c r="O59" s="513"/>
      <c r="P59" s="2629"/>
    </row>
    <row r="60" spans="1:29" s="117" customFormat="1" ht="14.25" thickBot="1">
      <c r="A60" s="515" t="s">
        <v>2567</v>
      </c>
      <c r="B60" s="516"/>
      <c r="C60" s="517"/>
      <c r="D60" s="518"/>
      <c r="E60" s="518"/>
      <c r="F60" s="518"/>
      <c r="G60" s="518"/>
      <c r="H60" s="518"/>
      <c r="I60" s="518"/>
      <c r="J60" s="518"/>
      <c r="K60" s="518"/>
      <c r="L60" s="518"/>
      <c r="M60" s="519"/>
      <c r="N60" s="518"/>
      <c r="O60" s="519"/>
      <c r="P60" s="2629"/>
      <c r="Q60" s="504"/>
    </row>
    <row r="61" spans="1:29" s="117" customFormat="1" ht="13.9">
      <c r="A61" s="521" t="s">
        <v>2532</v>
      </c>
      <c r="B61" s="510"/>
      <c r="C61" s="522" t="s">
        <v>2634</v>
      </c>
      <c r="D61" s="523"/>
      <c r="E61" s="523"/>
      <c r="F61" s="523"/>
      <c r="G61" s="523"/>
      <c r="H61" s="523"/>
      <c r="I61" s="523"/>
      <c r="J61" s="523"/>
      <c r="K61" s="523"/>
      <c r="L61" s="524"/>
      <c r="M61" s="525"/>
      <c r="N61" s="1154"/>
      <c r="O61" s="1154"/>
      <c r="P61" s="2630"/>
      <c r="Q61" s="504"/>
    </row>
    <row r="62" spans="1:29" s="117" customFormat="1" ht="14.25" thickBot="1">
      <c r="A62" s="521"/>
      <c r="B62" s="510"/>
      <c r="C62" s="511">
        <v>100</v>
      </c>
      <c r="D62" s="512"/>
      <c r="E62" s="512"/>
      <c r="F62" s="512"/>
      <c r="G62" s="512"/>
      <c r="H62" s="512"/>
      <c r="I62" s="512"/>
      <c r="J62" s="512"/>
      <c r="K62" s="512"/>
      <c r="L62" s="512"/>
      <c r="M62" s="514"/>
      <c r="N62" s="1154"/>
      <c r="O62" s="1154"/>
      <c r="P62" s="2629"/>
      <c r="Q62" s="504"/>
    </row>
    <row r="63" spans="1:29">
      <c r="A63" s="527" t="s">
        <v>2570</v>
      </c>
      <c r="B63" s="528" t="s">
        <v>2536</v>
      </c>
      <c r="C63" s="529">
        <f>C9</f>
        <v>0</v>
      </c>
      <c r="D63" s="530"/>
      <c r="E63" s="530"/>
      <c r="F63" s="530"/>
      <c r="G63" s="530"/>
      <c r="H63" s="530"/>
      <c r="I63" s="530"/>
      <c r="J63" s="530"/>
      <c r="K63" s="531"/>
      <c r="L63" s="532"/>
      <c r="M63" s="533"/>
      <c r="N63" s="1155"/>
      <c r="O63" s="1155"/>
      <c r="P63" s="2631"/>
      <c r="Q63" s="504"/>
    </row>
    <row r="64" spans="1:29" ht="14.25" thickBot="1">
      <c r="A64" s="534"/>
      <c r="B64" s="535"/>
      <c r="C64" s="536">
        <v>100</v>
      </c>
      <c r="D64" s="536"/>
      <c r="E64" s="536"/>
      <c r="F64" s="536"/>
      <c r="G64" s="536"/>
      <c r="H64" s="536"/>
      <c r="I64" s="536"/>
      <c r="J64" s="536"/>
      <c r="K64" s="536"/>
      <c r="L64" s="536"/>
      <c r="M64" s="537"/>
      <c r="N64" s="1156"/>
      <c r="O64" s="1156"/>
      <c r="P64" s="2631"/>
      <c r="Q64" s="504"/>
    </row>
    <row r="65" spans="1:17" ht="27.4" thickTop="1">
      <c r="A65" s="534"/>
      <c r="B65" s="538" t="s">
        <v>2539</v>
      </c>
      <c r="C65" s="539" t="s">
        <v>2571</v>
      </c>
      <c r="D65" s="539" t="s">
        <v>2572</v>
      </c>
      <c r="E65" s="539" t="s">
        <v>2573</v>
      </c>
      <c r="F65" s="539" t="s">
        <v>2574</v>
      </c>
      <c r="G65" s="539" t="s">
        <v>2575</v>
      </c>
      <c r="H65" s="539" t="s">
        <v>2576</v>
      </c>
      <c r="I65" s="539" t="s">
        <v>2577</v>
      </c>
      <c r="J65" s="539"/>
      <c r="K65" s="540"/>
      <c r="L65" s="541"/>
      <c r="M65" s="542"/>
      <c r="N65" s="1155"/>
      <c r="O65" s="1155"/>
      <c r="P65" s="2631"/>
      <c r="Q65" s="504"/>
    </row>
    <row r="66" spans="1:17" ht="14.2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4.25" thickTop="1">
      <c r="A67" s="534"/>
      <c r="B67" s="546" t="s">
        <v>2540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3.9">
      <c r="A68" s="534"/>
      <c r="B68" s="548"/>
      <c r="C68" s="549"/>
      <c r="D68" s="549"/>
      <c r="E68" s="549"/>
      <c r="F68" s="549"/>
      <c r="G68" s="549"/>
      <c r="H68" s="549"/>
      <c r="I68" s="549"/>
      <c r="J68" s="549"/>
      <c r="K68" s="550"/>
      <c r="L68" s="551"/>
      <c r="M68" s="552"/>
      <c r="N68" s="1155"/>
      <c r="O68" s="1155"/>
      <c r="P68" s="2631"/>
      <c r="Q68" s="504"/>
    </row>
    <row r="69" spans="1:17" ht="14.2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4.25" thickTop="1">
      <c r="A70" s="553"/>
      <c r="B70" s="538">
        <f>B12</f>
        <v>111</v>
      </c>
      <c r="C70" s="554"/>
      <c r="D70" s="554"/>
      <c r="E70" s="554"/>
      <c r="F70" s="554"/>
      <c r="G70" s="554"/>
      <c r="H70" s="555"/>
      <c r="I70" s="555"/>
      <c r="J70" s="555"/>
      <c r="K70" s="555"/>
      <c r="L70" s="556"/>
      <c r="M70" s="557"/>
      <c r="N70" s="1157"/>
      <c r="O70" s="1157"/>
      <c r="P70" s="2632"/>
      <c r="Q70" s="559"/>
    </row>
    <row r="71" spans="1:17" s="471" customFormat="1" ht="14.25" thickBot="1">
      <c r="A71" s="553"/>
      <c r="B71" s="543"/>
      <c r="C71" s="560"/>
      <c r="D71" s="536"/>
      <c r="E71" s="536"/>
      <c r="F71" s="536"/>
      <c r="G71" s="536"/>
      <c r="H71" s="536"/>
      <c r="I71" s="536"/>
      <c r="J71" s="536"/>
      <c r="K71" s="536"/>
      <c r="L71" s="536"/>
      <c r="M71" s="537"/>
      <c r="N71" s="1156"/>
      <c r="O71" s="1156"/>
      <c r="P71" s="2632"/>
      <c r="Q71" s="559"/>
    </row>
    <row r="72" spans="1:17" s="471" customFormat="1" ht="14.25" thickTop="1">
      <c r="A72" s="553"/>
      <c r="B72" s="538">
        <f>B13</f>
        <v>111</v>
      </c>
      <c r="C72" s="554"/>
      <c r="D72" s="554"/>
      <c r="E72" s="554"/>
      <c r="F72" s="554"/>
      <c r="G72" s="554"/>
      <c r="H72" s="555"/>
      <c r="I72" s="555"/>
      <c r="J72" s="555"/>
      <c r="K72" s="555"/>
      <c r="L72" s="556"/>
      <c r="M72" s="557"/>
      <c r="N72" s="1157"/>
      <c r="O72" s="1157"/>
      <c r="P72" s="2633"/>
      <c r="Q72" s="561"/>
    </row>
    <row r="73" spans="1:17" s="471" customFormat="1" ht="14.25" thickBot="1">
      <c r="A73" s="553"/>
      <c r="B73" s="543"/>
      <c r="C73" s="560"/>
      <c r="D73" s="536"/>
      <c r="E73" s="536"/>
      <c r="F73" s="536"/>
      <c r="G73" s="560"/>
      <c r="H73" s="562"/>
      <c r="I73" s="562"/>
      <c r="J73" s="562"/>
      <c r="K73" s="562"/>
      <c r="L73" s="562"/>
      <c r="M73" s="563"/>
      <c r="N73" s="1157"/>
      <c r="O73" s="1157"/>
      <c r="P73" s="2632"/>
      <c r="Q73" s="559"/>
    </row>
    <row r="74" spans="1:17" s="471" customFormat="1" ht="14.25" thickTop="1">
      <c r="A74" s="553"/>
      <c r="B74" s="546">
        <f>B14</f>
        <v>111</v>
      </c>
      <c r="C74" s="554"/>
      <c r="D74" s="554"/>
      <c r="E74" s="554"/>
      <c r="F74" s="554"/>
      <c r="G74" s="523"/>
      <c r="H74" s="564"/>
      <c r="I74" s="564"/>
      <c r="J74" s="564"/>
      <c r="K74" s="564"/>
      <c r="L74" s="565"/>
      <c r="M74" s="566"/>
      <c r="N74" s="1157"/>
      <c r="O74" s="1157"/>
      <c r="P74" s="2634"/>
      <c r="Q74" s="559"/>
    </row>
    <row r="75" spans="1:17" s="471" customFormat="1" ht="14.25" thickBot="1">
      <c r="A75" s="568"/>
      <c r="B75" s="569"/>
      <c r="C75" s="570"/>
      <c r="D75" s="570"/>
      <c r="E75" s="570"/>
      <c r="F75" s="570"/>
      <c r="G75" s="570"/>
      <c r="H75" s="571"/>
      <c r="I75" s="571"/>
      <c r="J75" s="571"/>
      <c r="K75" s="571"/>
      <c r="L75" s="571"/>
      <c r="M75" s="572"/>
      <c r="N75" s="1157"/>
      <c r="O75" s="1157"/>
      <c r="P75" s="2632"/>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5"/>
      <c r="O76" s="1155"/>
      <c r="P76" s="2635"/>
      <c r="Q76" s="504"/>
    </row>
    <row r="77" spans="1:17" ht="14.2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4.25" thickTop="1">
      <c r="A78" s="534"/>
      <c r="B78" s="538" t="s">
        <v>2584</v>
      </c>
      <c r="C78" s="578" t="s">
        <v>2579</v>
      </c>
      <c r="D78" s="578" t="s">
        <v>2580</v>
      </c>
      <c r="E78" s="578" t="s">
        <v>2581</v>
      </c>
      <c r="F78" s="578" t="s">
        <v>2582</v>
      </c>
      <c r="G78" s="578" t="s">
        <v>2583</v>
      </c>
      <c r="H78" s="539"/>
      <c r="I78" s="539"/>
      <c r="J78" s="539"/>
      <c r="K78" s="540"/>
      <c r="L78" s="541"/>
      <c r="M78" s="542"/>
      <c r="N78" s="1155"/>
      <c r="O78" s="1155"/>
      <c r="P78" s="2631"/>
      <c r="Q78" s="504"/>
    </row>
    <row r="79" spans="1:17" ht="14.2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4.25" thickTop="1">
      <c r="A80" s="534"/>
      <c r="B80" s="538" t="s">
        <v>2585</v>
      </c>
      <c r="C80" s="578" t="s">
        <v>2579</v>
      </c>
      <c r="D80" s="578" t="s">
        <v>2580</v>
      </c>
      <c r="E80" s="578" t="s">
        <v>2581</v>
      </c>
      <c r="F80" s="578" t="s">
        <v>2582</v>
      </c>
      <c r="G80" s="578" t="s">
        <v>2583</v>
      </c>
      <c r="H80" s="539"/>
      <c r="I80" s="539"/>
      <c r="J80" s="539"/>
      <c r="K80" s="540"/>
      <c r="L80" s="541"/>
      <c r="M80" s="542"/>
      <c r="N80" s="1155"/>
      <c r="O80" s="1155"/>
      <c r="P80" s="2631"/>
      <c r="Q80" s="504"/>
    </row>
    <row r="81" spans="1:17" ht="14.2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4.25" thickTop="1">
      <c r="A82" s="534"/>
      <c r="B82" s="546" t="s">
        <v>2637</v>
      </c>
      <c r="C82" s="660" t="s">
        <v>2657</v>
      </c>
      <c r="D82" s="660" t="s">
        <v>2658</v>
      </c>
      <c r="E82" s="660" t="s">
        <v>2659</v>
      </c>
      <c r="F82" s="660" t="s">
        <v>2660</v>
      </c>
      <c r="G82" s="660" t="s">
        <v>2661</v>
      </c>
      <c r="H82" s="539"/>
      <c r="I82" s="539"/>
      <c r="J82" s="539"/>
      <c r="K82" s="539"/>
      <c r="L82" s="539"/>
      <c r="M82" s="1385"/>
      <c r="N82" s="1156"/>
      <c r="O82" s="1156"/>
      <c r="P82" s="2631"/>
      <c r="Q82" s="504"/>
    </row>
    <row r="83" spans="1:17" ht="14.2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4.25" thickTop="1">
      <c r="A84" s="534"/>
      <c r="B84" s="538" t="s">
        <v>2591</v>
      </c>
      <c r="C84" s="578" t="s">
        <v>2579</v>
      </c>
      <c r="D84" s="578" t="s">
        <v>2580</v>
      </c>
      <c r="E84" s="578" t="s">
        <v>2581</v>
      </c>
      <c r="F84" s="578" t="s">
        <v>2582</v>
      </c>
      <c r="G84" s="578" t="s">
        <v>2583</v>
      </c>
      <c r="H84" s="539"/>
      <c r="I84" s="539"/>
      <c r="J84" s="539"/>
      <c r="K84" s="540"/>
      <c r="L84" s="541"/>
      <c r="M84" s="542"/>
      <c r="N84" s="1155"/>
      <c r="O84" s="1155"/>
      <c r="P84" s="2631"/>
      <c r="Q84" s="504"/>
    </row>
    <row r="85" spans="1:17" ht="14.2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4.25" thickTop="1">
      <c r="A86" s="579"/>
      <c r="B86" s="538" t="s">
        <v>2662</v>
      </c>
      <c r="C86" s="554"/>
      <c r="D86" s="554"/>
      <c r="E86" s="554"/>
      <c r="F86" s="554"/>
      <c r="G86" s="554"/>
      <c r="H86" s="554"/>
      <c r="I86" s="554"/>
      <c r="J86" s="554"/>
      <c r="K86" s="554"/>
      <c r="L86" s="580"/>
      <c r="M86" s="581"/>
      <c r="N86" s="1154"/>
      <c r="O86" s="1154"/>
      <c r="P86" s="2631"/>
      <c r="Q86" s="504"/>
    </row>
    <row r="87" spans="1:17" s="117" customFormat="1" ht="14.2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4.2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4.25" thickBot="1">
      <c r="A89" s="579"/>
      <c r="B89" s="543"/>
      <c r="C89" s="560"/>
      <c r="D89" s="536"/>
      <c r="E89" s="536"/>
      <c r="F89" s="536"/>
      <c r="G89" s="536"/>
      <c r="H89" s="536"/>
      <c r="I89" s="536"/>
      <c r="J89" s="536"/>
      <c r="K89" s="536"/>
      <c r="L89" s="536"/>
      <c r="M89" s="536"/>
      <c r="N89" s="1156"/>
      <c r="O89" s="1156"/>
      <c r="P89" s="2631"/>
      <c r="Q89" s="504"/>
    </row>
    <row r="90" spans="1:17" s="471" customFormat="1" ht="14.2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4.2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4.25" thickTop="1">
      <c r="A92" s="534"/>
      <c r="B92" s="538" t="str">
        <f>B28</f>
        <v>楼层</v>
      </c>
      <c r="C92" s="554"/>
      <c r="D92" s="554"/>
      <c r="E92" s="554"/>
      <c r="F92" s="554"/>
      <c r="G92" s="554"/>
      <c r="H92" s="554"/>
      <c r="I92" s="554"/>
      <c r="J92" s="554"/>
      <c r="K92" s="554"/>
      <c r="L92" s="580"/>
      <c r="M92" s="581"/>
      <c r="N92" s="1155"/>
      <c r="O92" s="1155"/>
      <c r="P92" s="2631"/>
      <c r="Q92" s="504"/>
    </row>
    <row r="93" spans="1:17" ht="14.25" thickBot="1">
      <c r="A93" s="534"/>
      <c r="B93" s="543"/>
      <c r="C93" s="536"/>
      <c r="D93" s="536"/>
      <c r="E93" s="536"/>
      <c r="F93" s="536"/>
      <c r="G93" s="536"/>
      <c r="H93" s="536"/>
      <c r="I93" s="536"/>
      <c r="J93" s="536"/>
      <c r="K93" s="536"/>
      <c r="L93" s="536"/>
      <c r="M93" s="537"/>
      <c r="N93" s="1156"/>
      <c r="O93" s="1156"/>
      <c r="P93" s="2631"/>
      <c r="Q93" s="504"/>
    </row>
    <row r="94" spans="1:17" ht="14.25" thickTop="1">
      <c r="A94" s="534"/>
      <c r="B94" s="538">
        <f>B29</f>
        <v>111</v>
      </c>
      <c r="C94" s="554"/>
      <c r="D94" s="554"/>
      <c r="E94" s="554"/>
      <c r="F94" s="554"/>
      <c r="G94" s="583"/>
      <c r="H94" s="583"/>
      <c r="I94" s="583"/>
      <c r="J94" s="583"/>
      <c r="K94" s="584"/>
      <c r="L94" s="585"/>
      <c r="M94" s="586"/>
      <c r="N94" s="1155"/>
      <c r="O94" s="1155"/>
      <c r="P94" s="2631"/>
      <c r="Q94" s="504"/>
    </row>
    <row r="95" spans="1:17" ht="14.25" thickBot="1">
      <c r="A95" s="534"/>
      <c r="B95" s="543"/>
      <c r="C95" s="560"/>
      <c r="D95" s="536"/>
      <c r="E95" s="536"/>
      <c r="F95" s="536"/>
      <c r="G95" s="536"/>
      <c r="H95" s="536"/>
      <c r="I95" s="536"/>
      <c r="J95" s="536"/>
      <c r="K95" s="536"/>
      <c r="L95" s="536"/>
      <c r="M95" s="537"/>
      <c r="N95" s="1156"/>
      <c r="O95" s="1156"/>
      <c r="P95" s="2631"/>
      <c r="Q95" s="504"/>
    </row>
    <row r="96" spans="1:17" ht="14.25" thickTop="1">
      <c r="A96" s="534"/>
      <c r="B96" s="538">
        <f>B30</f>
        <v>111</v>
      </c>
      <c r="C96" s="554"/>
      <c r="D96" s="554"/>
      <c r="E96" s="554"/>
      <c r="F96" s="554"/>
      <c r="G96" s="583"/>
      <c r="H96" s="583"/>
      <c r="I96" s="583"/>
      <c r="J96" s="583"/>
      <c r="K96" s="584"/>
      <c r="L96" s="585"/>
      <c r="M96" s="586"/>
      <c r="N96" s="1155"/>
      <c r="O96" s="1155"/>
      <c r="P96" s="2631"/>
      <c r="Q96" s="504"/>
    </row>
    <row r="97" spans="1:17" ht="14.25" thickBot="1">
      <c r="A97" s="534"/>
      <c r="B97" s="543"/>
      <c r="C97" s="560"/>
      <c r="D97" s="536"/>
      <c r="E97" s="536"/>
      <c r="F97" s="536"/>
      <c r="G97" s="536"/>
      <c r="H97" s="536"/>
      <c r="I97" s="536"/>
      <c r="J97" s="536"/>
      <c r="K97" s="536"/>
      <c r="L97" s="536"/>
      <c r="M97" s="537"/>
      <c r="N97" s="1156"/>
      <c r="O97" s="1156"/>
      <c r="P97" s="2631"/>
      <c r="Q97" s="504"/>
    </row>
    <row r="98" spans="1:17" ht="14.25" thickTop="1">
      <c r="A98" s="534"/>
      <c r="B98" s="546">
        <f>B31</f>
        <v>111</v>
      </c>
      <c r="C98" s="554"/>
      <c r="D98" s="554"/>
      <c r="E98" s="554"/>
      <c r="F98" s="554"/>
      <c r="G98" s="587"/>
      <c r="H98" s="587"/>
      <c r="I98" s="587"/>
      <c r="J98" s="587"/>
      <c r="K98" s="588"/>
      <c r="L98" s="589"/>
      <c r="M98" s="590"/>
      <c r="N98" s="1155"/>
      <c r="O98" s="1155"/>
      <c r="P98" s="2631"/>
      <c r="Q98" s="504"/>
    </row>
    <row r="99" spans="1:17" ht="14.25" thickBot="1">
      <c r="A99" s="2637"/>
      <c r="B99" s="569"/>
      <c r="C99" s="570"/>
      <c r="D99" s="570"/>
      <c r="E99" s="570"/>
      <c r="F99" s="570"/>
      <c r="G99" s="591"/>
      <c r="H99" s="591"/>
      <c r="I99" s="591"/>
      <c r="J99" s="591"/>
      <c r="K99" s="591"/>
      <c r="L99" s="591"/>
      <c r="M99" s="592"/>
      <c r="N99" s="1156"/>
      <c r="O99" s="1156"/>
      <c r="P99" s="2631"/>
      <c r="Q99" s="504"/>
    </row>
    <row r="100" spans="1:17">
      <c r="A100" s="527" t="s">
        <v>2545</v>
      </c>
      <c r="B100" s="528" t="s">
        <v>2663</v>
      </c>
      <c r="C100" s="530"/>
      <c r="D100" s="530"/>
      <c r="E100" s="530"/>
      <c r="F100" s="530"/>
      <c r="G100" s="530"/>
      <c r="H100" s="530"/>
      <c r="I100" s="530"/>
      <c r="J100" s="530"/>
      <c r="K100" s="531"/>
      <c r="L100" s="532"/>
      <c r="M100" s="533"/>
      <c r="N100" s="1155"/>
      <c r="O100" s="1155"/>
      <c r="P100" s="2631"/>
      <c r="Q100" s="504"/>
    </row>
    <row r="101" spans="1:17" ht="14.2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4.25" thickTop="1">
      <c r="A102" s="534"/>
      <c r="B102" s="538" t="s">
        <v>2595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25" thickBot="1">
      <c r="A104" s="553"/>
      <c r="B104" s="543"/>
      <c r="C104" s="560"/>
      <c r="D104" s="536"/>
      <c r="E104" s="536"/>
      <c r="F104" s="536"/>
      <c r="G104" s="536"/>
      <c r="H104" s="536"/>
      <c r="I104" s="536"/>
      <c r="J104" s="536"/>
      <c r="K104" s="536"/>
      <c r="L104" s="536"/>
      <c r="M104" s="537"/>
      <c r="N104" s="1156"/>
      <c r="O104" s="1156"/>
      <c r="P104" s="2632"/>
      <c r="Q104" s="559"/>
    </row>
    <row r="105" spans="1:17" ht="13.9" thickTop="1">
      <c r="A105" s="599"/>
      <c r="B105" s="538" t="s">
        <v>2596</v>
      </c>
      <c r="C105" s="554"/>
      <c r="D105" s="554"/>
      <c r="E105" s="583"/>
      <c r="F105" s="583"/>
      <c r="G105" s="583"/>
      <c r="H105" s="583"/>
      <c r="I105" s="583"/>
      <c r="J105" s="583"/>
      <c r="K105" s="584"/>
      <c r="L105" s="585"/>
      <c r="M105" s="586"/>
      <c r="N105" s="1155"/>
      <c r="O105" s="1155"/>
      <c r="P105" s="2631"/>
      <c r="Q105" s="504"/>
    </row>
    <row r="106" spans="1:17" ht="14.2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3.9" thickTop="1">
      <c r="A107" s="599"/>
      <c r="B107" s="538" t="s">
        <v>2598</v>
      </c>
      <c r="C107" s="554"/>
      <c r="D107" s="554"/>
      <c r="E107" s="554"/>
      <c r="F107" s="583"/>
      <c r="G107" s="583"/>
      <c r="H107" s="583"/>
      <c r="I107" s="583"/>
      <c r="J107" s="583"/>
      <c r="K107" s="584"/>
      <c r="L107" s="585"/>
      <c r="M107" s="586"/>
      <c r="N107" s="1155"/>
      <c r="O107" s="1155"/>
      <c r="P107" s="2631"/>
      <c r="Q107" s="504"/>
    </row>
    <row r="108" spans="1:17" ht="14.2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3.9"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4.2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3.9" thickTop="1">
      <c r="A112" s="593"/>
      <c r="B112" s="538" t="s">
        <v>2600</v>
      </c>
      <c r="C112" s="554"/>
      <c r="D112" s="554"/>
      <c r="E112" s="554"/>
      <c r="F112" s="554"/>
      <c r="G112" s="554"/>
      <c r="H112" s="583"/>
      <c r="I112" s="583"/>
      <c r="J112" s="583"/>
      <c r="K112" s="584"/>
      <c r="L112" s="585"/>
      <c r="M112" s="586"/>
      <c r="N112" s="1157"/>
      <c r="O112" s="1157"/>
      <c r="P112" s="2632"/>
      <c r="Q112" s="559"/>
    </row>
    <row r="113" spans="1:17" s="471" customFormat="1" ht="14.2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3.9" thickTop="1">
      <c r="A114" s="599"/>
      <c r="B114" s="538" t="s">
        <v>2664</v>
      </c>
      <c r="C114" s="554"/>
      <c r="D114" s="554"/>
      <c r="E114" s="583"/>
      <c r="F114" s="583"/>
      <c r="G114" s="583"/>
      <c r="H114" s="583"/>
      <c r="I114" s="583"/>
      <c r="J114" s="583"/>
      <c r="K114" s="584"/>
      <c r="L114" s="585"/>
      <c r="M114" s="586"/>
      <c r="N114" s="1155"/>
      <c r="O114" s="1155"/>
      <c r="P114" s="2631"/>
      <c r="Q114" s="504"/>
    </row>
    <row r="115" spans="1:17" ht="14.2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3.9" thickTop="1">
      <c r="A116" s="599"/>
      <c r="B116" s="538" t="s">
        <v>2665</v>
      </c>
      <c r="C116" s="554"/>
      <c r="D116" s="554"/>
      <c r="E116" s="554"/>
      <c r="F116" s="554"/>
      <c r="G116" s="554"/>
      <c r="H116" s="583"/>
      <c r="I116" s="583"/>
      <c r="J116" s="583"/>
      <c r="K116" s="584"/>
      <c r="L116" s="585"/>
      <c r="M116" s="586"/>
      <c r="N116" s="1155"/>
      <c r="O116" s="1155"/>
      <c r="P116" s="2631"/>
      <c r="Q116" s="504"/>
    </row>
    <row r="117" spans="1:17" ht="14.2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3.9" thickTop="1">
      <c r="A118" s="599"/>
      <c r="B118" s="538" t="s">
        <v>2666</v>
      </c>
      <c r="C118" s="627"/>
      <c r="D118" s="627"/>
      <c r="E118" s="627"/>
      <c r="F118" s="627"/>
      <c r="G118" s="627"/>
      <c r="H118" s="555"/>
      <c r="I118" s="555"/>
      <c r="J118" s="555"/>
      <c r="K118" s="555"/>
      <c r="L118" s="556"/>
      <c r="M118" s="557"/>
      <c r="N118" s="1155"/>
      <c r="O118" s="1155"/>
      <c r="P118" s="2631"/>
      <c r="Q118" s="504"/>
    </row>
    <row r="119" spans="1:17" ht="14.2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3.9" thickTop="1">
      <c r="A120" s="593"/>
      <c r="B120" s="538" t="s">
        <v>2667</v>
      </c>
      <c r="C120" s="583"/>
      <c r="D120" s="583"/>
      <c r="E120" s="583"/>
      <c r="F120" s="583"/>
      <c r="G120" s="555"/>
      <c r="H120" s="555"/>
      <c r="I120" s="555"/>
      <c r="J120" s="555"/>
      <c r="K120" s="555"/>
      <c r="L120" s="556"/>
      <c r="M120" s="557"/>
      <c r="N120" s="1157"/>
      <c r="O120" s="1157"/>
      <c r="P120" s="2632"/>
      <c r="Q120" s="559"/>
    </row>
    <row r="121" spans="1:17" s="471" customFormat="1" ht="14.2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3.9" thickTop="1">
      <c r="A122" s="599"/>
      <c r="B122" s="538" t="s">
        <v>2602</v>
      </c>
      <c r="C122" s="554"/>
      <c r="D122" s="554"/>
      <c r="E122" s="554"/>
      <c r="F122" s="583"/>
      <c r="G122" s="583"/>
      <c r="H122" s="583"/>
      <c r="I122" s="583"/>
      <c r="J122" s="583"/>
      <c r="K122" s="584"/>
      <c r="L122" s="585"/>
      <c r="M122" s="586"/>
      <c r="N122" s="1155"/>
      <c r="O122" s="1155"/>
      <c r="P122" s="2631"/>
      <c r="Q122" s="504"/>
    </row>
    <row r="123" spans="1:17" ht="14.2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27.4" thickTop="1">
      <c r="A124" s="599"/>
      <c r="B124" s="538" t="s">
        <v>2603</v>
      </c>
      <c r="C124" s="578" t="s">
        <v>2579</v>
      </c>
      <c r="D124" s="578" t="s">
        <v>2580</v>
      </c>
      <c r="E124" s="578" t="s">
        <v>2581</v>
      </c>
      <c r="F124" s="578" t="s">
        <v>2582</v>
      </c>
      <c r="G124" s="578" t="s">
        <v>2583</v>
      </c>
      <c r="H124" s="539"/>
      <c r="I124" s="539"/>
      <c r="J124" s="539"/>
      <c r="K124" s="540"/>
      <c r="L124" s="541"/>
      <c r="M124" s="542"/>
      <c r="N124" s="1155"/>
      <c r="O124" s="1155"/>
      <c r="P124" s="2632"/>
      <c r="Q124" s="504"/>
    </row>
    <row r="125" spans="1:17" ht="14.2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3.9"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25" thickBot="1">
      <c r="A127" s="553"/>
      <c r="B127" s="543"/>
      <c r="C127" s="560"/>
      <c r="D127" s="536"/>
      <c r="E127" s="536"/>
      <c r="F127" s="536"/>
      <c r="G127" s="560"/>
      <c r="H127" s="562"/>
      <c r="I127" s="562"/>
      <c r="J127" s="562"/>
      <c r="K127" s="562"/>
      <c r="L127" s="562"/>
      <c r="M127" s="563"/>
      <c r="N127" s="1157"/>
      <c r="O127" s="1157"/>
      <c r="P127" s="2632"/>
      <c r="Q127" s="559"/>
    </row>
    <row r="128" spans="1:17" ht="13.9" thickTop="1">
      <c r="A128" s="599"/>
      <c r="B128" s="538">
        <f>B45</f>
        <v>111</v>
      </c>
      <c r="C128" s="554"/>
      <c r="D128" s="554"/>
      <c r="E128" s="554"/>
      <c r="F128" s="554"/>
      <c r="G128" s="583"/>
      <c r="H128" s="583"/>
      <c r="I128" s="583"/>
      <c r="J128" s="583"/>
      <c r="K128" s="584"/>
      <c r="L128" s="585"/>
      <c r="M128" s="586"/>
      <c r="N128" s="1155"/>
      <c r="O128" s="1155"/>
      <c r="P128" s="2631"/>
      <c r="Q128" s="504"/>
    </row>
    <row r="129" spans="1:17" ht="14.25" thickBot="1">
      <c r="A129" s="534"/>
      <c r="B129" s="543"/>
      <c r="C129" s="560"/>
      <c r="D129" s="536"/>
      <c r="E129" s="536"/>
      <c r="F129" s="536"/>
      <c r="G129" s="536"/>
      <c r="H129" s="536"/>
      <c r="I129" s="536"/>
      <c r="J129" s="536"/>
      <c r="K129" s="536"/>
      <c r="L129" s="536"/>
      <c r="M129" s="537"/>
      <c r="N129" s="1156"/>
      <c r="O129" s="1156"/>
      <c r="P129" s="2631"/>
      <c r="Q129" s="504"/>
    </row>
    <row r="130" spans="1:17" ht="13.9" thickTop="1">
      <c r="A130" s="599"/>
      <c r="B130" s="546">
        <f>B46</f>
        <v>111</v>
      </c>
      <c r="C130" s="554"/>
      <c r="D130" s="554"/>
      <c r="E130" s="554"/>
      <c r="F130" s="554"/>
      <c r="G130" s="587"/>
      <c r="H130" s="587"/>
      <c r="I130" s="587"/>
      <c r="J130" s="587"/>
      <c r="K130" s="523"/>
      <c r="L130" s="524"/>
      <c r="M130" s="590"/>
      <c r="N130" s="1155"/>
      <c r="O130" s="1155"/>
      <c r="P130" s="2631"/>
      <c r="Q130" s="504"/>
    </row>
    <row r="131" spans="1:17" ht="14.2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J10" sqref="J10"/>
    </sheetView>
  </sheetViews>
  <sheetFormatPr defaultColWidth="9" defaultRowHeight="13.5"/>
  <cols>
    <col min="1" max="1" width="10.46484375" style="403" customWidth="1"/>
    <col min="2" max="2" width="15.73046875" style="403" customWidth="1"/>
    <col min="3" max="3" width="15.59765625" style="403" customWidth="1"/>
    <col min="4" max="4" width="12.265625" style="403" customWidth="1"/>
    <col min="5" max="5" width="14.3984375" style="403" customWidth="1"/>
    <col min="6" max="6" width="12.265625" style="403" customWidth="1"/>
    <col min="7" max="7" width="14.46484375" style="403" customWidth="1"/>
    <col min="8" max="8" width="12.265625" style="403" customWidth="1"/>
    <col min="9" max="9" width="14.46484375" style="403" customWidth="1"/>
    <col min="10" max="10" width="12.265625" style="403" customWidth="1"/>
    <col min="11" max="11" width="12.265625" style="495" customWidth="1"/>
    <col min="12" max="12" width="12.265625" style="496" customWidth="1"/>
    <col min="13" max="15" width="12.265625" style="403" customWidth="1"/>
    <col min="16" max="16" width="4.73046875" style="1126" customWidth="1"/>
    <col min="17" max="17" width="19.46484375" style="403" customWidth="1"/>
    <col min="18" max="22" width="6.1328125" style="403" customWidth="1"/>
    <col min="23" max="23" width="5.73046875" style="403" customWidth="1"/>
    <col min="24" max="24" width="4.265625" style="403" customWidth="1"/>
    <col min="25" max="25" width="3.46484375" style="403" customWidth="1"/>
    <col min="26" max="26" width="19.73046875" style="403" customWidth="1"/>
    <col min="27" max="28" width="9.3984375" style="403" customWidth="1"/>
    <col min="29" max="16384" width="9" style="403"/>
  </cols>
  <sheetData>
    <row r="1" spans="1:29" s="1632" customFormat="1" ht="28.5" customHeight="1" thickBot="1">
      <c r="A1" s="1621" t="s">
        <v>2510</v>
      </c>
      <c r="B1" s="2670" t="s">
        <v>2668</v>
      </c>
      <c r="C1" s="1623" t="s">
        <v>2512</v>
      </c>
      <c r="D1" s="1624"/>
      <c r="E1" s="1633"/>
      <c r="F1" s="2585"/>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2312</v>
      </c>
      <c r="B2" s="1421" t="e">
        <f ca="1">IF(C2="——",ROUND(C50*D3/10000,0),ROUND(C50*D3/10000,0)-D2)</f>
        <v>#DIV/0!</v>
      </c>
      <c r="C2" s="2587"/>
      <c r="D2" s="1368" t="e">
        <f ca="1">SUMIF(INDIRECT("'"&amp;F2&amp;"'"&amp;"!A:A"),"承租人权益价值",INDIRECT("'"&amp;F2&amp;"'"&amp;"!c:c"))</f>
        <v>#REF!</v>
      </c>
      <c r="E2" s="2588" t="s">
        <v>2313</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2626</v>
      </c>
      <c r="D3" s="399">
        <f>IF(D1="",'数据-汇总表'!E3,SUMIF('数据-汇总表'!$C19:$C33,D1,'数据-汇总表'!$E19:$E33))</f>
        <v>166960</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3.9">
      <c r="A4" s="401" t="s">
        <v>2627</v>
      </c>
      <c r="B4" s="402"/>
      <c r="C4" s="3259" t="s">
        <v>2628</v>
      </c>
      <c r="D4" s="3260"/>
      <c r="E4" s="3261" t="s">
        <v>2629</v>
      </c>
      <c r="F4" s="3262"/>
      <c r="G4" s="3259" t="s">
        <v>2630</v>
      </c>
      <c r="H4" s="3260"/>
      <c r="I4" s="3259" t="s">
        <v>2631</v>
      </c>
      <c r="J4" s="3260"/>
      <c r="K4" s="610" t="s">
        <v>2632</v>
      </c>
      <c r="L4" s="1133"/>
      <c r="M4" s="1134"/>
      <c r="N4" s="1134"/>
      <c r="O4" s="1134"/>
      <c r="P4" s="3293" t="s">
        <v>2633</v>
      </c>
      <c r="Q4" s="3294"/>
      <c r="R4" s="3288" t="s">
        <v>2629</v>
      </c>
      <c r="S4" s="3289"/>
      <c r="T4" s="3288" t="s">
        <v>2630</v>
      </c>
      <c r="U4" s="3289"/>
      <c r="V4" s="3297" t="s">
        <v>2631</v>
      </c>
      <c r="W4" s="3297"/>
      <c r="X4" s="2671"/>
      <c r="Y4" s="3288" t="s">
        <v>2633</v>
      </c>
      <c r="Z4" s="3289"/>
      <c r="AA4" s="3287" t="s">
        <v>2629</v>
      </c>
      <c r="AB4" s="3287" t="s">
        <v>2630</v>
      </c>
      <c r="AC4" s="3290" t="s">
        <v>2631</v>
      </c>
    </row>
    <row r="5" spans="1:29" ht="13.9">
      <c r="A5" s="404"/>
      <c r="B5" s="405"/>
      <c r="C5" s="3252" t="s">
        <v>2524</v>
      </c>
      <c r="D5" s="3253"/>
      <c r="E5" s="3250" t="s">
        <v>2525</v>
      </c>
      <c r="F5" s="3251"/>
      <c r="G5" s="3252" t="s">
        <v>2526</v>
      </c>
      <c r="H5" s="3253"/>
      <c r="I5" s="3252" t="s">
        <v>2527</v>
      </c>
      <c r="J5" s="3253"/>
      <c r="K5" s="610"/>
      <c r="L5" s="1133"/>
      <c r="M5" s="1134"/>
      <c r="N5" s="1134"/>
      <c r="O5" s="1134"/>
      <c r="P5" s="3295"/>
      <c r="Q5" s="3266"/>
      <c r="R5" s="3248"/>
      <c r="S5" s="3249"/>
      <c r="T5" s="3248"/>
      <c r="U5" s="3249"/>
      <c r="V5" s="3271"/>
      <c r="W5" s="3271"/>
      <c r="X5" s="1816"/>
      <c r="Y5" s="3248"/>
      <c r="Z5" s="3249"/>
      <c r="AA5" s="3242"/>
      <c r="AB5" s="3242"/>
      <c r="AC5" s="3291"/>
    </row>
    <row r="6" spans="1:29" ht="14.25" thickBot="1">
      <c r="A6" s="406"/>
      <c r="B6" s="407"/>
      <c r="C6" s="3254" t="s">
        <v>2528</v>
      </c>
      <c r="D6" s="3255"/>
      <c r="E6" s="3256" t="s">
        <v>2528</v>
      </c>
      <c r="F6" s="3257"/>
      <c r="G6" s="3254" t="s">
        <v>2528</v>
      </c>
      <c r="H6" s="3255"/>
      <c r="I6" s="3254" t="s">
        <v>2528</v>
      </c>
      <c r="J6" s="3255"/>
      <c r="K6" s="610" t="s">
        <v>2529</v>
      </c>
      <c r="L6" s="1133"/>
      <c r="M6" s="1134"/>
      <c r="N6" s="1134"/>
      <c r="O6" s="1134"/>
      <c r="P6" s="3296"/>
      <c r="Q6" s="3268"/>
      <c r="R6" s="3248"/>
      <c r="S6" s="3249"/>
      <c r="T6" s="3269"/>
      <c r="U6" s="3270"/>
      <c r="V6" s="3271"/>
      <c r="W6" s="3271"/>
      <c r="X6" s="1816"/>
      <c r="Y6" s="3269"/>
      <c r="Z6" s="3270"/>
      <c r="AA6" s="3243"/>
      <c r="AB6" s="3243"/>
      <c r="AC6" s="3292"/>
    </row>
    <row r="7" spans="1:29" s="117" customFormat="1" ht="14.25" thickBot="1">
      <c r="A7" s="408" t="s">
        <v>2530</v>
      </c>
      <c r="B7" s="409"/>
      <c r="C7" s="410">
        <f>'数据-取费表'!B2</f>
        <v>43215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8" t="s">
        <v>2531</v>
      </c>
      <c r="Q7" s="3272"/>
      <c r="R7" s="770" t="s">
        <v>17</v>
      </c>
      <c r="S7" s="771">
        <f t="shared" ref="S7:S15" si="0">F7</f>
        <v>0</v>
      </c>
      <c r="T7" s="770" t="s">
        <v>17</v>
      </c>
      <c r="U7" s="771">
        <f t="shared" ref="U7:U15" si="1">H7</f>
        <v>0</v>
      </c>
      <c r="V7" s="770" t="s">
        <v>17</v>
      </c>
      <c r="W7" s="771">
        <f t="shared" ref="W7:W15" si="2">J7</f>
        <v>0</v>
      </c>
      <c r="X7" s="772"/>
      <c r="Y7" s="3244" t="s">
        <v>2531</v>
      </c>
      <c r="Z7" s="3245"/>
      <c r="AA7" s="773" t="e">
        <f>D7/F7</f>
        <v>#DIV/0!</v>
      </c>
      <c r="AB7" s="773" t="e">
        <f>D7/H7</f>
        <v>#DIV/0!</v>
      </c>
      <c r="AC7" s="2672" t="e">
        <f>D7/J7</f>
        <v>#DIV/0!</v>
      </c>
    </row>
    <row r="8" spans="1:29" s="117" customFormat="1" ht="14.25" thickBot="1">
      <c r="A8" s="408" t="s">
        <v>2532</v>
      </c>
      <c r="B8" s="409"/>
      <c r="C8" s="414" t="s">
        <v>2634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8" t="s">
        <v>2534</v>
      </c>
      <c r="Q8" s="3245"/>
      <c r="R8" s="770" t="s">
        <v>17</v>
      </c>
      <c r="S8" s="771">
        <f t="shared" si="0"/>
        <v>0</v>
      </c>
      <c r="T8" s="770" t="s">
        <v>17</v>
      </c>
      <c r="U8" s="771">
        <f t="shared" si="1"/>
        <v>0</v>
      </c>
      <c r="V8" s="770" t="s">
        <v>17</v>
      </c>
      <c r="W8" s="771">
        <f t="shared" si="2"/>
        <v>0</v>
      </c>
      <c r="X8" s="772"/>
      <c r="Y8" s="3244" t="s">
        <v>2534</v>
      </c>
      <c r="Z8" s="3245"/>
      <c r="AA8" s="773" t="e">
        <f t="shared" ref="AA8:AA47" si="3">D8/F8</f>
        <v>#DIV/0!</v>
      </c>
      <c r="AB8" s="773" t="e">
        <f t="shared" ref="AB8:AB47" si="4">D8/H8</f>
        <v>#DIV/0!</v>
      </c>
      <c r="AC8" s="2672" t="e">
        <f t="shared" ref="AC8:AC47" si="5">D8/J8</f>
        <v>#DIV/0!</v>
      </c>
    </row>
    <row r="9" spans="1:29" s="117" customFormat="1">
      <c r="A9" s="415" t="s">
        <v>2535</v>
      </c>
      <c r="B9" s="71" t="s">
        <v>2536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58" t="s">
        <v>2537</v>
      </c>
      <c r="Q9" s="1798" t="str">
        <f t="shared" ref="Q9:Q15" si="6">B9</f>
        <v>用途</v>
      </c>
      <c r="R9" s="770" t="s">
        <v>17</v>
      </c>
      <c r="S9" s="771">
        <f t="shared" si="0"/>
        <v>100</v>
      </c>
      <c r="T9" s="770" t="s">
        <v>17</v>
      </c>
      <c r="U9" s="771">
        <f t="shared" si="1"/>
        <v>100</v>
      </c>
      <c r="V9" s="770" t="s">
        <v>17</v>
      </c>
      <c r="W9" s="771">
        <f t="shared" si="2"/>
        <v>100</v>
      </c>
      <c r="X9" s="772"/>
      <c r="Y9" s="3066" t="s">
        <v>2538</v>
      </c>
      <c r="Z9" s="55" t="str">
        <f t="shared" ref="Z9:Z15" si="7">Q9</f>
        <v>用途</v>
      </c>
      <c r="AA9" s="773">
        <f t="shared" si="3"/>
        <v>1</v>
      </c>
      <c r="AB9" s="773">
        <f t="shared" si="4"/>
        <v>1</v>
      </c>
      <c r="AC9" s="2672">
        <f t="shared" si="5"/>
        <v>1</v>
      </c>
    </row>
    <row r="10" spans="1:29" s="427" customFormat="1" ht="27">
      <c r="A10" s="421"/>
      <c r="B10" s="422" t="s">
        <v>2539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58"/>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2672">
        <f t="shared" si="5"/>
        <v>1</v>
      </c>
    </row>
    <row r="11" spans="1:29" ht="15">
      <c r="A11" s="428"/>
      <c r="B11" s="422" t="s">
        <v>2540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58"/>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58"/>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58"/>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2672">
        <f t="shared" si="5"/>
        <v>1</v>
      </c>
    </row>
    <row r="14" spans="1:29" ht="15.4"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58"/>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2672">
        <f t="shared" si="5"/>
        <v>1</v>
      </c>
    </row>
    <row r="15" spans="1:29" ht="15">
      <c r="A15" s="440" t="s">
        <v>2541</v>
      </c>
      <c r="B15" s="629" t="s">
        <v>2669</v>
      </c>
      <c r="C15" s="2674">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5" t="s">
        <v>2542</v>
      </c>
      <c r="Q15" s="1813" t="str">
        <f t="shared" si="6"/>
        <v>办公集聚程度</v>
      </c>
      <c r="R15" s="774" t="s">
        <v>17</v>
      </c>
      <c r="S15" s="775">
        <f t="shared" si="0"/>
        <v>100</v>
      </c>
      <c r="T15" s="774" t="s">
        <v>17</v>
      </c>
      <c r="U15" s="775">
        <f t="shared" si="1"/>
        <v>100</v>
      </c>
      <c r="V15" s="774" t="s">
        <v>17</v>
      </c>
      <c r="W15" s="775">
        <f t="shared" si="2"/>
        <v>100</v>
      </c>
      <c r="X15" s="1816"/>
      <c r="Y15" s="3278" t="s">
        <v>2542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286"/>
      <c r="Q16" s="1813"/>
      <c r="R16" s="774"/>
      <c r="S16" s="775"/>
      <c r="T16" s="774"/>
      <c r="U16" s="775"/>
      <c r="V16" s="774"/>
      <c r="W16" s="775"/>
      <c r="X16" s="1816"/>
      <c r="Y16" s="3279"/>
      <c r="Z16" s="1817"/>
      <c r="AA16" s="1814">
        <v>1</v>
      </c>
      <c r="AB16" s="1814">
        <v>1</v>
      </c>
      <c r="AC16" s="2675">
        <v>1</v>
      </c>
    </row>
    <row r="17" spans="1:29" ht="15">
      <c r="A17" s="428"/>
      <c r="B17" s="631" t="s">
        <v>2086</v>
      </c>
      <c r="C17" s="2676">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6"/>
      <c r="Q17" s="1813" t="str">
        <f>B17</f>
        <v>交通便捷度</v>
      </c>
      <c r="R17" s="774" t="s">
        <v>17</v>
      </c>
      <c r="S17" s="775">
        <f>F17</f>
        <v>100</v>
      </c>
      <c r="T17" s="774" t="s">
        <v>17</v>
      </c>
      <c r="U17" s="775">
        <f>H17</f>
        <v>100</v>
      </c>
      <c r="V17" s="774" t="s">
        <v>17</v>
      </c>
      <c r="W17" s="775">
        <f>J17</f>
        <v>100</v>
      </c>
      <c r="X17" s="1816"/>
      <c r="Y17" s="3279"/>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286"/>
      <c r="Q18" s="1813"/>
      <c r="R18" s="774"/>
      <c r="S18" s="775"/>
      <c r="T18" s="774"/>
      <c r="U18" s="775"/>
      <c r="V18" s="774"/>
      <c r="W18" s="775"/>
      <c r="X18" s="1816"/>
      <c r="Y18" s="3279"/>
      <c r="Z18" s="1817"/>
      <c r="AA18" s="1814">
        <v>1</v>
      </c>
      <c r="AB18" s="1814">
        <v>1</v>
      </c>
      <c r="AC18" s="2675">
        <v>1</v>
      </c>
    </row>
    <row r="19" spans="1:29" ht="15">
      <c r="A19" s="428"/>
      <c r="B19" s="631" t="s">
        <v>2670</v>
      </c>
      <c r="C19" s="2676">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6"/>
      <c r="Q19" s="1813" t="str">
        <f>B19</f>
        <v>公共配套设施</v>
      </c>
      <c r="R19" s="774" t="s">
        <v>17</v>
      </c>
      <c r="S19" s="775">
        <f>F19</f>
        <v>100</v>
      </c>
      <c r="T19" s="774" t="s">
        <v>17</v>
      </c>
      <c r="U19" s="775">
        <f>H19</f>
        <v>100</v>
      </c>
      <c r="V19" s="774" t="s">
        <v>17</v>
      </c>
      <c r="W19" s="775">
        <f>J19</f>
        <v>100</v>
      </c>
      <c r="X19" s="1816"/>
      <c r="Y19" s="3279"/>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286"/>
      <c r="Q20" s="1813"/>
      <c r="R20" s="774"/>
      <c r="S20" s="775"/>
      <c r="T20" s="774"/>
      <c r="U20" s="775"/>
      <c r="V20" s="774"/>
      <c r="W20" s="775"/>
      <c r="X20" s="1816"/>
      <c r="Y20" s="3279"/>
      <c r="Z20" s="1817"/>
      <c r="AA20" s="1814">
        <v>1</v>
      </c>
      <c r="AB20" s="1814">
        <v>1</v>
      </c>
      <c r="AC20" s="2675">
        <v>1</v>
      </c>
    </row>
    <row r="21" spans="1:29" ht="15">
      <c r="A21" s="428"/>
      <c r="B21" s="633" t="s">
        <v>2671</v>
      </c>
      <c r="C21" s="2676">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6"/>
      <c r="Q21" s="1813" t="str">
        <f>B21</f>
        <v>基础设施水平</v>
      </c>
      <c r="R21" s="774" t="s">
        <v>17</v>
      </c>
      <c r="S21" s="775">
        <f>F21</f>
        <v>100</v>
      </c>
      <c r="T21" s="774" t="s">
        <v>17</v>
      </c>
      <c r="U21" s="775">
        <f>H21</f>
        <v>100</v>
      </c>
      <c r="V21" s="774" t="s">
        <v>17</v>
      </c>
      <c r="W21" s="775">
        <f>J21</f>
        <v>100</v>
      </c>
      <c r="X21" s="1816"/>
      <c r="Y21" s="3279"/>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86"/>
      <c r="Q22" s="1813"/>
      <c r="R22" s="774"/>
      <c r="S22" s="775"/>
      <c r="T22" s="774"/>
      <c r="U22" s="775"/>
      <c r="V22" s="774"/>
      <c r="W22" s="775"/>
      <c r="X22" s="1816"/>
      <c r="Y22" s="3279"/>
      <c r="Z22" s="1817"/>
      <c r="AA22" s="1814">
        <v>1</v>
      </c>
      <c r="AB22" s="1814">
        <v>1</v>
      </c>
      <c r="AC22" s="2675">
        <v>1</v>
      </c>
    </row>
    <row r="23" spans="1:29" ht="15">
      <c r="A23" s="428"/>
      <c r="B23" s="631" t="s">
        <v>2672</v>
      </c>
      <c r="C23" s="2676">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6"/>
      <c r="Q23" s="1813" t="str">
        <f>B23</f>
        <v>环境质量</v>
      </c>
      <c r="R23" s="774" t="s">
        <v>17</v>
      </c>
      <c r="S23" s="775">
        <f>F23</f>
        <v>100</v>
      </c>
      <c r="T23" s="774" t="s">
        <v>17</v>
      </c>
      <c r="U23" s="775">
        <f>H23</f>
        <v>100</v>
      </c>
      <c r="V23" s="774" t="s">
        <v>17</v>
      </c>
      <c r="W23" s="775">
        <f>J23</f>
        <v>100</v>
      </c>
      <c r="X23" s="1816"/>
      <c r="Y23" s="3279"/>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286"/>
      <c r="Q24" s="1813"/>
      <c r="R24" s="774"/>
      <c r="S24" s="775"/>
      <c r="T24" s="774"/>
      <c r="U24" s="775"/>
      <c r="V24" s="774"/>
      <c r="W24" s="775"/>
      <c r="X24" s="1816"/>
      <c r="Y24" s="3279"/>
      <c r="Z24" s="1817"/>
      <c r="AA24" s="1814">
        <v>1</v>
      </c>
      <c r="AB24" s="1814">
        <v>1</v>
      </c>
      <c r="AC24" s="2675">
        <v>1</v>
      </c>
    </row>
    <row r="25" spans="1:29" ht="27">
      <c r="A25" s="404"/>
      <c r="B25" s="631" t="s">
        <v>2673</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86"/>
      <c r="Q25" s="1813" t="str">
        <f>B25</f>
        <v>毗邻道路的类型与等级</v>
      </c>
      <c r="R25" s="774" t="s">
        <v>17</v>
      </c>
      <c r="S25" s="775">
        <f>F25</f>
        <v>100</v>
      </c>
      <c r="T25" s="774" t="s">
        <v>17</v>
      </c>
      <c r="U25" s="775">
        <f>H25</f>
        <v>100</v>
      </c>
      <c r="V25" s="774" t="s">
        <v>17</v>
      </c>
      <c r="W25" s="775">
        <f>J25</f>
        <v>100</v>
      </c>
      <c r="X25" s="1816"/>
      <c r="Y25" s="3279"/>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286"/>
      <c r="Q26" s="1813"/>
      <c r="R26" s="774"/>
      <c r="S26" s="775"/>
      <c r="T26" s="774"/>
      <c r="U26" s="775"/>
      <c r="V26" s="774"/>
      <c r="W26" s="775"/>
      <c r="X26" s="1816"/>
      <c r="Y26" s="3279"/>
      <c r="Z26" s="1817"/>
      <c r="AA26" s="1814">
        <v>1</v>
      </c>
      <c r="AB26" s="1814">
        <v>1</v>
      </c>
      <c r="AC26" s="2675">
        <v>1</v>
      </c>
    </row>
    <row r="27" spans="1:29" ht="15">
      <c r="A27" s="428"/>
      <c r="B27" s="632" t="s">
        <v>2641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6"/>
      <c r="Q27" s="1813" t="str">
        <f t="shared" ref="Q27:Q47" si="11">B27</f>
        <v>楼层</v>
      </c>
      <c r="R27" s="774" t="s">
        <v>17</v>
      </c>
      <c r="S27" s="775">
        <f>F27</f>
        <v>100</v>
      </c>
      <c r="T27" s="774" t="s">
        <v>17</v>
      </c>
      <c r="U27" s="775">
        <f>H27</f>
        <v>100</v>
      </c>
      <c r="V27" s="774" t="s">
        <v>17</v>
      </c>
      <c r="W27" s="775">
        <f>J27</f>
        <v>100</v>
      </c>
      <c r="X27" s="1816"/>
      <c r="Y27" s="3279"/>
      <c r="Z27" s="1817" t="str">
        <f>Q27</f>
        <v>楼层</v>
      </c>
      <c r="AA27" s="1814">
        <f t="shared" si="3"/>
        <v>1</v>
      </c>
      <c r="AB27" s="1814">
        <f t="shared" si="4"/>
        <v>1</v>
      </c>
      <c r="AC27" s="2675">
        <f t="shared" si="5"/>
        <v>1</v>
      </c>
    </row>
    <row r="28" spans="1:29" s="117" customFormat="1" ht="15">
      <c r="A28" s="431"/>
      <c r="B28" s="631" t="s">
        <v>2674</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86"/>
      <c r="Q28" s="1798" t="str">
        <f t="shared" si="11"/>
        <v>朝向</v>
      </c>
      <c r="R28" s="770" t="s">
        <v>17</v>
      </c>
      <c r="S28" s="771">
        <f>F28</f>
        <v>100</v>
      </c>
      <c r="T28" s="770" t="s">
        <v>17</v>
      </c>
      <c r="U28" s="771">
        <f>H28</f>
        <v>100</v>
      </c>
      <c r="V28" s="770" t="s">
        <v>17</v>
      </c>
      <c r="W28" s="771">
        <f>J28</f>
        <v>100</v>
      </c>
      <c r="X28" s="772"/>
      <c r="Y28" s="3279"/>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86"/>
      <c r="Q29" s="1813">
        <f t="shared" si="11"/>
        <v>111</v>
      </c>
      <c r="R29" s="774" t="s">
        <v>17</v>
      </c>
      <c r="S29" s="775">
        <f t="shared" ref="S29:S47" si="12">F29</f>
        <v>100</v>
      </c>
      <c r="T29" s="774" t="s">
        <v>17</v>
      </c>
      <c r="U29" s="775">
        <f t="shared" ref="U29:U47" si="13">H29</f>
        <v>100</v>
      </c>
      <c r="V29" s="774" t="s">
        <v>17</v>
      </c>
      <c r="W29" s="775">
        <f t="shared" ref="W29:W47" si="14">J29</f>
        <v>100</v>
      </c>
      <c r="X29" s="1816"/>
      <c r="Y29" s="3279"/>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86"/>
      <c r="Q30" s="1813">
        <f t="shared" si="11"/>
        <v>111</v>
      </c>
      <c r="R30" s="774" t="s">
        <v>17</v>
      </c>
      <c r="S30" s="775">
        <f t="shared" si="12"/>
        <v>100</v>
      </c>
      <c r="T30" s="774" t="s">
        <v>17</v>
      </c>
      <c r="U30" s="775">
        <f t="shared" si="13"/>
        <v>100</v>
      </c>
      <c r="V30" s="774" t="s">
        <v>17</v>
      </c>
      <c r="W30" s="775">
        <f t="shared" si="14"/>
        <v>100</v>
      </c>
      <c r="X30" s="1816"/>
      <c r="Y30" s="3279"/>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86"/>
      <c r="Q31" s="1813">
        <f t="shared" si="11"/>
        <v>111</v>
      </c>
      <c r="R31" s="774" t="s">
        <v>17</v>
      </c>
      <c r="S31" s="775">
        <f t="shared" si="12"/>
        <v>100</v>
      </c>
      <c r="T31" s="774" t="s">
        <v>17</v>
      </c>
      <c r="U31" s="775">
        <f t="shared" si="13"/>
        <v>100</v>
      </c>
      <c r="V31" s="774" t="s">
        <v>17</v>
      </c>
      <c r="W31" s="775">
        <f t="shared" si="14"/>
        <v>100</v>
      </c>
      <c r="X31" s="1816"/>
      <c r="Y31" s="3279"/>
      <c r="Z31" s="1817">
        <f t="shared" si="15"/>
        <v>111</v>
      </c>
      <c r="AA31" s="1814">
        <f t="shared" si="3"/>
        <v>1</v>
      </c>
      <c r="AB31" s="1814">
        <f t="shared" si="4"/>
        <v>1</v>
      </c>
      <c r="AC31" s="2675">
        <f t="shared" si="5"/>
        <v>1</v>
      </c>
    </row>
    <row r="32" spans="1:29" ht="15.4"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86"/>
      <c r="Q32" s="1813">
        <f t="shared" si="11"/>
        <v>111</v>
      </c>
      <c r="R32" s="774" t="s">
        <v>17</v>
      </c>
      <c r="S32" s="775">
        <f t="shared" si="12"/>
        <v>100</v>
      </c>
      <c r="T32" s="774" t="s">
        <v>17</v>
      </c>
      <c r="U32" s="775">
        <f t="shared" si="13"/>
        <v>100</v>
      </c>
      <c r="V32" s="774" t="s">
        <v>17</v>
      </c>
      <c r="W32" s="775">
        <f t="shared" si="14"/>
        <v>100</v>
      </c>
      <c r="X32" s="1816"/>
      <c r="Y32" s="3279"/>
      <c r="Z32" s="1817">
        <f t="shared" si="15"/>
        <v>111</v>
      </c>
      <c r="AA32" s="1814">
        <f t="shared" si="3"/>
        <v>1</v>
      </c>
      <c r="AB32" s="1814">
        <f t="shared" si="4"/>
        <v>1</v>
      </c>
      <c r="AC32" s="2675">
        <f t="shared" si="5"/>
        <v>1</v>
      </c>
    </row>
    <row r="33" spans="1:29" ht="15">
      <c r="A33" s="440" t="s">
        <v>2545</v>
      </c>
      <c r="B33" s="71" t="s">
        <v>2675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80" t="s">
        <v>2547</v>
      </c>
      <c r="Q33" s="1813" t="str">
        <f t="shared" si="11"/>
        <v>建筑类型</v>
      </c>
      <c r="R33" s="774" t="s">
        <v>17</v>
      </c>
      <c r="S33" s="775">
        <f t="shared" si="12"/>
        <v>100</v>
      </c>
      <c r="T33" s="774" t="s">
        <v>17</v>
      </c>
      <c r="U33" s="775">
        <f t="shared" si="13"/>
        <v>100</v>
      </c>
      <c r="V33" s="774" t="s">
        <v>17</v>
      </c>
      <c r="W33" s="775">
        <f t="shared" si="14"/>
        <v>100</v>
      </c>
      <c r="X33" s="1816"/>
      <c r="Y33" s="3283" t="s">
        <v>2547</v>
      </c>
      <c r="Z33" s="1817" t="str">
        <f t="shared" si="15"/>
        <v>建筑类型</v>
      </c>
      <c r="AA33" s="1814">
        <f t="shared" si="3"/>
        <v>1</v>
      </c>
      <c r="AB33" s="1814">
        <f t="shared" si="4"/>
        <v>1</v>
      </c>
      <c r="AC33" s="2675">
        <f t="shared" si="5"/>
        <v>1</v>
      </c>
    </row>
    <row r="34" spans="1:29" s="471" customFormat="1" ht="15">
      <c r="A34" s="468"/>
      <c r="B34" s="422" t="s">
        <v>2548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81"/>
      <c r="Q34" s="776" t="str">
        <f t="shared" si="11"/>
        <v>项目建筑规模</v>
      </c>
      <c r="R34" s="777" t="s">
        <v>17</v>
      </c>
      <c r="S34" s="778" t="e">
        <f t="shared" si="12"/>
        <v>#N/A</v>
      </c>
      <c r="T34" s="777" t="s">
        <v>17</v>
      </c>
      <c r="U34" s="778" t="e">
        <f t="shared" si="13"/>
        <v>#N/A</v>
      </c>
      <c r="V34" s="777" t="s">
        <v>17</v>
      </c>
      <c r="W34" s="778" t="e">
        <f t="shared" si="14"/>
        <v>#N/A</v>
      </c>
      <c r="X34" s="779"/>
      <c r="Y34" s="3283"/>
      <c r="Z34" s="780" t="str">
        <f t="shared" si="15"/>
        <v>项目建筑规模</v>
      </c>
      <c r="AA34" s="1814" t="e">
        <f t="shared" si="3"/>
        <v>#N/A</v>
      </c>
      <c r="AB34" s="1814" t="e">
        <f t="shared" si="4"/>
        <v>#N/A</v>
      </c>
      <c r="AC34" s="2675" t="e">
        <f t="shared" si="5"/>
        <v>#N/A</v>
      </c>
    </row>
    <row r="35" spans="1:29" ht="15">
      <c r="A35" s="472"/>
      <c r="B35" s="422" t="s">
        <v>2549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81"/>
      <c r="Q35" s="1813" t="str">
        <f t="shared" si="11"/>
        <v>建筑结构</v>
      </c>
      <c r="R35" s="774" t="s">
        <v>17</v>
      </c>
      <c r="S35" s="775">
        <f t="shared" si="12"/>
        <v>100</v>
      </c>
      <c r="T35" s="774" t="s">
        <v>17</v>
      </c>
      <c r="U35" s="775">
        <f t="shared" si="13"/>
        <v>100</v>
      </c>
      <c r="V35" s="774" t="s">
        <v>17</v>
      </c>
      <c r="W35" s="775">
        <f t="shared" si="14"/>
        <v>100</v>
      </c>
      <c r="X35" s="1816"/>
      <c r="Y35" s="3283"/>
      <c r="Z35" s="1817" t="str">
        <f t="shared" si="15"/>
        <v>建筑结构</v>
      </c>
      <c r="AA35" s="1814">
        <f t="shared" si="3"/>
        <v>1</v>
      </c>
      <c r="AB35" s="1814">
        <f t="shared" si="4"/>
        <v>1</v>
      </c>
      <c r="AC35" s="2675">
        <f t="shared" si="5"/>
        <v>1</v>
      </c>
    </row>
    <row r="36" spans="1:29" ht="15">
      <c r="A36" s="472"/>
      <c r="B36" s="422" t="s">
        <v>2643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81"/>
      <c r="Q36" s="1813" t="str">
        <f t="shared" si="11"/>
        <v>公共部分装修</v>
      </c>
      <c r="R36" s="774" t="s">
        <v>17</v>
      </c>
      <c r="S36" s="775">
        <f t="shared" si="12"/>
        <v>100</v>
      </c>
      <c r="T36" s="774" t="s">
        <v>17</v>
      </c>
      <c r="U36" s="775">
        <f t="shared" si="13"/>
        <v>100</v>
      </c>
      <c r="V36" s="774" t="s">
        <v>17</v>
      </c>
      <c r="W36" s="775">
        <f t="shared" si="14"/>
        <v>100</v>
      </c>
      <c r="X36" s="1816"/>
      <c r="Y36" s="3283"/>
      <c r="Z36" s="1817" t="str">
        <f t="shared" si="15"/>
        <v>公共部分装修</v>
      </c>
      <c r="AA36" s="1814">
        <f t="shared" si="3"/>
        <v>1</v>
      </c>
      <c r="AB36" s="1814">
        <f t="shared" si="4"/>
        <v>1</v>
      </c>
      <c r="AC36" s="2675">
        <f t="shared" si="5"/>
        <v>1</v>
      </c>
    </row>
    <row r="37" spans="1:29" ht="15">
      <c r="A37" s="472"/>
      <c r="B37" s="422" t="s">
        <v>2644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81"/>
      <c r="Q37" s="1813" t="str">
        <f t="shared" si="11"/>
        <v>成新度</v>
      </c>
      <c r="R37" s="774" t="s">
        <v>17</v>
      </c>
      <c r="S37" s="775" t="e">
        <f t="shared" si="12"/>
        <v>#N/A</v>
      </c>
      <c r="T37" s="774" t="s">
        <v>17</v>
      </c>
      <c r="U37" s="775" t="e">
        <f t="shared" si="13"/>
        <v>#N/A</v>
      </c>
      <c r="V37" s="774" t="s">
        <v>17</v>
      </c>
      <c r="W37" s="775" t="e">
        <f t="shared" si="14"/>
        <v>#N/A</v>
      </c>
      <c r="X37" s="1816"/>
      <c r="Y37" s="3283"/>
      <c r="Z37" s="1817" t="str">
        <f t="shared" si="15"/>
        <v>成新度</v>
      </c>
      <c r="AA37" s="1814" t="e">
        <f t="shared" si="3"/>
        <v>#N/A</v>
      </c>
      <c r="AB37" s="1814" t="e">
        <f t="shared" si="4"/>
        <v>#N/A</v>
      </c>
      <c r="AC37" s="2675" t="e">
        <f t="shared" si="5"/>
        <v>#N/A</v>
      </c>
    </row>
    <row r="38" spans="1:29" s="117" customFormat="1" ht="15">
      <c r="A38" s="473"/>
      <c r="B38" s="422" t="s">
        <v>2676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81"/>
      <c r="Q38" s="1798" t="str">
        <f t="shared" si="11"/>
        <v>写字楼等级</v>
      </c>
      <c r="R38" s="770" t="s">
        <v>17</v>
      </c>
      <c r="S38" s="771">
        <f t="shared" si="12"/>
        <v>100</v>
      </c>
      <c r="T38" s="770" t="s">
        <v>17</v>
      </c>
      <c r="U38" s="771">
        <f t="shared" si="13"/>
        <v>100</v>
      </c>
      <c r="V38" s="770" t="s">
        <v>17</v>
      </c>
      <c r="W38" s="771">
        <f t="shared" si="14"/>
        <v>100</v>
      </c>
      <c r="X38" s="772"/>
      <c r="Y38" s="3283"/>
      <c r="Z38" s="55" t="str">
        <f t="shared" si="15"/>
        <v>写字楼等级</v>
      </c>
      <c r="AA38" s="773">
        <f t="shared" si="3"/>
        <v>1</v>
      </c>
      <c r="AB38" s="773">
        <f t="shared" si="4"/>
        <v>1</v>
      </c>
      <c r="AC38" s="2672">
        <f t="shared" si="5"/>
        <v>1</v>
      </c>
    </row>
    <row r="39" spans="1:29" ht="15">
      <c r="A39" s="472"/>
      <c r="B39" s="422" t="s">
        <v>2677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81" t="s">
        <v>2547</v>
      </c>
      <c r="Q39" s="1813" t="str">
        <f t="shared" si="11"/>
        <v>物业管理</v>
      </c>
      <c r="R39" s="774" t="s">
        <v>17</v>
      </c>
      <c r="S39" s="775">
        <f t="shared" si="12"/>
        <v>100</v>
      </c>
      <c r="T39" s="774" t="s">
        <v>17</v>
      </c>
      <c r="U39" s="775">
        <f t="shared" si="13"/>
        <v>100</v>
      </c>
      <c r="V39" s="774" t="s">
        <v>17</v>
      </c>
      <c r="W39" s="775">
        <f t="shared" si="14"/>
        <v>100</v>
      </c>
      <c r="X39" s="1816"/>
      <c r="Y39" s="3283" t="s">
        <v>2547</v>
      </c>
      <c r="Z39" s="1817" t="str">
        <f t="shared" si="15"/>
        <v>物业管理</v>
      </c>
      <c r="AA39" s="1814">
        <f t="shared" si="3"/>
        <v>1</v>
      </c>
      <c r="AB39" s="1814">
        <f t="shared" si="4"/>
        <v>1</v>
      </c>
      <c r="AC39" s="2675">
        <f t="shared" si="5"/>
        <v>1</v>
      </c>
    </row>
    <row r="40" spans="1:29" ht="15">
      <c r="A40" s="472"/>
      <c r="B40" s="422" t="s">
        <v>2645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81"/>
      <c r="Q40" s="1813" t="str">
        <f t="shared" si="11"/>
        <v>市政基础设施</v>
      </c>
      <c r="R40" s="774" t="s">
        <v>17</v>
      </c>
      <c r="S40" s="775">
        <f t="shared" si="12"/>
        <v>100</v>
      </c>
      <c r="T40" s="774" t="s">
        <v>17</v>
      </c>
      <c r="U40" s="775">
        <f t="shared" si="13"/>
        <v>100</v>
      </c>
      <c r="V40" s="774" t="s">
        <v>17</v>
      </c>
      <c r="W40" s="775">
        <f t="shared" si="14"/>
        <v>100</v>
      </c>
      <c r="X40" s="1816"/>
      <c r="Y40" s="3283"/>
      <c r="Z40" s="1817" t="str">
        <f t="shared" si="15"/>
        <v>市政基础设施</v>
      </c>
      <c r="AA40" s="1814">
        <f t="shared" si="3"/>
        <v>1</v>
      </c>
      <c r="AB40" s="1814">
        <f t="shared" si="4"/>
        <v>1</v>
      </c>
      <c r="AC40" s="2675">
        <f t="shared" si="5"/>
        <v>1</v>
      </c>
    </row>
    <row r="41" spans="1:29" ht="15">
      <c r="A41" s="472"/>
      <c r="B41" s="422" t="s">
        <v>2647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81"/>
      <c r="Q41" s="1813" t="str">
        <f t="shared" si="11"/>
        <v>层高</v>
      </c>
      <c r="R41" s="774" t="s">
        <v>17</v>
      </c>
      <c r="S41" s="775">
        <f t="shared" si="12"/>
        <v>100</v>
      </c>
      <c r="T41" s="774" t="s">
        <v>17</v>
      </c>
      <c r="U41" s="775">
        <f t="shared" si="13"/>
        <v>100</v>
      </c>
      <c r="V41" s="774" t="s">
        <v>17</v>
      </c>
      <c r="W41" s="775">
        <f t="shared" si="14"/>
        <v>100</v>
      </c>
      <c r="X41" s="1816"/>
      <c r="Y41" s="3283"/>
      <c r="Z41" s="1817" t="str">
        <f t="shared" si="15"/>
        <v>层高</v>
      </c>
      <c r="AA41" s="1814">
        <f t="shared" si="3"/>
        <v>1</v>
      </c>
      <c r="AB41" s="1814">
        <f t="shared" si="4"/>
        <v>1</v>
      </c>
      <c r="AC41" s="2675">
        <f t="shared" si="5"/>
        <v>1</v>
      </c>
    </row>
    <row r="42" spans="1:29" s="471" customFormat="1" ht="15">
      <c r="A42" s="468"/>
      <c r="B42" s="1815" t="s">
        <v>2678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1"/>
      <c r="Q42" s="776" t="str">
        <f t="shared" si="11"/>
        <v>单套建筑面积</v>
      </c>
      <c r="R42" s="777" t="s">
        <v>17</v>
      </c>
      <c r="S42" s="778">
        <f t="shared" si="12"/>
        <v>100</v>
      </c>
      <c r="T42" s="777" t="s">
        <v>17</v>
      </c>
      <c r="U42" s="778">
        <f t="shared" si="13"/>
        <v>100</v>
      </c>
      <c r="V42" s="777" t="s">
        <v>17</v>
      </c>
      <c r="W42" s="778">
        <f t="shared" si="14"/>
        <v>100</v>
      </c>
      <c r="X42" s="779"/>
      <c r="Y42" s="3283"/>
      <c r="Z42" s="780" t="str">
        <f t="shared" si="15"/>
        <v>单套建筑面积</v>
      </c>
      <c r="AA42" s="1814">
        <f t="shared" si="3"/>
        <v>1</v>
      </c>
      <c r="AB42" s="1814">
        <f t="shared" si="4"/>
        <v>1</v>
      </c>
      <c r="AC42" s="2675">
        <f t="shared" si="5"/>
        <v>1</v>
      </c>
    </row>
    <row r="43" spans="1:29" ht="15">
      <c r="A43" s="472"/>
      <c r="B43" s="422" t="s">
        <v>2650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81"/>
      <c r="Q43" s="1813" t="str">
        <f t="shared" si="11"/>
        <v>内部装修</v>
      </c>
      <c r="R43" s="774" t="s">
        <v>17</v>
      </c>
      <c r="S43" s="775">
        <f t="shared" si="12"/>
        <v>100</v>
      </c>
      <c r="T43" s="774" t="s">
        <v>17</v>
      </c>
      <c r="U43" s="775">
        <f t="shared" si="13"/>
        <v>100</v>
      </c>
      <c r="V43" s="774" t="s">
        <v>17</v>
      </c>
      <c r="W43" s="775">
        <f t="shared" si="14"/>
        <v>100</v>
      </c>
      <c r="X43" s="1816"/>
      <c r="Y43" s="3283"/>
      <c r="Z43" s="1817" t="str">
        <f t="shared" si="15"/>
        <v>内部装修</v>
      </c>
      <c r="AA43" s="1814">
        <f t="shared" si="3"/>
        <v>1</v>
      </c>
      <c r="AB43" s="1814">
        <f t="shared" si="4"/>
        <v>1</v>
      </c>
      <c r="AC43" s="2675">
        <f t="shared" si="5"/>
        <v>1</v>
      </c>
    </row>
    <row r="44" spans="1:29" ht="27">
      <c r="A44" s="472"/>
      <c r="B44" s="422" t="s">
        <v>2558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81"/>
      <c r="Q44" s="1813" t="str">
        <f t="shared" si="11"/>
        <v>内部装修维护情况</v>
      </c>
      <c r="R44" s="774" t="s">
        <v>17</v>
      </c>
      <c r="S44" s="775">
        <f t="shared" si="12"/>
        <v>100</v>
      </c>
      <c r="T44" s="774" t="s">
        <v>17</v>
      </c>
      <c r="U44" s="775">
        <f t="shared" si="13"/>
        <v>100</v>
      </c>
      <c r="V44" s="774" t="s">
        <v>17</v>
      </c>
      <c r="W44" s="775">
        <f t="shared" si="14"/>
        <v>100</v>
      </c>
      <c r="X44" s="1816"/>
      <c r="Y44" s="3283"/>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1"/>
      <c r="Q45" s="1798">
        <f t="shared" si="11"/>
        <v>111</v>
      </c>
      <c r="R45" s="770" t="s">
        <v>17</v>
      </c>
      <c r="S45" s="771">
        <f t="shared" si="12"/>
        <v>100</v>
      </c>
      <c r="T45" s="770" t="s">
        <v>17</v>
      </c>
      <c r="U45" s="771">
        <f t="shared" si="13"/>
        <v>100</v>
      </c>
      <c r="V45" s="770" t="s">
        <v>17</v>
      </c>
      <c r="W45" s="771">
        <f t="shared" si="14"/>
        <v>100</v>
      </c>
      <c r="X45" s="772"/>
      <c r="Y45" s="3283"/>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1"/>
      <c r="Q46" s="1813">
        <f t="shared" si="11"/>
        <v>111</v>
      </c>
      <c r="R46" s="774" t="s">
        <v>17</v>
      </c>
      <c r="S46" s="775">
        <f t="shared" si="12"/>
        <v>100</v>
      </c>
      <c r="T46" s="774" t="s">
        <v>17</v>
      </c>
      <c r="U46" s="775">
        <f t="shared" si="13"/>
        <v>100</v>
      </c>
      <c r="V46" s="774" t="s">
        <v>17</v>
      </c>
      <c r="W46" s="775">
        <f t="shared" si="14"/>
        <v>100</v>
      </c>
      <c r="X46" s="1816"/>
      <c r="Y46" s="3283"/>
      <c r="Z46" s="1817">
        <f t="shared" si="15"/>
        <v>111</v>
      </c>
      <c r="AA46" s="1814">
        <f t="shared" si="3"/>
        <v>1</v>
      </c>
      <c r="AB46" s="1814">
        <f t="shared" si="4"/>
        <v>1</v>
      </c>
      <c r="AC46" s="2675">
        <f t="shared" si="5"/>
        <v>1</v>
      </c>
    </row>
    <row r="47" spans="1:29" ht="15.4"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2"/>
      <c r="Q47" s="1813">
        <f t="shared" si="11"/>
        <v>111</v>
      </c>
      <c r="R47" s="774" t="s">
        <v>17</v>
      </c>
      <c r="S47" s="775">
        <f t="shared" si="12"/>
        <v>100</v>
      </c>
      <c r="T47" s="774" t="s">
        <v>17</v>
      </c>
      <c r="U47" s="775">
        <f t="shared" si="13"/>
        <v>100</v>
      </c>
      <c r="V47" s="774" t="s">
        <v>17</v>
      </c>
      <c r="W47" s="775">
        <f t="shared" si="14"/>
        <v>100</v>
      </c>
      <c r="X47" s="1816"/>
      <c r="Y47" s="3284"/>
      <c r="Z47" s="1817">
        <f t="shared" si="15"/>
        <v>111</v>
      </c>
      <c r="AA47" s="1814">
        <f t="shared" si="3"/>
        <v>1</v>
      </c>
      <c r="AB47" s="1814">
        <f t="shared" si="4"/>
        <v>1</v>
      </c>
      <c r="AC47" s="2675">
        <f t="shared" si="5"/>
        <v>1</v>
      </c>
    </row>
    <row r="48" spans="1:29" ht="13.9">
      <c r="A48" s="479" t="s">
        <v>2559</v>
      </c>
      <c r="B48" s="480"/>
      <c r="C48" s="1410" t="s">
        <v>1</v>
      </c>
      <c r="D48" s="1411"/>
      <c r="E48" s="1412"/>
      <c r="F48" s="1413"/>
      <c r="G48" s="1414"/>
      <c r="H48" s="1415"/>
      <c r="I48" s="1412"/>
      <c r="J48" s="485"/>
      <c r="K48" s="783"/>
      <c r="L48" s="1146"/>
      <c r="M48" s="1134"/>
      <c r="N48" s="1134"/>
      <c r="O48" s="1134"/>
      <c r="P48" s="3258" t="str">
        <f>A48</f>
        <v>成交单价（元/平方米）</v>
      </c>
      <c r="Q48" s="3276"/>
      <c r="R48" s="3277">
        <f>E48</f>
        <v>0</v>
      </c>
      <c r="S48" s="3277"/>
      <c r="T48" s="3277">
        <f>G48</f>
        <v>0</v>
      </c>
      <c r="U48" s="3277"/>
      <c r="V48" s="3277">
        <f>I48</f>
        <v>0</v>
      </c>
      <c r="W48" s="3277"/>
      <c r="X48" s="446"/>
      <c r="Y48" s="781"/>
      <c r="Z48" s="446"/>
      <c r="AA48" s="446"/>
      <c r="AB48" s="446"/>
      <c r="AC48" s="630"/>
    </row>
    <row r="49" spans="1:29" ht="14.25" thickBot="1">
      <c r="A49" s="486" t="s">
        <v>2651</v>
      </c>
      <c r="B49" s="487"/>
      <c r="C49" s="1416" t="e">
        <f>R50</f>
        <v>#DIV/0!</v>
      </c>
      <c r="D49" s="1417"/>
      <c r="E49" s="1418" t="e">
        <f>R49</f>
        <v>#DIV/0!</v>
      </c>
      <c r="F49" s="1418"/>
      <c r="G49" s="1416" t="e">
        <f>T49</f>
        <v>#DIV/0!</v>
      </c>
      <c r="H49" s="1417"/>
      <c r="I49" s="1418" t="e">
        <f>V49</f>
        <v>#DIV/0!</v>
      </c>
      <c r="J49" s="489"/>
      <c r="K49" s="784"/>
      <c r="L49" s="1146"/>
      <c r="M49" s="1134"/>
      <c r="N49" s="1134"/>
      <c r="O49" s="1134"/>
      <c r="P49" s="3258" t="str">
        <f>A49</f>
        <v>比较价值（元/平方米）</v>
      </c>
      <c r="Q49" s="3276"/>
      <c r="R49" s="3277" t="e">
        <f>IF(F1="售价",ROUND(PRODUCT(R48,AA7:AA47),0),ROUND(PRODUCT(R48,AA7:AA47),1))</f>
        <v>#DIV/0!</v>
      </c>
      <c r="S49" s="3277"/>
      <c r="T49" s="3277" t="e">
        <f>IF(F1="售价",ROUND(PRODUCT(T48,AB7:AB47),0),ROUND(PRODUCT(T48,AB7:AB47),1))</f>
        <v>#DIV/0!</v>
      </c>
      <c r="U49" s="3277"/>
      <c r="V49" s="3277" t="e">
        <f>IF(F1="售价",ROUND(PRODUCT(V48,AC7:AC47),0),ROUND(PRODUCT(V48,AC7:AC47),1))</f>
        <v>#DIV/0!</v>
      </c>
      <c r="W49" s="3277"/>
      <c r="X49" s="446"/>
      <c r="Y49" s="446"/>
      <c r="Z49" s="446"/>
      <c r="AA49" s="446"/>
      <c r="AB49" s="446"/>
      <c r="AC49" s="630"/>
    </row>
    <row r="50" spans="1:29" ht="14.25" thickBot="1">
      <c r="A50" s="492" t="s">
        <v>2652</v>
      </c>
      <c r="B50" s="493"/>
      <c r="C50" s="1420" t="e">
        <f>R50</f>
        <v>#DIV/0!</v>
      </c>
      <c r="D50" s="1420"/>
      <c r="E50" s="1420"/>
      <c r="F50" s="1420"/>
      <c r="G50" s="1420"/>
      <c r="H50" s="1420"/>
      <c r="I50" s="1420"/>
      <c r="J50" s="494"/>
      <c r="K50" s="785"/>
      <c r="L50" s="1146"/>
      <c r="M50" s="1134"/>
      <c r="N50" s="1134"/>
      <c r="O50" s="1134"/>
      <c r="P50" s="3299" t="str">
        <f>A50</f>
        <v>估价对象XX用房的比较价值（楼面单价，元/平方米）</v>
      </c>
      <c r="Q50" s="3300"/>
      <c r="R50" s="3301" t="e">
        <f>IF(F1="售价",ROUND(AVERAGE(R49:V49),0),ROUND(AVERAGE(R49:V49),1))</f>
        <v>#DIV/0!</v>
      </c>
      <c r="S50" s="3301"/>
      <c r="T50" s="3301"/>
      <c r="U50" s="3301"/>
      <c r="V50" s="3301"/>
      <c r="W50" s="3301"/>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2655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2656</v>
      </c>
      <c r="B58" s="759"/>
      <c r="C58" s="764"/>
      <c r="D58" s="764"/>
      <c r="E58" s="764"/>
      <c r="F58" s="765"/>
      <c r="G58" s="765"/>
      <c r="H58" s="764"/>
      <c r="I58" s="764"/>
      <c r="J58" s="764"/>
      <c r="K58" s="766"/>
      <c r="L58" s="1164"/>
      <c r="M58" s="1162"/>
      <c r="N58" s="1162"/>
      <c r="O58" s="1162"/>
      <c r="P58" s="2682"/>
      <c r="Q58" s="504"/>
    </row>
    <row r="59" spans="1:29" s="508" customFormat="1" ht="13.9">
      <c r="A59" s="505" t="s">
        <v>2530</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3.9">
      <c r="A60" s="509"/>
      <c r="B60" s="510"/>
      <c r="C60" s="1576">
        <v>100</v>
      </c>
      <c r="D60" s="512"/>
      <c r="E60" s="512"/>
      <c r="F60" s="512"/>
      <c r="G60" s="512"/>
      <c r="H60" s="512"/>
      <c r="I60" s="512"/>
      <c r="J60" s="512"/>
      <c r="K60" s="512"/>
      <c r="L60" s="512"/>
      <c r="M60" s="513"/>
      <c r="N60" s="512"/>
      <c r="O60" s="513"/>
      <c r="P60" s="2683"/>
    </row>
    <row r="61" spans="1:29" s="117" customFormat="1" ht="14.25" thickBot="1">
      <c r="A61" s="515" t="s">
        <v>2567</v>
      </c>
      <c r="B61" s="516"/>
      <c r="C61" s="517"/>
      <c r="D61" s="518"/>
      <c r="E61" s="518"/>
      <c r="F61" s="518"/>
      <c r="G61" s="518"/>
      <c r="H61" s="518"/>
      <c r="I61" s="518"/>
      <c r="J61" s="518"/>
      <c r="K61" s="518"/>
      <c r="L61" s="518"/>
      <c r="M61" s="519"/>
      <c r="N61" s="518"/>
      <c r="O61" s="519"/>
      <c r="P61" s="2683"/>
      <c r="Q61" s="504"/>
    </row>
    <row r="62" spans="1:29" s="117" customFormat="1" ht="13.9">
      <c r="A62" s="521" t="s">
        <v>2532</v>
      </c>
      <c r="B62" s="510"/>
      <c r="C62" s="522" t="s">
        <v>2634</v>
      </c>
      <c r="D62" s="523"/>
      <c r="E62" s="523"/>
      <c r="F62" s="523"/>
      <c r="G62" s="523"/>
      <c r="H62" s="523"/>
      <c r="I62" s="523"/>
      <c r="J62" s="523"/>
      <c r="K62" s="523"/>
      <c r="L62" s="524"/>
      <c r="M62" s="525"/>
      <c r="N62" s="1154"/>
      <c r="O62" s="1154"/>
      <c r="P62" s="2684"/>
      <c r="Q62" s="504"/>
    </row>
    <row r="63" spans="1:29" s="117" customFormat="1" ht="14.25" thickBot="1">
      <c r="A63" s="521"/>
      <c r="B63" s="510"/>
      <c r="C63" s="511">
        <v>100</v>
      </c>
      <c r="D63" s="512"/>
      <c r="E63" s="512"/>
      <c r="F63" s="512"/>
      <c r="G63" s="512"/>
      <c r="H63" s="512"/>
      <c r="I63" s="512"/>
      <c r="J63" s="512"/>
      <c r="K63" s="512"/>
      <c r="L63" s="512"/>
      <c r="M63" s="514"/>
      <c r="N63" s="1154"/>
      <c r="O63" s="1154"/>
      <c r="P63" s="2683"/>
      <c r="Q63" s="504"/>
    </row>
    <row r="64" spans="1:29">
      <c r="A64" s="527" t="s">
        <v>2570</v>
      </c>
      <c r="B64" s="528" t="s">
        <v>2536</v>
      </c>
      <c r="C64" s="529">
        <f>C9</f>
        <v>0</v>
      </c>
      <c r="D64" s="530"/>
      <c r="E64" s="530"/>
      <c r="F64" s="530"/>
      <c r="G64" s="530"/>
      <c r="H64" s="530"/>
      <c r="I64" s="530"/>
      <c r="J64" s="530"/>
      <c r="K64" s="531"/>
      <c r="L64" s="532"/>
      <c r="M64" s="533"/>
      <c r="N64" s="1155"/>
      <c r="O64" s="1155"/>
      <c r="P64" s="2685"/>
      <c r="Q64" s="504"/>
    </row>
    <row r="65" spans="1:17" ht="14.25" thickBot="1">
      <c r="A65" s="534"/>
      <c r="B65" s="535"/>
      <c r="C65" s="536">
        <v>100</v>
      </c>
      <c r="D65" s="536"/>
      <c r="E65" s="536"/>
      <c r="F65" s="536"/>
      <c r="G65" s="536"/>
      <c r="H65" s="536"/>
      <c r="I65" s="536"/>
      <c r="J65" s="536"/>
      <c r="K65" s="536"/>
      <c r="L65" s="536"/>
      <c r="M65" s="537"/>
      <c r="N65" s="1156"/>
      <c r="O65" s="1156"/>
      <c r="P65" s="2685"/>
      <c r="Q65" s="504"/>
    </row>
    <row r="66" spans="1:17" ht="27.4" thickTop="1">
      <c r="A66" s="534"/>
      <c r="B66" s="538" t="s">
        <v>2539</v>
      </c>
      <c r="C66" s="539" t="s">
        <v>2571</v>
      </c>
      <c r="D66" s="539" t="s">
        <v>2572</v>
      </c>
      <c r="E66" s="539" t="s">
        <v>2573</v>
      </c>
      <c r="F66" s="539" t="s">
        <v>2574</v>
      </c>
      <c r="G66" s="539" t="s">
        <v>2575</v>
      </c>
      <c r="H66" s="539" t="s">
        <v>2576</v>
      </c>
      <c r="I66" s="539" t="s">
        <v>2577</v>
      </c>
      <c r="J66" s="539"/>
      <c r="K66" s="540"/>
      <c r="L66" s="541"/>
      <c r="M66" s="542"/>
      <c r="N66" s="1155"/>
      <c r="O66" s="1155"/>
      <c r="P66" s="2685"/>
      <c r="Q66" s="504"/>
    </row>
    <row r="67" spans="1:17" ht="14.2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4.25" thickTop="1">
      <c r="A68" s="534"/>
      <c r="B68" s="546" t="s">
        <v>2540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3.9">
      <c r="A69" s="534"/>
      <c r="B69" s="548"/>
      <c r="C69" s="549"/>
      <c r="D69" s="549"/>
      <c r="E69" s="549"/>
      <c r="F69" s="549"/>
      <c r="G69" s="549"/>
      <c r="H69" s="549"/>
      <c r="I69" s="549"/>
      <c r="J69" s="549"/>
      <c r="K69" s="550"/>
      <c r="L69" s="551"/>
      <c r="M69" s="552"/>
      <c r="N69" s="1155"/>
      <c r="O69" s="1155"/>
      <c r="P69" s="2685"/>
      <c r="Q69" s="504"/>
    </row>
    <row r="70" spans="1:17" ht="14.2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4.25" thickTop="1">
      <c r="A71" s="553"/>
      <c r="B71" s="538">
        <f>B12</f>
        <v>111</v>
      </c>
      <c r="C71" s="554"/>
      <c r="D71" s="554"/>
      <c r="E71" s="554"/>
      <c r="F71" s="554"/>
      <c r="G71" s="554"/>
      <c r="H71" s="555"/>
      <c r="I71" s="555"/>
      <c r="J71" s="555"/>
      <c r="K71" s="555"/>
      <c r="L71" s="556"/>
      <c r="M71" s="557"/>
      <c r="N71" s="1157"/>
      <c r="O71" s="1157"/>
      <c r="P71" s="2686"/>
      <c r="Q71" s="559"/>
    </row>
    <row r="72" spans="1:17" s="471" customFormat="1" ht="14.25" thickBot="1">
      <c r="A72" s="553"/>
      <c r="B72" s="543"/>
      <c r="C72" s="560"/>
      <c r="D72" s="536"/>
      <c r="E72" s="536"/>
      <c r="F72" s="536"/>
      <c r="G72" s="536"/>
      <c r="H72" s="536"/>
      <c r="I72" s="536"/>
      <c r="J72" s="536"/>
      <c r="K72" s="536"/>
      <c r="L72" s="536"/>
      <c r="M72" s="537"/>
      <c r="N72" s="1156"/>
      <c r="O72" s="1156"/>
      <c r="P72" s="2686"/>
      <c r="Q72" s="559"/>
    </row>
    <row r="73" spans="1:17" s="471" customFormat="1" ht="14.25" thickTop="1">
      <c r="A73" s="553"/>
      <c r="B73" s="538">
        <f>B13</f>
        <v>111</v>
      </c>
      <c r="C73" s="554"/>
      <c r="D73" s="554"/>
      <c r="E73" s="554"/>
      <c r="F73" s="554"/>
      <c r="G73" s="554"/>
      <c r="H73" s="555"/>
      <c r="I73" s="555"/>
      <c r="J73" s="555"/>
      <c r="K73" s="555"/>
      <c r="L73" s="556"/>
      <c r="M73" s="557"/>
      <c r="N73" s="1157"/>
      <c r="O73" s="1157"/>
      <c r="P73" s="2687"/>
      <c r="Q73" s="561"/>
    </row>
    <row r="74" spans="1:17" s="471" customFormat="1" ht="14.25" thickBot="1">
      <c r="A74" s="553"/>
      <c r="B74" s="543"/>
      <c r="C74" s="560"/>
      <c r="D74" s="560"/>
      <c r="E74" s="560"/>
      <c r="F74" s="560"/>
      <c r="G74" s="560"/>
      <c r="H74" s="562"/>
      <c r="I74" s="562"/>
      <c r="J74" s="562"/>
      <c r="K74" s="562"/>
      <c r="L74" s="562"/>
      <c r="M74" s="563"/>
      <c r="N74" s="1157"/>
      <c r="O74" s="1157"/>
      <c r="P74" s="2686"/>
      <c r="Q74" s="559"/>
    </row>
    <row r="75" spans="1:17" s="471" customFormat="1" ht="14.25" thickTop="1">
      <c r="A75" s="553"/>
      <c r="B75" s="546">
        <f>B14</f>
        <v>111</v>
      </c>
      <c r="C75" s="523"/>
      <c r="D75" s="523"/>
      <c r="E75" s="523"/>
      <c r="F75" s="523"/>
      <c r="G75" s="523"/>
      <c r="H75" s="564"/>
      <c r="I75" s="564"/>
      <c r="J75" s="564"/>
      <c r="K75" s="564"/>
      <c r="L75" s="565"/>
      <c r="M75" s="566"/>
      <c r="N75" s="1157"/>
      <c r="O75" s="1157"/>
      <c r="P75" s="2688"/>
      <c r="Q75" s="559"/>
    </row>
    <row r="76" spans="1:17" s="471" customFormat="1" ht="14.25" thickBot="1">
      <c r="A76" s="568"/>
      <c r="B76" s="569"/>
      <c r="C76" s="570"/>
      <c r="D76" s="570"/>
      <c r="E76" s="570"/>
      <c r="F76" s="570"/>
      <c r="G76" s="570"/>
      <c r="H76" s="571"/>
      <c r="I76" s="571"/>
      <c r="J76" s="571"/>
      <c r="K76" s="571"/>
      <c r="L76" s="571"/>
      <c r="M76" s="572"/>
      <c r="N76" s="1157"/>
      <c r="O76" s="1157"/>
      <c r="P76" s="2686"/>
      <c r="Q76" s="559"/>
    </row>
    <row r="77" spans="1:17">
      <c r="A77" s="527" t="s">
        <v>2541</v>
      </c>
      <c r="B77" s="528" t="s">
        <v>2679</v>
      </c>
      <c r="C77" s="573" t="s">
        <v>2579</v>
      </c>
      <c r="D77" s="573" t="s">
        <v>2580</v>
      </c>
      <c r="E77" s="573" t="s">
        <v>2581</v>
      </c>
      <c r="F77" s="573" t="s">
        <v>2582</v>
      </c>
      <c r="G77" s="573" t="s">
        <v>2583</v>
      </c>
      <c r="H77" s="529"/>
      <c r="I77" s="529"/>
      <c r="J77" s="529"/>
      <c r="K77" s="574"/>
      <c r="L77" s="575"/>
      <c r="M77" s="576"/>
      <c r="N77" s="1155"/>
      <c r="O77" s="1155"/>
      <c r="P77" s="2689"/>
      <c r="Q77" s="504"/>
    </row>
    <row r="78" spans="1:17" ht="14.2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4.25" thickTop="1">
      <c r="A79" s="534"/>
      <c r="B79" s="538" t="s">
        <v>2584</v>
      </c>
      <c r="C79" s="578" t="s">
        <v>2579</v>
      </c>
      <c r="D79" s="578" t="s">
        <v>2580</v>
      </c>
      <c r="E79" s="578" t="s">
        <v>2581</v>
      </c>
      <c r="F79" s="578" t="s">
        <v>2582</v>
      </c>
      <c r="G79" s="578" t="s">
        <v>2583</v>
      </c>
      <c r="H79" s="539"/>
      <c r="I79" s="539"/>
      <c r="J79" s="539"/>
      <c r="K79" s="540"/>
      <c r="L79" s="541"/>
      <c r="M79" s="542"/>
      <c r="N79" s="1155"/>
      <c r="O79" s="1155"/>
      <c r="P79" s="2685"/>
      <c r="Q79" s="504"/>
    </row>
    <row r="80" spans="1:17" ht="14.2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4.25" thickTop="1">
      <c r="A81" s="534"/>
      <c r="B81" s="538" t="s">
        <v>2585</v>
      </c>
      <c r="C81" s="578" t="s">
        <v>2579</v>
      </c>
      <c r="D81" s="578" t="s">
        <v>2580</v>
      </c>
      <c r="E81" s="578" t="s">
        <v>2581</v>
      </c>
      <c r="F81" s="578" t="s">
        <v>2582</v>
      </c>
      <c r="G81" s="578" t="s">
        <v>2583</v>
      </c>
      <c r="H81" s="539"/>
      <c r="I81" s="539"/>
      <c r="J81" s="539"/>
      <c r="K81" s="540"/>
      <c r="L81" s="541"/>
      <c r="M81" s="542"/>
      <c r="N81" s="1155"/>
      <c r="O81" s="1155"/>
      <c r="P81" s="2685"/>
      <c r="Q81" s="504"/>
    </row>
    <row r="82" spans="1:17" ht="14.2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4.25" thickTop="1">
      <c r="A83" s="534"/>
      <c r="B83" s="546" t="s">
        <v>2671</v>
      </c>
      <c r="C83" s="660" t="s">
        <v>2657</v>
      </c>
      <c r="D83" s="660" t="s">
        <v>2658</v>
      </c>
      <c r="E83" s="660" t="s">
        <v>2659</v>
      </c>
      <c r="F83" s="660" t="s">
        <v>2660</v>
      </c>
      <c r="G83" s="660" t="s">
        <v>2661</v>
      </c>
      <c r="H83" s="539"/>
      <c r="I83" s="539"/>
      <c r="J83" s="539"/>
      <c r="K83" s="539"/>
      <c r="L83" s="539"/>
      <c r="M83" s="1385"/>
      <c r="N83" s="1156"/>
      <c r="O83" s="1156"/>
      <c r="P83" s="2685"/>
      <c r="Q83" s="504"/>
    </row>
    <row r="84" spans="1:17" ht="14.2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4.25" thickTop="1">
      <c r="A85" s="534"/>
      <c r="B85" s="538" t="s">
        <v>2680</v>
      </c>
      <c r="C85" s="578" t="s">
        <v>2579</v>
      </c>
      <c r="D85" s="578" t="s">
        <v>2580</v>
      </c>
      <c r="E85" s="578" t="s">
        <v>2581</v>
      </c>
      <c r="F85" s="578" t="s">
        <v>2582</v>
      </c>
      <c r="G85" s="578" t="s">
        <v>2583</v>
      </c>
      <c r="H85" s="539"/>
      <c r="I85" s="539"/>
      <c r="J85" s="539"/>
      <c r="K85" s="540"/>
      <c r="L85" s="541"/>
      <c r="M85" s="542"/>
      <c r="N85" s="1155"/>
      <c r="O85" s="1155"/>
      <c r="P85" s="2685"/>
      <c r="Q85" s="504"/>
    </row>
    <row r="86" spans="1:17" ht="14.2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4" thickTop="1">
      <c r="A87" s="579"/>
      <c r="B87" s="538" t="s">
        <v>2681</v>
      </c>
      <c r="C87" s="554"/>
      <c r="D87" s="554"/>
      <c r="E87" s="554"/>
      <c r="F87" s="554"/>
      <c r="G87" s="554"/>
      <c r="H87" s="554"/>
      <c r="I87" s="554"/>
      <c r="J87" s="554"/>
      <c r="K87" s="554"/>
      <c r="L87" s="580"/>
      <c r="M87" s="581"/>
      <c r="N87" s="1154"/>
      <c r="O87" s="1154"/>
      <c r="P87" s="2685"/>
      <c r="Q87" s="504"/>
    </row>
    <row r="88" spans="1:17" s="117" customFormat="1" ht="14.2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4.2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4.2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4.2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4.2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4.25" thickTop="1">
      <c r="A93" s="534"/>
      <c r="B93" s="538">
        <f>B29</f>
        <v>111</v>
      </c>
      <c r="C93" s="554"/>
      <c r="D93" s="554"/>
      <c r="E93" s="554"/>
      <c r="F93" s="554"/>
      <c r="G93" s="554"/>
      <c r="H93" s="554"/>
      <c r="I93" s="554"/>
      <c r="J93" s="554"/>
      <c r="K93" s="554"/>
      <c r="L93" s="580"/>
      <c r="M93" s="581"/>
      <c r="N93" s="1155"/>
      <c r="O93" s="1155"/>
      <c r="P93" s="2685"/>
      <c r="Q93" s="504"/>
    </row>
    <row r="94" spans="1:17" ht="14.25" thickBot="1">
      <c r="A94" s="534"/>
      <c r="B94" s="543"/>
      <c r="C94" s="560"/>
      <c r="D94" s="536"/>
      <c r="E94" s="536"/>
      <c r="F94" s="536"/>
      <c r="G94" s="536"/>
      <c r="H94" s="536"/>
      <c r="I94" s="536"/>
      <c r="J94" s="536"/>
      <c r="K94" s="536"/>
      <c r="L94" s="536"/>
      <c r="M94" s="537"/>
      <c r="N94" s="1156"/>
      <c r="O94" s="1156"/>
      <c r="P94" s="2685"/>
      <c r="Q94" s="504"/>
    </row>
    <row r="95" spans="1:17" ht="14.25" thickTop="1">
      <c r="A95" s="534"/>
      <c r="B95" s="538">
        <f>B30</f>
        <v>111</v>
      </c>
      <c r="C95" s="554"/>
      <c r="D95" s="554"/>
      <c r="E95" s="554"/>
      <c r="F95" s="554"/>
      <c r="G95" s="583"/>
      <c r="H95" s="583"/>
      <c r="I95" s="583"/>
      <c r="J95" s="583"/>
      <c r="K95" s="584"/>
      <c r="L95" s="585"/>
      <c r="M95" s="586"/>
      <c r="N95" s="1155"/>
      <c r="O95" s="1155"/>
      <c r="P95" s="2685"/>
      <c r="Q95" s="504"/>
    </row>
    <row r="96" spans="1:17" ht="14.25" thickBot="1">
      <c r="A96" s="534"/>
      <c r="B96" s="543"/>
      <c r="C96" s="560"/>
      <c r="D96" s="560"/>
      <c r="E96" s="560"/>
      <c r="F96" s="560"/>
      <c r="G96" s="536"/>
      <c r="H96" s="536"/>
      <c r="I96" s="536"/>
      <c r="J96" s="536"/>
      <c r="K96" s="536"/>
      <c r="L96" s="536"/>
      <c r="M96" s="537"/>
      <c r="N96" s="1156"/>
      <c r="O96" s="1156"/>
      <c r="P96" s="2685"/>
      <c r="Q96" s="504"/>
    </row>
    <row r="97" spans="1:17" ht="14.25" thickTop="1">
      <c r="A97" s="534"/>
      <c r="B97" s="538">
        <f>B31</f>
        <v>111</v>
      </c>
      <c r="C97" s="554"/>
      <c r="D97" s="554"/>
      <c r="E97" s="554"/>
      <c r="F97" s="554"/>
      <c r="G97" s="583"/>
      <c r="H97" s="583"/>
      <c r="I97" s="583"/>
      <c r="J97" s="583"/>
      <c r="K97" s="584"/>
      <c r="L97" s="585"/>
      <c r="M97" s="586"/>
      <c r="N97" s="1155"/>
      <c r="O97" s="1155"/>
      <c r="P97" s="2685"/>
      <c r="Q97" s="504"/>
    </row>
    <row r="98" spans="1:17" ht="14.25" thickBot="1">
      <c r="A98" s="534"/>
      <c r="B98" s="543"/>
      <c r="C98" s="560"/>
      <c r="D98" s="536"/>
      <c r="E98" s="536"/>
      <c r="F98" s="536"/>
      <c r="G98" s="536"/>
      <c r="H98" s="536"/>
      <c r="I98" s="536"/>
      <c r="J98" s="536"/>
      <c r="K98" s="536"/>
      <c r="L98" s="536"/>
      <c r="M98" s="537"/>
      <c r="N98" s="1156"/>
      <c r="O98" s="1156"/>
      <c r="P98" s="2685"/>
      <c r="Q98" s="504"/>
    </row>
    <row r="99" spans="1:17" ht="14.25" thickTop="1">
      <c r="A99" s="534"/>
      <c r="B99" s="546">
        <f>B32</f>
        <v>111</v>
      </c>
      <c r="C99" s="523"/>
      <c r="D99" s="523"/>
      <c r="E99" s="523"/>
      <c r="F99" s="523"/>
      <c r="G99" s="587"/>
      <c r="H99" s="587"/>
      <c r="I99" s="587"/>
      <c r="J99" s="587"/>
      <c r="K99" s="588"/>
      <c r="L99" s="589"/>
      <c r="M99" s="590"/>
      <c r="N99" s="1155"/>
      <c r="O99" s="1155"/>
      <c r="P99" s="2685"/>
      <c r="Q99" s="504"/>
    </row>
    <row r="100" spans="1:17" ht="14.25" thickBot="1">
      <c r="A100" s="2637"/>
      <c r="B100" s="569"/>
      <c r="C100" s="570"/>
      <c r="D100" s="570"/>
      <c r="E100" s="570"/>
      <c r="F100" s="570"/>
      <c r="G100" s="591"/>
      <c r="H100" s="591"/>
      <c r="I100" s="591"/>
      <c r="J100" s="591"/>
      <c r="K100" s="591"/>
      <c r="L100" s="591"/>
      <c r="M100" s="592"/>
      <c r="N100" s="1156"/>
      <c r="O100" s="1156"/>
      <c r="P100" s="2685"/>
      <c r="Q100" s="504"/>
    </row>
    <row r="101" spans="1:17">
      <c r="A101" s="527" t="s">
        <v>2545</v>
      </c>
      <c r="B101" s="528" t="s">
        <v>2594</v>
      </c>
      <c r="C101" s="530"/>
      <c r="D101" s="530"/>
      <c r="E101" s="530"/>
      <c r="F101" s="530"/>
      <c r="G101" s="530"/>
      <c r="H101" s="530"/>
      <c r="I101" s="530"/>
      <c r="J101" s="530"/>
      <c r="K101" s="531"/>
      <c r="L101" s="532"/>
      <c r="M101" s="533"/>
      <c r="N101" s="1155"/>
      <c r="O101" s="1155"/>
      <c r="P101" s="2685"/>
      <c r="Q101" s="504"/>
    </row>
    <row r="102" spans="1:17" ht="14.2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4.25" thickTop="1">
      <c r="A103" s="534"/>
      <c r="B103" s="538" t="s">
        <v>2595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4.25" thickBot="1">
      <c r="A105" s="553"/>
      <c r="B105" s="543"/>
      <c r="C105" s="560"/>
      <c r="D105" s="536"/>
      <c r="E105" s="536"/>
      <c r="F105" s="536"/>
      <c r="G105" s="536"/>
      <c r="H105" s="536"/>
      <c r="I105" s="536"/>
      <c r="J105" s="536"/>
      <c r="K105" s="536"/>
      <c r="L105" s="536"/>
      <c r="M105" s="537"/>
      <c r="N105" s="1156"/>
      <c r="O105" s="1156"/>
      <c r="P105" s="2686"/>
      <c r="Q105" s="559"/>
    </row>
    <row r="106" spans="1:17" ht="13.9" thickTop="1">
      <c r="A106" s="599"/>
      <c r="B106" s="538" t="s">
        <v>2596</v>
      </c>
      <c r="C106" s="554"/>
      <c r="D106" s="554"/>
      <c r="E106" s="583"/>
      <c r="F106" s="583"/>
      <c r="G106" s="583"/>
      <c r="H106" s="583"/>
      <c r="I106" s="583"/>
      <c r="J106" s="583"/>
      <c r="K106" s="584"/>
      <c r="L106" s="585"/>
      <c r="M106" s="586"/>
      <c r="N106" s="1155"/>
      <c r="O106" s="1155"/>
      <c r="P106" s="2685"/>
      <c r="Q106" s="504"/>
    </row>
    <row r="107" spans="1:17" ht="14.2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3.9" thickTop="1">
      <c r="A108" s="599"/>
      <c r="B108" s="538" t="s">
        <v>2598</v>
      </c>
      <c r="C108" s="554"/>
      <c r="D108" s="554"/>
      <c r="E108" s="554"/>
      <c r="F108" s="583"/>
      <c r="G108" s="583"/>
      <c r="H108" s="583"/>
      <c r="I108" s="583"/>
      <c r="J108" s="583"/>
      <c r="K108" s="584"/>
      <c r="L108" s="585"/>
      <c r="M108" s="586"/>
      <c r="N108" s="1155"/>
      <c r="O108" s="1155"/>
      <c r="P108" s="2685"/>
      <c r="Q108" s="504"/>
    </row>
    <row r="109" spans="1:17" ht="14.2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3.9"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4.2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3.9" thickTop="1">
      <c r="A113" s="593"/>
      <c r="B113" s="538" t="s">
        <v>2682</v>
      </c>
      <c r="C113" s="554"/>
      <c r="D113" s="554"/>
      <c r="E113" s="554"/>
      <c r="F113" s="554"/>
      <c r="G113" s="554"/>
      <c r="H113" s="583"/>
      <c r="I113" s="583"/>
      <c r="J113" s="583"/>
      <c r="K113" s="584"/>
      <c r="L113" s="585"/>
      <c r="M113" s="586"/>
      <c r="N113" s="1157"/>
      <c r="O113" s="1157"/>
      <c r="P113" s="2686"/>
      <c r="Q113" s="559"/>
    </row>
    <row r="114" spans="1:17" s="471" customFormat="1" ht="14.2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3.9" thickTop="1">
      <c r="A115" s="599"/>
      <c r="B115" s="538" t="s">
        <v>2599</v>
      </c>
      <c r="C115" s="554"/>
      <c r="D115" s="554"/>
      <c r="E115" s="583"/>
      <c r="F115" s="583"/>
      <c r="G115" s="583"/>
      <c r="H115" s="583"/>
      <c r="I115" s="583"/>
      <c r="J115" s="583"/>
      <c r="K115" s="584"/>
      <c r="L115" s="585"/>
      <c r="M115" s="586"/>
      <c r="N115" s="1155"/>
      <c r="O115" s="1155"/>
      <c r="P115" s="2685"/>
      <c r="Q115" s="504"/>
    </row>
    <row r="116" spans="1:17" ht="14.2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3.9" thickTop="1">
      <c r="A117" s="599"/>
      <c r="B117" s="538" t="s">
        <v>2600</v>
      </c>
      <c r="C117" s="554"/>
      <c r="D117" s="554"/>
      <c r="E117" s="554"/>
      <c r="F117" s="554"/>
      <c r="G117" s="554"/>
      <c r="H117" s="583"/>
      <c r="I117" s="583"/>
      <c r="J117" s="583"/>
      <c r="K117" s="584"/>
      <c r="L117" s="585"/>
      <c r="M117" s="586"/>
      <c r="N117" s="1155"/>
      <c r="O117" s="1155"/>
      <c r="P117" s="2685"/>
      <c r="Q117" s="504"/>
    </row>
    <row r="118" spans="1:17" ht="14.2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3.9" thickTop="1">
      <c r="A119" s="599"/>
      <c r="B119" s="636" t="s">
        <v>2683</v>
      </c>
      <c r="C119" s="583"/>
      <c r="D119" s="583"/>
      <c r="E119" s="583"/>
      <c r="F119" s="583"/>
      <c r="G119" s="583"/>
      <c r="H119" s="583"/>
      <c r="I119" s="583"/>
      <c r="J119" s="583"/>
      <c r="K119" s="583"/>
      <c r="L119" s="2690"/>
      <c r="M119" s="2691"/>
      <c r="N119" s="1156"/>
      <c r="O119" s="1156"/>
      <c r="P119" s="2692"/>
      <c r="Q119" s="638"/>
    </row>
    <row r="120" spans="1:17" ht="14.2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3.9" thickTop="1">
      <c r="A121" s="593"/>
      <c r="B121" s="538" t="s">
        <v>2666</v>
      </c>
      <c r="C121" s="554"/>
      <c r="D121" s="554"/>
      <c r="E121" s="554"/>
      <c r="F121" s="583"/>
      <c r="G121" s="555"/>
      <c r="H121" s="555"/>
      <c r="I121" s="555"/>
      <c r="J121" s="555"/>
      <c r="K121" s="555"/>
      <c r="L121" s="556"/>
      <c r="M121" s="557"/>
      <c r="N121" s="1157"/>
      <c r="O121" s="1157"/>
      <c r="P121" s="2686"/>
      <c r="Q121" s="559"/>
    </row>
    <row r="122" spans="1:17" s="471" customFormat="1" ht="14.25" thickBot="1">
      <c r="A122" s="553"/>
      <c r="B122" s="535"/>
      <c r="C122" s="560"/>
      <c r="D122" s="560"/>
      <c r="E122" s="560"/>
      <c r="F122" s="560"/>
      <c r="G122" s="560"/>
      <c r="H122" s="560"/>
      <c r="I122" s="560"/>
      <c r="J122" s="560"/>
      <c r="K122" s="560"/>
      <c r="L122" s="560"/>
      <c r="M122" s="560"/>
      <c r="N122" s="1157"/>
      <c r="O122" s="1157"/>
      <c r="P122" s="2686"/>
      <c r="Q122" s="559"/>
    </row>
    <row r="123" spans="1:17" ht="13.9" thickTop="1">
      <c r="A123" s="599"/>
      <c r="B123" s="538" t="s">
        <v>2602</v>
      </c>
      <c r="C123" s="554"/>
      <c r="D123" s="554"/>
      <c r="E123" s="554"/>
      <c r="F123" s="583"/>
      <c r="G123" s="583"/>
      <c r="H123" s="583"/>
      <c r="I123" s="583"/>
      <c r="J123" s="583"/>
      <c r="K123" s="584"/>
      <c r="L123" s="585"/>
      <c r="M123" s="586"/>
      <c r="N123" s="1155"/>
      <c r="O123" s="1155"/>
      <c r="P123" s="2685"/>
      <c r="Q123" s="504"/>
    </row>
    <row r="124" spans="1:17" ht="14.2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27.4" thickTop="1">
      <c r="A125" s="599"/>
      <c r="B125" s="538" t="s">
        <v>2603</v>
      </c>
      <c r="C125" s="578" t="s">
        <v>2579</v>
      </c>
      <c r="D125" s="578" t="s">
        <v>2580</v>
      </c>
      <c r="E125" s="578" t="s">
        <v>2581</v>
      </c>
      <c r="F125" s="578" t="s">
        <v>2582</v>
      </c>
      <c r="G125" s="578" t="s">
        <v>2583</v>
      </c>
      <c r="H125" s="539"/>
      <c r="I125" s="539"/>
      <c r="J125" s="539"/>
      <c r="K125" s="540"/>
      <c r="L125" s="541"/>
      <c r="M125" s="542"/>
      <c r="N125" s="1155"/>
      <c r="O125" s="1155"/>
      <c r="P125" s="2686"/>
      <c r="Q125" s="504"/>
    </row>
    <row r="126" spans="1:17" ht="14.2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3.9"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4.25" thickBot="1">
      <c r="A128" s="553"/>
      <c r="B128" s="543"/>
      <c r="C128" s="560"/>
      <c r="D128" s="536"/>
      <c r="E128" s="536"/>
      <c r="F128" s="536"/>
      <c r="G128" s="560"/>
      <c r="H128" s="562"/>
      <c r="I128" s="562"/>
      <c r="J128" s="562"/>
      <c r="K128" s="562"/>
      <c r="L128" s="562"/>
      <c r="M128" s="563"/>
      <c r="N128" s="1157"/>
      <c r="O128" s="1157"/>
      <c r="P128" s="2686"/>
      <c r="Q128" s="559"/>
    </row>
    <row r="129" spans="1:17" ht="13.9" thickTop="1">
      <c r="A129" s="599"/>
      <c r="B129" s="538">
        <f>B46</f>
        <v>111</v>
      </c>
      <c r="C129" s="554"/>
      <c r="D129" s="554"/>
      <c r="E129" s="554"/>
      <c r="F129" s="554"/>
      <c r="G129" s="583"/>
      <c r="H129" s="583"/>
      <c r="I129" s="583"/>
      <c r="J129" s="583"/>
      <c r="K129" s="584"/>
      <c r="L129" s="585"/>
      <c r="M129" s="586"/>
      <c r="N129" s="1155"/>
      <c r="O129" s="1155"/>
      <c r="P129" s="2685"/>
      <c r="Q129" s="504"/>
    </row>
    <row r="130" spans="1:17" ht="14.25" thickBot="1">
      <c r="A130" s="534"/>
      <c r="B130" s="543"/>
      <c r="C130" s="560"/>
      <c r="D130" s="560"/>
      <c r="E130" s="560"/>
      <c r="F130" s="560"/>
      <c r="G130" s="536"/>
      <c r="H130" s="536"/>
      <c r="I130" s="536"/>
      <c r="J130" s="536"/>
      <c r="K130" s="536"/>
      <c r="L130" s="536"/>
      <c r="M130" s="537"/>
      <c r="N130" s="1156"/>
      <c r="O130" s="1156"/>
      <c r="P130" s="2685"/>
      <c r="Q130" s="504"/>
    </row>
    <row r="131" spans="1:17" ht="13.9" thickTop="1">
      <c r="A131" s="599"/>
      <c r="B131" s="546">
        <f>B47</f>
        <v>111</v>
      </c>
      <c r="C131" s="523"/>
      <c r="D131" s="523"/>
      <c r="E131" s="523"/>
      <c r="F131" s="523"/>
      <c r="G131" s="587"/>
      <c r="H131" s="587"/>
      <c r="I131" s="587"/>
      <c r="J131" s="587"/>
      <c r="K131" s="523"/>
      <c r="L131" s="524"/>
      <c r="M131" s="590"/>
      <c r="N131" s="1155"/>
      <c r="O131" s="1155"/>
      <c r="P131" s="2685"/>
      <c r="Q131" s="504"/>
    </row>
    <row r="132" spans="1:17" ht="14.2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J10" sqref="J10"/>
    </sheetView>
  </sheetViews>
  <sheetFormatPr defaultColWidth="9" defaultRowHeight="13.5"/>
  <cols>
    <col min="1" max="1" width="10.46484375" style="403" customWidth="1"/>
    <col min="2" max="2" width="15.73046875" style="403" customWidth="1"/>
    <col min="3" max="3" width="14.3984375" style="403" customWidth="1"/>
    <col min="4" max="4" width="12.265625" style="403" customWidth="1"/>
    <col min="5" max="5" width="14.3984375" style="403" customWidth="1"/>
    <col min="6" max="6" width="12.265625" style="403" customWidth="1"/>
    <col min="7" max="7" width="14.46484375" style="403" customWidth="1"/>
    <col min="8" max="8" width="12.265625" style="403" customWidth="1"/>
    <col min="9" max="9" width="14.46484375" style="403" customWidth="1"/>
    <col min="10" max="10" width="12.265625" style="403" customWidth="1"/>
    <col min="11" max="11" width="12.265625" style="495" customWidth="1"/>
    <col min="12" max="12" width="12.265625" style="496" customWidth="1"/>
    <col min="13" max="15" width="12.265625" style="403" customWidth="1"/>
    <col min="16" max="16" width="4.73046875" style="403" customWidth="1"/>
    <col min="17" max="17" width="19.46484375" style="403" customWidth="1"/>
    <col min="18" max="22" width="6.1328125" style="403" customWidth="1"/>
    <col min="23" max="23" width="5.73046875" style="403" customWidth="1"/>
    <col min="24" max="24" width="4.265625" style="403" customWidth="1"/>
    <col min="25" max="25" width="3.46484375" style="403" customWidth="1"/>
    <col min="26" max="26" width="19.73046875" style="403" customWidth="1"/>
    <col min="27" max="28" width="9.3984375" style="403" customWidth="1"/>
    <col min="29" max="16384" width="9" style="403"/>
  </cols>
  <sheetData>
    <row r="1" spans="1:29" s="1632" customFormat="1" ht="28.5" customHeight="1" thickBot="1">
      <c r="A1" s="1621" t="s">
        <v>2510</v>
      </c>
      <c r="B1" s="2670" t="s">
        <v>2684</v>
      </c>
      <c r="C1" s="1623" t="s">
        <v>2512</v>
      </c>
      <c r="D1" s="1624"/>
      <c r="E1" s="1633"/>
      <c r="F1" s="2585"/>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2312</v>
      </c>
      <c r="B2" s="1421" t="e">
        <f ca="1">IF(C2="——",ROUND(C43*D3/10000,0),ROUND(C43*D3/10000,0)-D2)</f>
        <v>#DIV/0!</v>
      </c>
      <c r="C2" s="2587"/>
      <c r="D2" s="1127" t="e">
        <f ca="1">SUMIF(INDIRECT("'"&amp;F2&amp;"'"&amp;"!A:A"),"承租人权益价值",INDIRECT("'"&amp;F2&amp;"'"&amp;"!c:c"))</f>
        <v>#REF!</v>
      </c>
      <c r="E2" s="2588" t="s">
        <v>2313</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2626</v>
      </c>
      <c r="D3" s="399">
        <f>IF(D1="",'数据-汇总表'!E3,SUMIF('数据-汇总表'!$C19:$C33,D1,'数据-汇总表'!$E19:$E33))</f>
        <v>166960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3.9">
      <c r="A4" s="401" t="s">
        <v>2627</v>
      </c>
      <c r="B4" s="402"/>
      <c r="C4" s="3259" t="s">
        <v>2628</v>
      </c>
      <c r="D4" s="3260"/>
      <c r="E4" s="3261" t="s">
        <v>2629</v>
      </c>
      <c r="F4" s="3262"/>
      <c r="G4" s="3259" t="s">
        <v>2630</v>
      </c>
      <c r="H4" s="3260"/>
      <c r="I4" s="3259" t="s">
        <v>2631</v>
      </c>
      <c r="J4" s="3260"/>
      <c r="K4" s="610" t="s">
        <v>2632</v>
      </c>
      <c r="L4" s="1133"/>
      <c r="M4" s="1134"/>
      <c r="N4" s="1134"/>
      <c r="O4" s="1134"/>
      <c r="P4" s="3263" t="s">
        <v>2633</v>
      </c>
      <c r="Q4" s="3264"/>
      <c r="R4" s="3246" t="s">
        <v>2629</v>
      </c>
      <c r="S4" s="3247"/>
      <c r="T4" s="3246" t="s">
        <v>2630</v>
      </c>
      <c r="U4" s="3247"/>
      <c r="V4" s="3271" t="s">
        <v>2631</v>
      </c>
      <c r="W4" s="3271"/>
      <c r="X4" s="1816"/>
      <c r="Y4" s="3246" t="s">
        <v>2633</v>
      </c>
      <c r="Z4" s="3247"/>
      <c r="AA4" s="3241" t="s">
        <v>2629</v>
      </c>
      <c r="AB4" s="3242" t="s">
        <v>2630</v>
      </c>
      <c r="AC4" s="3241" t="s">
        <v>2631</v>
      </c>
    </row>
    <row r="5" spans="1:29" ht="13.9">
      <c r="A5" s="404"/>
      <c r="B5" s="405"/>
      <c r="C5" s="3252" t="s">
        <v>2524</v>
      </c>
      <c r="D5" s="3253"/>
      <c r="E5" s="3250" t="s">
        <v>2525</v>
      </c>
      <c r="F5" s="3251"/>
      <c r="G5" s="3252" t="s">
        <v>2526</v>
      </c>
      <c r="H5" s="3253"/>
      <c r="I5" s="3252" t="s">
        <v>2527</v>
      </c>
      <c r="J5" s="3253"/>
      <c r="K5" s="610"/>
      <c r="L5" s="1133"/>
      <c r="M5" s="1134"/>
      <c r="N5" s="1134"/>
      <c r="O5" s="1134"/>
      <c r="P5" s="3265"/>
      <c r="Q5" s="3266"/>
      <c r="R5" s="3248"/>
      <c r="S5" s="3249"/>
      <c r="T5" s="3248"/>
      <c r="U5" s="3249"/>
      <c r="V5" s="3271"/>
      <c r="W5" s="3271"/>
      <c r="X5" s="1816"/>
      <c r="Y5" s="3248"/>
      <c r="Z5" s="3249"/>
      <c r="AA5" s="3242"/>
      <c r="AB5" s="3242"/>
      <c r="AC5" s="3242"/>
    </row>
    <row r="6" spans="1:29" ht="14.25" thickBot="1">
      <c r="A6" s="406"/>
      <c r="B6" s="407"/>
      <c r="C6" s="3254" t="s">
        <v>2528</v>
      </c>
      <c r="D6" s="3255"/>
      <c r="E6" s="3256" t="s">
        <v>2528</v>
      </c>
      <c r="F6" s="3257"/>
      <c r="G6" s="3254" t="s">
        <v>2528</v>
      </c>
      <c r="H6" s="3255"/>
      <c r="I6" s="3254" t="s">
        <v>2528</v>
      </c>
      <c r="J6" s="3255"/>
      <c r="K6" s="610" t="s">
        <v>2529</v>
      </c>
      <c r="L6" s="1133"/>
      <c r="M6" s="1134"/>
      <c r="N6" s="1134"/>
      <c r="O6" s="1134"/>
      <c r="P6" s="3267"/>
      <c r="Q6" s="3268"/>
      <c r="R6" s="3248"/>
      <c r="S6" s="3249"/>
      <c r="T6" s="3269"/>
      <c r="U6" s="3270"/>
      <c r="V6" s="3271"/>
      <c r="W6" s="3271"/>
      <c r="X6" s="1816"/>
      <c r="Y6" s="3269"/>
      <c r="Z6" s="3270"/>
      <c r="AA6" s="3243"/>
      <c r="AB6" s="3243"/>
      <c r="AC6" s="3243"/>
    </row>
    <row r="7" spans="1:29" s="117" customFormat="1" ht="14.25" thickBot="1">
      <c r="A7" s="408" t="s">
        <v>2530</v>
      </c>
      <c r="B7" s="409"/>
      <c r="C7" s="410">
        <f>'数据-取费表'!B2</f>
        <v>43215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4" t="s">
        <v>2531</v>
      </c>
      <c r="Q7" s="3272"/>
      <c r="R7" s="770" t="s">
        <v>17</v>
      </c>
      <c r="S7" s="771">
        <f t="shared" ref="S7:S15" si="0">F7</f>
        <v>0</v>
      </c>
      <c r="T7" s="770" t="s">
        <v>17</v>
      </c>
      <c r="U7" s="771">
        <f t="shared" ref="U7:U15" si="1">H7</f>
        <v>0</v>
      </c>
      <c r="V7" s="770" t="s">
        <v>17</v>
      </c>
      <c r="W7" s="771">
        <f t="shared" ref="W7:W15" si="2">J7</f>
        <v>0</v>
      </c>
      <c r="X7" s="772"/>
      <c r="Y7" s="3244" t="s">
        <v>2531</v>
      </c>
      <c r="Z7" s="3245"/>
      <c r="AA7" s="773" t="e">
        <f>D7/F7</f>
        <v>#DIV/0!</v>
      </c>
      <c r="AB7" s="773" t="e">
        <f>D7/H7</f>
        <v>#DIV/0!</v>
      </c>
      <c r="AC7" s="773" t="e">
        <f>D7/J7</f>
        <v>#DIV/0!</v>
      </c>
    </row>
    <row r="8" spans="1:29" s="117" customFormat="1" ht="14.25" thickBot="1">
      <c r="A8" s="408" t="s">
        <v>2532</v>
      </c>
      <c r="B8" s="409"/>
      <c r="C8" s="414" t="s">
        <v>2533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4" t="s">
        <v>2534</v>
      </c>
      <c r="Q8" s="3245"/>
      <c r="R8" s="770" t="s">
        <v>17</v>
      </c>
      <c r="S8" s="771">
        <f t="shared" si="0"/>
        <v>0</v>
      </c>
      <c r="T8" s="770" t="s">
        <v>17</v>
      </c>
      <c r="U8" s="771">
        <f t="shared" si="1"/>
        <v>0</v>
      </c>
      <c r="V8" s="770" t="s">
        <v>17</v>
      </c>
      <c r="W8" s="771">
        <f t="shared" si="2"/>
        <v>0</v>
      </c>
      <c r="X8" s="772"/>
      <c r="Y8" s="3244" t="s">
        <v>2534</v>
      </c>
      <c r="Z8" s="3245"/>
      <c r="AA8" s="773" t="e">
        <f t="shared" ref="AA8:AA40" si="3">D8/F8</f>
        <v>#DIV/0!</v>
      </c>
      <c r="AB8" s="773" t="e">
        <f t="shared" ref="AB8:AB40" si="4">D8/H8</f>
        <v>#DIV/0!</v>
      </c>
      <c r="AC8" s="773" t="e">
        <f t="shared" ref="AC8:AC40" si="5">D8/J8</f>
        <v>#DIV/0!</v>
      </c>
    </row>
    <row r="9" spans="1:29" s="117" customFormat="1">
      <c r="A9" s="415" t="s">
        <v>2535</v>
      </c>
      <c r="B9" s="71" t="s">
        <v>2536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76" t="s">
        <v>2537</v>
      </c>
      <c r="Q9" s="1798" t="str">
        <f t="shared" ref="Q9:Q15" si="6">B9</f>
        <v>用途</v>
      </c>
      <c r="R9" s="770" t="s">
        <v>17</v>
      </c>
      <c r="S9" s="771">
        <f t="shared" si="0"/>
        <v>100</v>
      </c>
      <c r="T9" s="770" t="s">
        <v>17</v>
      </c>
      <c r="U9" s="771">
        <f t="shared" si="1"/>
        <v>100</v>
      </c>
      <c r="V9" s="770" t="s">
        <v>17</v>
      </c>
      <c r="W9" s="771">
        <f t="shared" si="2"/>
        <v>100</v>
      </c>
      <c r="X9" s="772"/>
      <c r="Y9" s="3066"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76"/>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2540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76"/>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76"/>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76"/>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4"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76"/>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15">
      <c r="A15" s="440" t="s">
        <v>2541</v>
      </c>
      <c r="B15" s="69" t="s">
        <v>2685</v>
      </c>
      <c r="C15" s="2694">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8" t="s">
        <v>2542</v>
      </c>
      <c r="Q15" s="1813" t="str">
        <f t="shared" si="6"/>
        <v>产业集聚程度</v>
      </c>
      <c r="R15" s="774" t="s">
        <v>17</v>
      </c>
      <c r="S15" s="775">
        <f t="shared" si="0"/>
        <v>100</v>
      </c>
      <c r="T15" s="774" t="s">
        <v>17</v>
      </c>
      <c r="U15" s="775">
        <f t="shared" si="1"/>
        <v>100</v>
      </c>
      <c r="V15" s="774" t="s">
        <v>17</v>
      </c>
      <c r="W15" s="775">
        <f t="shared" si="2"/>
        <v>100</v>
      </c>
      <c r="X15" s="1816"/>
      <c r="Y15" s="3278" t="s">
        <v>2542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79"/>
      <c r="Q16" s="1813"/>
      <c r="R16" s="774"/>
      <c r="S16" s="775"/>
      <c r="T16" s="774"/>
      <c r="U16" s="775"/>
      <c r="V16" s="774"/>
      <c r="W16" s="775"/>
      <c r="X16" s="1816"/>
      <c r="Y16" s="3279"/>
      <c r="Z16" s="1817"/>
      <c r="AA16" s="1814">
        <v>1</v>
      </c>
      <c r="AB16" s="1814">
        <v>1</v>
      </c>
      <c r="AC16" s="1814">
        <v>1</v>
      </c>
    </row>
    <row r="17" spans="1:29" ht="15">
      <c r="A17" s="428"/>
      <c r="B17" s="451" t="s">
        <v>2086</v>
      </c>
      <c r="C17" s="2608">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9"/>
      <c r="Q17" s="1813" t="str">
        <f>B17</f>
        <v>交通便捷度</v>
      </c>
      <c r="R17" s="774" t="s">
        <v>17</v>
      </c>
      <c r="S17" s="775">
        <f>F17</f>
        <v>100</v>
      </c>
      <c r="T17" s="774" t="s">
        <v>17</v>
      </c>
      <c r="U17" s="775">
        <f>H17</f>
        <v>100</v>
      </c>
      <c r="V17" s="774" t="s">
        <v>17</v>
      </c>
      <c r="W17" s="775">
        <f>J17</f>
        <v>100</v>
      </c>
      <c r="X17" s="1816"/>
      <c r="Y17" s="3279"/>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79"/>
      <c r="Q18" s="1813"/>
      <c r="R18" s="774"/>
      <c r="S18" s="775"/>
      <c r="T18" s="774"/>
      <c r="U18" s="775"/>
      <c r="V18" s="774"/>
      <c r="W18" s="775"/>
      <c r="X18" s="1816"/>
      <c r="Y18" s="3279"/>
      <c r="Z18" s="1817"/>
      <c r="AA18" s="1814">
        <v>1</v>
      </c>
      <c r="AB18" s="1814">
        <v>1</v>
      </c>
      <c r="AC18" s="1814">
        <v>1</v>
      </c>
    </row>
    <row r="19" spans="1:29" ht="15">
      <c r="A19" s="428"/>
      <c r="B19" s="451" t="s">
        <v>2670</v>
      </c>
      <c r="C19" s="2608">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9"/>
      <c r="Q19" s="1813" t="str">
        <f>B19</f>
        <v>公共配套设施</v>
      </c>
      <c r="R19" s="774" t="s">
        <v>17</v>
      </c>
      <c r="S19" s="775">
        <f>F19</f>
        <v>100</v>
      </c>
      <c r="T19" s="774" t="s">
        <v>17</v>
      </c>
      <c r="U19" s="775">
        <f>H19</f>
        <v>100</v>
      </c>
      <c r="V19" s="774" t="s">
        <v>17</v>
      </c>
      <c r="W19" s="775">
        <f>J19</f>
        <v>100</v>
      </c>
      <c r="X19" s="1816"/>
      <c r="Y19" s="3279"/>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79"/>
      <c r="Q20" s="1813"/>
      <c r="R20" s="774"/>
      <c r="S20" s="775"/>
      <c r="T20" s="774"/>
      <c r="U20" s="775"/>
      <c r="V20" s="774"/>
      <c r="W20" s="775"/>
      <c r="X20" s="1816"/>
      <c r="Y20" s="3279"/>
      <c r="Z20" s="1817"/>
      <c r="AA20" s="1814">
        <v>1</v>
      </c>
      <c r="AB20" s="1814">
        <v>1</v>
      </c>
      <c r="AC20" s="1814">
        <v>1</v>
      </c>
    </row>
    <row r="21" spans="1:29" ht="15">
      <c r="A21" s="428"/>
      <c r="B21" s="1387" t="s">
        <v>2671</v>
      </c>
      <c r="C21" s="2608">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9"/>
      <c r="Q21" s="1813" t="str">
        <f>B21</f>
        <v>基础设施水平</v>
      </c>
      <c r="R21" s="774" t="s">
        <v>17</v>
      </c>
      <c r="S21" s="775">
        <f>F21</f>
        <v>100</v>
      </c>
      <c r="T21" s="774" t="s">
        <v>17</v>
      </c>
      <c r="U21" s="775">
        <f>H21</f>
        <v>100</v>
      </c>
      <c r="V21" s="774" t="s">
        <v>17</v>
      </c>
      <c r="W21" s="775">
        <f>J21</f>
        <v>100</v>
      </c>
      <c r="X21" s="1816"/>
      <c r="Y21" s="3279"/>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79"/>
      <c r="Q22" s="1813"/>
      <c r="R22" s="774"/>
      <c r="S22" s="775"/>
      <c r="T22" s="774"/>
      <c r="U22" s="775"/>
      <c r="V22" s="774"/>
      <c r="W22" s="775"/>
      <c r="X22" s="1816"/>
      <c r="Y22" s="3279"/>
      <c r="Z22" s="1817"/>
      <c r="AA22" s="1814">
        <v>1</v>
      </c>
      <c r="AB22" s="1814">
        <v>1</v>
      </c>
      <c r="AC22" s="1814">
        <v>1</v>
      </c>
    </row>
    <row r="23" spans="1:29" ht="15">
      <c r="A23" s="428"/>
      <c r="B23" s="451" t="s">
        <v>2672</v>
      </c>
      <c r="C23" s="2608">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9"/>
      <c r="Q23" s="1813" t="str">
        <f>B23</f>
        <v>环境质量</v>
      </c>
      <c r="R23" s="774" t="s">
        <v>17</v>
      </c>
      <c r="S23" s="775">
        <f>F23</f>
        <v>100</v>
      </c>
      <c r="T23" s="774" t="s">
        <v>17</v>
      </c>
      <c r="U23" s="775">
        <f>H23</f>
        <v>100</v>
      </c>
      <c r="V23" s="774" t="s">
        <v>17</v>
      </c>
      <c r="W23" s="775">
        <f>J23</f>
        <v>100</v>
      </c>
      <c r="X23" s="1816"/>
      <c r="Y23" s="3279"/>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79"/>
      <c r="Q24" s="1813"/>
      <c r="R24" s="774"/>
      <c r="S24" s="775"/>
      <c r="T24" s="774"/>
      <c r="U24" s="775"/>
      <c r="V24" s="774"/>
      <c r="W24" s="775"/>
      <c r="X24" s="1816"/>
      <c r="Y24" s="327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9"/>
      <c r="Q25" s="1813">
        <f>B25</f>
        <v>111</v>
      </c>
      <c r="R25" s="774" t="s">
        <v>17</v>
      </c>
      <c r="S25" s="775">
        <f>F25</f>
        <v>100</v>
      </c>
      <c r="T25" s="774" t="s">
        <v>17</v>
      </c>
      <c r="U25" s="775">
        <f>H25</f>
        <v>100</v>
      </c>
      <c r="V25" s="774" t="s">
        <v>17</v>
      </c>
      <c r="W25" s="775">
        <f>J25</f>
        <v>100</v>
      </c>
      <c r="X25" s="1816"/>
      <c r="Y25" s="327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9"/>
      <c r="Q26" s="1813">
        <f t="shared" ref="Q26:Q40" si="11">B26</f>
        <v>111</v>
      </c>
      <c r="R26" s="774" t="s">
        <v>17</v>
      </c>
      <c r="S26" s="775">
        <f>F26</f>
        <v>100</v>
      </c>
      <c r="T26" s="774" t="s">
        <v>17</v>
      </c>
      <c r="U26" s="775">
        <f>H26</f>
        <v>100</v>
      </c>
      <c r="V26" s="774" t="s">
        <v>17</v>
      </c>
      <c r="W26" s="775">
        <f>J26</f>
        <v>100</v>
      </c>
      <c r="X26" s="1816"/>
      <c r="Y26" s="327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9"/>
      <c r="Q27" s="1798">
        <f t="shared" si="11"/>
        <v>111</v>
      </c>
      <c r="R27" s="770" t="s">
        <v>17</v>
      </c>
      <c r="S27" s="771">
        <f>F27</f>
        <v>100</v>
      </c>
      <c r="T27" s="770" t="s">
        <v>17</v>
      </c>
      <c r="U27" s="771">
        <f>H27</f>
        <v>100</v>
      </c>
      <c r="V27" s="770" t="s">
        <v>17</v>
      </c>
      <c r="W27" s="771">
        <f>J27</f>
        <v>100</v>
      </c>
      <c r="X27" s="772"/>
      <c r="Y27" s="3279"/>
      <c r="Z27" s="55">
        <f>Q27</f>
        <v>111</v>
      </c>
      <c r="AA27" s="1814">
        <f>D27/F27</f>
        <v>1</v>
      </c>
      <c r="AB27" s="1814">
        <f>D27/H27</f>
        <v>1</v>
      </c>
      <c r="AC27" s="1814">
        <f>D27/J27</f>
        <v>1</v>
      </c>
    </row>
    <row r="28" spans="1:29" ht="15.4"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9"/>
      <c r="Q28" s="1813">
        <f t="shared" si="11"/>
        <v>111</v>
      </c>
      <c r="R28" s="774" t="s">
        <v>17</v>
      </c>
      <c r="S28" s="775">
        <f t="shared" ref="S28:S40" si="12">F28</f>
        <v>100</v>
      </c>
      <c r="T28" s="774" t="s">
        <v>17</v>
      </c>
      <c r="U28" s="775">
        <f t="shared" ref="U28:U40" si="13">H28</f>
        <v>100</v>
      </c>
      <c r="V28" s="774" t="s">
        <v>17</v>
      </c>
      <c r="W28" s="775">
        <f t="shared" ref="W28:W40" si="14">J28</f>
        <v>100</v>
      </c>
      <c r="X28" s="1816"/>
      <c r="Y28" s="3279"/>
      <c r="Z28" s="1817">
        <f t="shared" ref="Z28:Z40" si="15">Q28</f>
        <v>111</v>
      </c>
      <c r="AA28" s="1814">
        <f t="shared" si="3"/>
        <v>1</v>
      </c>
      <c r="AB28" s="1814">
        <f t="shared" si="4"/>
        <v>1</v>
      </c>
      <c r="AC28" s="1814">
        <f t="shared" si="5"/>
        <v>1</v>
      </c>
    </row>
    <row r="29" spans="1:29" ht="15">
      <c r="A29" s="466" t="s">
        <v>2545</v>
      </c>
      <c r="B29" s="71" t="s">
        <v>2675</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302" t="s">
        <v>2547</v>
      </c>
      <c r="Q29" s="1813" t="str">
        <f t="shared" si="11"/>
        <v>建筑类型</v>
      </c>
      <c r="R29" s="774" t="s">
        <v>17</v>
      </c>
      <c r="S29" s="775">
        <f t="shared" si="12"/>
        <v>100</v>
      </c>
      <c r="T29" s="774" t="s">
        <v>17</v>
      </c>
      <c r="U29" s="775">
        <f t="shared" si="13"/>
        <v>100</v>
      </c>
      <c r="V29" s="774" t="s">
        <v>17</v>
      </c>
      <c r="W29" s="775">
        <f t="shared" si="14"/>
        <v>100</v>
      </c>
      <c r="X29" s="1816"/>
      <c r="Y29" s="3283" t="s">
        <v>2547</v>
      </c>
      <c r="Z29" s="1817" t="str">
        <f t="shared" si="15"/>
        <v>建筑类型</v>
      </c>
      <c r="AA29" s="1814">
        <f t="shared" si="3"/>
        <v>1</v>
      </c>
      <c r="AB29" s="1814">
        <f t="shared" si="4"/>
        <v>1</v>
      </c>
      <c r="AC29" s="1814">
        <f t="shared" si="5"/>
        <v>1</v>
      </c>
    </row>
    <row r="30" spans="1:29" s="471" customFormat="1" ht="15">
      <c r="A30" s="468"/>
      <c r="B30" s="422" t="s">
        <v>2548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83"/>
      <c r="Q30" s="776" t="str">
        <f t="shared" si="11"/>
        <v>项目建筑规模</v>
      </c>
      <c r="R30" s="777" t="s">
        <v>17</v>
      </c>
      <c r="S30" s="778" t="e">
        <f t="shared" si="12"/>
        <v>#N/A</v>
      </c>
      <c r="T30" s="777" t="s">
        <v>17</v>
      </c>
      <c r="U30" s="778" t="e">
        <f t="shared" si="13"/>
        <v>#N/A</v>
      </c>
      <c r="V30" s="777" t="s">
        <v>17</v>
      </c>
      <c r="W30" s="778" t="e">
        <f t="shared" si="14"/>
        <v>#N/A</v>
      </c>
      <c r="X30" s="779"/>
      <c r="Y30" s="3283"/>
      <c r="Z30" s="780" t="str">
        <f t="shared" si="15"/>
        <v>项目建筑规模</v>
      </c>
      <c r="AA30" s="1814" t="e">
        <f t="shared" si="3"/>
        <v>#N/A</v>
      </c>
      <c r="AB30" s="1814" t="e">
        <f t="shared" si="4"/>
        <v>#N/A</v>
      </c>
      <c r="AC30" s="1814" t="e">
        <f t="shared" si="5"/>
        <v>#N/A</v>
      </c>
    </row>
    <row r="31" spans="1:29" ht="15">
      <c r="A31" s="472"/>
      <c r="B31" s="422" t="s">
        <v>2549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3"/>
      <c r="Q31" s="1813" t="str">
        <f t="shared" si="11"/>
        <v>建筑结构</v>
      </c>
      <c r="R31" s="774" t="s">
        <v>17</v>
      </c>
      <c r="S31" s="775">
        <f t="shared" si="12"/>
        <v>100</v>
      </c>
      <c r="T31" s="774" t="s">
        <v>17</v>
      </c>
      <c r="U31" s="775">
        <f t="shared" si="13"/>
        <v>100</v>
      </c>
      <c r="V31" s="774" t="s">
        <v>17</v>
      </c>
      <c r="W31" s="775">
        <f t="shared" si="14"/>
        <v>100</v>
      </c>
      <c r="X31" s="1816"/>
      <c r="Y31" s="3283"/>
      <c r="Z31" s="1817" t="str">
        <f t="shared" si="15"/>
        <v>建筑结构</v>
      </c>
      <c r="AA31" s="1814">
        <f t="shared" si="3"/>
        <v>1</v>
      </c>
      <c r="AB31" s="1814">
        <f t="shared" si="4"/>
        <v>1</v>
      </c>
      <c r="AC31" s="1814">
        <f t="shared" si="5"/>
        <v>1</v>
      </c>
    </row>
    <row r="32" spans="1:29" ht="15">
      <c r="A32" s="472"/>
      <c r="B32" s="422" t="s">
        <v>2643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3"/>
      <c r="Q32" s="1813" t="str">
        <f t="shared" si="11"/>
        <v>公共部分装修</v>
      </c>
      <c r="R32" s="774" t="s">
        <v>17</v>
      </c>
      <c r="S32" s="775">
        <f t="shared" si="12"/>
        <v>100</v>
      </c>
      <c r="T32" s="774" t="s">
        <v>17</v>
      </c>
      <c r="U32" s="775">
        <f t="shared" si="13"/>
        <v>100</v>
      </c>
      <c r="V32" s="774" t="s">
        <v>17</v>
      </c>
      <c r="W32" s="775">
        <f t="shared" si="14"/>
        <v>100</v>
      </c>
      <c r="X32" s="1816"/>
      <c r="Y32" s="3283"/>
      <c r="Z32" s="1817" t="str">
        <f t="shared" si="15"/>
        <v>公共部分装修</v>
      </c>
      <c r="AA32" s="1814">
        <f t="shared" si="3"/>
        <v>1</v>
      </c>
      <c r="AB32" s="1814">
        <f t="shared" si="4"/>
        <v>1</v>
      </c>
      <c r="AC32" s="1814">
        <f t="shared" si="5"/>
        <v>1</v>
      </c>
    </row>
    <row r="33" spans="1:29" ht="15">
      <c r="A33" s="472"/>
      <c r="B33" s="422" t="s">
        <v>2644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3"/>
      <c r="Q33" s="1813" t="str">
        <f t="shared" si="11"/>
        <v>成新度</v>
      </c>
      <c r="R33" s="774" t="s">
        <v>17</v>
      </c>
      <c r="S33" s="775" t="e">
        <f t="shared" si="12"/>
        <v>#N/A</v>
      </c>
      <c r="T33" s="774" t="s">
        <v>17</v>
      </c>
      <c r="U33" s="775" t="e">
        <f t="shared" si="13"/>
        <v>#N/A</v>
      </c>
      <c r="V33" s="774" t="s">
        <v>17</v>
      </c>
      <c r="W33" s="775" t="e">
        <f t="shared" si="14"/>
        <v>#N/A</v>
      </c>
      <c r="X33" s="1816"/>
      <c r="Y33" s="3283"/>
      <c r="Z33" s="1817" t="str">
        <f t="shared" si="15"/>
        <v>成新度</v>
      </c>
      <c r="AA33" s="1814" t="e">
        <f t="shared" si="3"/>
        <v>#N/A</v>
      </c>
      <c r="AB33" s="1814" t="e">
        <f t="shared" si="4"/>
        <v>#N/A</v>
      </c>
      <c r="AC33" s="1814" t="e">
        <f t="shared" si="5"/>
        <v>#N/A</v>
      </c>
    </row>
    <row r="34" spans="1:29" s="117" customFormat="1" ht="15">
      <c r="A34" s="473"/>
      <c r="B34" s="422" t="s">
        <v>2677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3"/>
      <c r="Q34" s="1798" t="str">
        <f t="shared" si="11"/>
        <v>物业管理</v>
      </c>
      <c r="R34" s="770" t="s">
        <v>17</v>
      </c>
      <c r="S34" s="771">
        <f t="shared" si="12"/>
        <v>100</v>
      </c>
      <c r="T34" s="770" t="s">
        <v>17</v>
      </c>
      <c r="U34" s="771">
        <f t="shared" si="13"/>
        <v>100</v>
      </c>
      <c r="V34" s="770" t="s">
        <v>17</v>
      </c>
      <c r="W34" s="771">
        <f t="shared" si="14"/>
        <v>100</v>
      </c>
      <c r="X34" s="772"/>
      <c r="Y34" s="3283"/>
      <c r="Z34" s="55" t="str">
        <f t="shared" si="15"/>
        <v>物业管理</v>
      </c>
      <c r="AA34" s="773">
        <f t="shared" si="3"/>
        <v>1</v>
      </c>
      <c r="AB34" s="773">
        <f t="shared" si="4"/>
        <v>1</v>
      </c>
      <c r="AC34" s="773">
        <f t="shared" si="5"/>
        <v>1</v>
      </c>
    </row>
    <row r="35" spans="1:29" ht="15">
      <c r="A35" s="472"/>
      <c r="B35" s="422" t="s">
        <v>2645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3" t="s">
        <v>2547</v>
      </c>
      <c r="Q35" s="1813" t="str">
        <f t="shared" si="11"/>
        <v>市政基础设施</v>
      </c>
      <c r="R35" s="774" t="s">
        <v>17</v>
      </c>
      <c r="S35" s="775">
        <f t="shared" si="12"/>
        <v>100</v>
      </c>
      <c r="T35" s="774" t="s">
        <v>17</v>
      </c>
      <c r="U35" s="775">
        <f t="shared" si="13"/>
        <v>100</v>
      </c>
      <c r="V35" s="774" t="s">
        <v>17</v>
      </c>
      <c r="W35" s="775">
        <f t="shared" si="14"/>
        <v>100</v>
      </c>
      <c r="X35" s="1816"/>
      <c r="Y35" s="3283" t="s">
        <v>2547</v>
      </c>
      <c r="Z35" s="1817" t="str">
        <f t="shared" si="15"/>
        <v>市政基础设施</v>
      </c>
      <c r="AA35" s="1814">
        <f t="shared" si="3"/>
        <v>1</v>
      </c>
      <c r="AB35" s="1814">
        <f t="shared" si="4"/>
        <v>1</v>
      </c>
      <c r="AC35" s="1814">
        <f t="shared" si="5"/>
        <v>1</v>
      </c>
    </row>
    <row r="36" spans="1:29" ht="15">
      <c r="A36" s="472"/>
      <c r="B36" s="422" t="s">
        <v>2650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3"/>
      <c r="Q36" s="1813" t="str">
        <f t="shared" si="11"/>
        <v>内部装修</v>
      </c>
      <c r="R36" s="774" t="s">
        <v>17</v>
      </c>
      <c r="S36" s="775">
        <f t="shared" si="12"/>
        <v>100</v>
      </c>
      <c r="T36" s="774" t="s">
        <v>17</v>
      </c>
      <c r="U36" s="775">
        <f t="shared" si="13"/>
        <v>100</v>
      </c>
      <c r="V36" s="774" t="s">
        <v>17</v>
      </c>
      <c r="W36" s="775">
        <f t="shared" si="14"/>
        <v>100</v>
      </c>
      <c r="X36" s="1816"/>
      <c r="Y36" s="3283"/>
      <c r="Z36" s="1817" t="str">
        <f t="shared" si="15"/>
        <v>内部装修</v>
      </c>
      <c r="AA36" s="1814">
        <f t="shared" si="3"/>
        <v>1</v>
      </c>
      <c r="AB36" s="1814">
        <f t="shared" si="4"/>
        <v>1</v>
      </c>
      <c r="AC36" s="1814">
        <f t="shared" si="5"/>
        <v>1</v>
      </c>
    </row>
    <row r="37" spans="1:29" ht="15">
      <c r="A37" s="472"/>
      <c r="B37" s="422" t="s">
        <v>2686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3"/>
      <c r="Q37" s="1813" t="str">
        <f t="shared" si="11"/>
        <v>内部装修状况</v>
      </c>
      <c r="R37" s="774" t="s">
        <v>17</v>
      </c>
      <c r="S37" s="775">
        <f t="shared" si="12"/>
        <v>100</v>
      </c>
      <c r="T37" s="774" t="s">
        <v>17</v>
      </c>
      <c r="U37" s="775">
        <f t="shared" si="13"/>
        <v>100</v>
      </c>
      <c r="V37" s="774" t="s">
        <v>17</v>
      </c>
      <c r="W37" s="775">
        <f t="shared" si="14"/>
        <v>100</v>
      </c>
      <c r="X37" s="1816"/>
      <c r="Y37" s="328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3"/>
      <c r="Q38" s="776">
        <f t="shared" si="11"/>
        <v>111</v>
      </c>
      <c r="R38" s="777" t="s">
        <v>17</v>
      </c>
      <c r="S38" s="778">
        <f t="shared" si="12"/>
        <v>100</v>
      </c>
      <c r="T38" s="777" t="s">
        <v>17</v>
      </c>
      <c r="U38" s="778">
        <f t="shared" si="13"/>
        <v>100</v>
      </c>
      <c r="V38" s="777" t="s">
        <v>17</v>
      </c>
      <c r="W38" s="778">
        <f t="shared" si="14"/>
        <v>100</v>
      </c>
      <c r="X38" s="779"/>
      <c r="Y38" s="328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3"/>
      <c r="Q39" s="1813">
        <f t="shared" si="11"/>
        <v>111</v>
      </c>
      <c r="R39" s="774" t="s">
        <v>17</v>
      </c>
      <c r="S39" s="775">
        <f t="shared" si="12"/>
        <v>100</v>
      </c>
      <c r="T39" s="774" t="s">
        <v>17</v>
      </c>
      <c r="U39" s="775">
        <f t="shared" si="13"/>
        <v>100</v>
      </c>
      <c r="V39" s="774" t="s">
        <v>17</v>
      </c>
      <c r="W39" s="775">
        <f t="shared" si="14"/>
        <v>100</v>
      </c>
      <c r="X39" s="1816"/>
      <c r="Y39" s="3283"/>
      <c r="Z39" s="1817">
        <f t="shared" si="15"/>
        <v>111</v>
      </c>
      <c r="AA39" s="1814">
        <f t="shared" si="3"/>
        <v>1</v>
      </c>
      <c r="AB39" s="1814">
        <f t="shared" si="4"/>
        <v>1</v>
      </c>
      <c r="AC39" s="1814">
        <f t="shared" si="5"/>
        <v>1</v>
      </c>
    </row>
    <row r="40" spans="1:29" ht="15.4"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4"/>
      <c r="Q40" s="1813">
        <f t="shared" si="11"/>
        <v>111</v>
      </c>
      <c r="R40" s="774" t="s">
        <v>17</v>
      </c>
      <c r="S40" s="775">
        <f t="shared" si="12"/>
        <v>100</v>
      </c>
      <c r="T40" s="774" t="s">
        <v>17</v>
      </c>
      <c r="U40" s="775">
        <f t="shared" si="13"/>
        <v>100</v>
      </c>
      <c r="V40" s="774" t="s">
        <v>17</v>
      </c>
      <c r="W40" s="775">
        <f t="shared" si="14"/>
        <v>100</v>
      </c>
      <c r="X40" s="1816"/>
      <c r="Y40" s="3284"/>
      <c r="Z40" s="1817">
        <f t="shared" si="15"/>
        <v>111</v>
      </c>
      <c r="AA40" s="1814">
        <f t="shared" si="3"/>
        <v>1</v>
      </c>
      <c r="AB40" s="1814">
        <f t="shared" si="4"/>
        <v>1</v>
      </c>
      <c r="AC40" s="1814">
        <f t="shared" si="5"/>
        <v>1</v>
      </c>
    </row>
    <row r="41" spans="1:29" ht="13.9">
      <c r="A41" s="479" t="s">
        <v>2559</v>
      </c>
      <c r="B41" s="480"/>
      <c r="C41" s="1410" t="s">
        <v>1</v>
      </c>
      <c r="D41" s="1411"/>
      <c r="E41" s="1412"/>
      <c r="F41" s="1413"/>
      <c r="G41" s="1414"/>
      <c r="H41" s="1415"/>
      <c r="I41" s="1412"/>
      <c r="J41" s="1415"/>
      <c r="K41" s="783"/>
      <c r="L41" s="1146"/>
      <c r="M41" s="1147"/>
      <c r="N41" s="1134"/>
      <c r="O41" s="1147"/>
      <c r="P41" s="3276" t="str">
        <f>A41</f>
        <v>成交单价（元/平方米）</v>
      </c>
      <c r="Q41" s="3276"/>
      <c r="R41" s="3277">
        <f>E41</f>
        <v>0</v>
      </c>
      <c r="S41" s="3277"/>
      <c r="T41" s="3277">
        <f>G41</f>
        <v>0</v>
      </c>
      <c r="U41" s="3277"/>
      <c r="V41" s="3277">
        <f>I41</f>
        <v>0</v>
      </c>
      <c r="W41" s="3277"/>
      <c r="X41" s="759"/>
      <c r="Y41" s="781"/>
      <c r="Z41" s="759"/>
      <c r="AA41" s="759"/>
      <c r="AB41" s="759"/>
      <c r="AC41" s="759"/>
    </row>
    <row r="42" spans="1:29" ht="14.25" thickBot="1">
      <c r="A42" s="486" t="s">
        <v>2651</v>
      </c>
      <c r="B42" s="487"/>
      <c r="C42" s="1416" t="e">
        <f>R43</f>
        <v>#DIV/0!</v>
      </c>
      <c r="D42" s="1417"/>
      <c r="E42" s="1418" t="e">
        <f>R42</f>
        <v>#DIV/0!</v>
      </c>
      <c r="F42" s="1418"/>
      <c r="G42" s="1416" t="e">
        <f>T42</f>
        <v>#DIV/0!</v>
      </c>
      <c r="H42" s="1417"/>
      <c r="I42" s="1418" t="e">
        <f>V42</f>
        <v>#DIV/0!</v>
      </c>
      <c r="J42" s="1417"/>
      <c r="K42" s="784"/>
      <c r="L42" s="1146"/>
      <c r="M42" s="1147"/>
      <c r="N42" s="1134"/>
      <c r="O42" s="1147"/>
      <c r="P42" s="3276" t="str">
        <f>A42</f>
        <v>比较价值（元/平方米）</v>
      </c>
      <c r="Q42" s="3276"/>
      <c r="R42" s="3277" t="e">
        <f>IF(F1="售价",ROUND(PRODUCT(R41,AA7:AA40),0),ROUND(PRODUCT(R41,AA7:AA40),1))</f>
        <v>#DIV/0!</v>
      </c>
      <c r="S42" s="3277"/>
      <c r="T42" s="3277" t="e">
        <f>IF(F1="售价",ROUND(PRODUCT(T41,AB7:AB40),0),ROUND(PRODUCT(T41,AB7:AB40),1))</f>
        <v>#DIV/0!</v>
      </c>
      <c r="U42" s="3277"/>
      <c r="V42" s="3277" t="e">
        <f>IF(F1="售价",ROUND(PRODUCT(V41,AC7:AC40),0),ROUND(PRODUCT(V41,AC7:AC40),1))</f>
        <v>#DIV/0!</v>
      </c>
      <c r="W42" s="3277"/>
      <c r="X42" s="759"/>
      <c r="Y42" s="759"/>
      <c r="Z42" s="759"/>
      <c r="AA42" s="759"/>
      <c r="AB42" s="759"/>
      <c r="AC42" s="759"/>
    </row>
    <row r="43" spans="1:29" ht="14.25" thickBot="1">
      <c r="A43" s="492" t="s">
        <v>2652</v>
      </c>
      <c r="B43" s="493"/>
      <c r="C43" s="1420" t="e">
        <f>R43</f>
        <v>#DIV/0!</v>
      </c>
      <c r="D43" s="1420"/>
      <c r="E43" s="1420"/>
      <c r="F43" s="1420"/>
      <c r="G43" s="1420"/>
      <c r="H43" s="1420"/>
      <c r="I43" s="1420"/>
      <c r="J43" s="1420"/>
      <c r="K43" s="785"/>
      <c r="L43" s="1146"/>
      <c r="M43" s="1147"/>
      <c r="N43" s="1147"/>
      <c r="O43" s="1147"/>
      <c r="P43" s="3273" t="str">
        <f>A43</f>
        <v>估价对象XX用房的比较价值（楼面单价，元/平方米）</v>
      </c>
      <c r="Q43" s="3274"/>
      <c r="R43" s="3275" t="e">
        <f>IF(F1="售价",ROUND(AVERAGE(R42:V42),0),ROUND(AVERAGE(R42:V42),1))</f>
        <v>#DIV/0!</v>
      </c>
      <c r="S43" s="3275"/>
      <c r="T43" s="3275"/>
      <c r="U43" s="3275"/>
      <c r="V43" s="3275"/>
      <c r="W43" s="327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2656</v>
      </c>
      <c r="B51" s="759"/>
      <c r="C51" s="764"/>
      <c r="D51" s="764"/>
      <c r="E51" s="764"/>
      <c r="F51" s="765"/>
      <c r="G51" s="765"/>
      <c r="H51" s="764"/>
      <c r="I51" s="764"/>
      <c r="J51" s="764"/>
      <c r="K51" s="1163"/>
      <c r="L51" s="1164"/>
      <c r="M51" s="1162"/>
      <c r="N51" s="1162"/>
      <c r="O51" s="1162"/>
      <c r="P51" s="503"/>
      <c r="Q51" s="504"/>
    </row>
    <row r="52" spans="1:17" s="508" customFormat="1" ht="13.9">
      <c r="A52" s="505" t="s">
        <v>2530</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3.9">
      <c r="A53" s="509"/>
      <c r="B53" s="510"/>
      <c r="C53" s="1576">
        <v>100</v>
      </c>
      <c r="D53" s="512"/>
      <c r="E53" s="512"/>
      <c r="F53" s="512"/>
      <c r="G53" s="512"/>
      <c r="H53" s="512"/>
      <c r="I53" s="512"/>
      <c r="J53" s="512"/>
      <c r="K53" s="512"/>
      <c r="L53" s="512"/>
      <c r="M53" s="513"/>
      <c r="N53" s="512"/>
      <c r="O53" s="514"/>
      <c r="P53" s="504"/>
    </row>
    <row r="54" spans="1:17" s="117" customFormat="1" ht="14.25" thickBot="1">
      <c r="A54" s="515" t="s">
        <v>2567</v>
      </c>
      <c r="B54" s="516"/>
      <c r="C54" s="517"/>
      <c r="D54" s="518"/>
      <c r="E54" s="518"/>
      <c r="F54" s="518"/>
      <c r="G54" s="518"/>
      <c r="H54" s="518"/>
      <c r="I54" s="518"/>
      <c r="J54" s="518"/>
      <c r="K54" s="518"/>
      <c r="L54" s="518"/>
      <c r="M54" s="519"/>
      <c r="N54" s="518"/>
      <c r="O54" s="520"/>
      <c r="P54" s="504"/>
      <c r="Q54" s="504"/>
    </row>
    <row r="55" spans="1:17" s="117" customFormat="1" ht="13.9">
      <c r="A55" s="521" t="s">
        <v>2532</v>
      </c>
      <c r="B55" s="510"/>
      <c r="C55" s="522" t="s">
        <v>2634</v>
      </c>
      <c r="D55" s="523"/>
      <c r="E55" s="523"/>
      <c r="F55" s="523"/>
      <c r="G55" s="523"/>
      <c r="H55" s="523"/>
      <c r="I55" s="523"/>
      <c r="J55" s="523"/>
      <c r="K55" s="523"/>
      <c r="L55" s="524"/>
      <c r="M55" s="525"/>
      <c r="N55" s="1154"/>
      <c r="O55" s="1154"/>
      <c r="P55" s="526"/>
      <c r="Q55" s="504"/>
    </row>
    <row r="56" spans="1:17" s="117" customFormat="1" ht="14.25" thickBot="1">
      <c r="A56" s="521"/>
      <c r="B56" s="510"/>
      <c r="C56" s="639">
        <v>100</v>
      </c>
      <c r="D56" s="512"/>
      <c r="E56" s="512"/>
      <c r="F56" s="512"/>
      <c r="G56" s="512"/>
      <c r="H56" s="512"/>
      <c r="I56" s="512"/>
      <c r="J56" s="512"/>
      <c r="K56" s="512"/>
      <c r="L56" s="512"/>
      <c r="M56" s="514"/>
      <c r="N56" s="1154"/>
      <c r="O56" s="1154"/>
      <c r="P56" s="504"/>
      <c r="Q56" s="504"/>
    </row>
    <row r="57" spans="1:17">
      <c r="A57" s="527" t="s">
        <v>2570</v>
      </c>
      <c r="B57" s="528" t="s">
        <v>2536</v>
      </c>
      <c r="C57" s="529">
        <f>C9</f>
        <v>0</v>
      </c>
      <c r="D57" s="530"/>
      <c r="E57" s="530"/>
      <c r="F57" s="530"/>
      <c r="G57" s="530"/>
      <c r="H57" s="530"/>
      <c r="I57" s="530"/>
      <c r="J57" s="530"/>
      <c r="K57" s="531"/>
      <c r="L57" s="532"/>
      <c r="M57" s="533"/>
      <c r="N57" s="1155"/>
      <c r="O57" s="1155"/>
      <c r="P57" s="45"/>
      <c r="Q57" s="504"/>
    </row>
    <row r="58" spans="1:17" ht="14.25" thickBot="1">
      <c r="A58" s="534"/>
      <c r="B58" s="535"/>
      <c r="C58" s="536">
        <v>100</v>
      </c>
      <c r="D58" s="536"/>
      <c r="E58" s="536"/>
      <c r="F58" s="536"/>
      <c r="G58" s="536"/>
      <c r="H58" s="536"/>
      <c r="I58" s="536"/>
      <c r="J58" s="536"/>
      <c r="K58" s="536"/>
      <c r="L58" s="536"/>
      <c r="M58" s="537"/>
      <c r="N58" s="1156"/>
      <c r="O58" s="1156"/>
      <c r="P58" s="45"/>
      <c r="Q58" s="504"/>
    </row>
    <row r="59" spans="1:17" ht="27.4" thickTop="1">
      <c r="A59" s="534"/>
      <c r="B59" s="538" t="s">
        <v>2539</v>
      </c>
      <c r="C59" s="539" t="s">
        <v>2571</v>
      </c>
      <c r="D59" s="539" t="s">
        <v>2572</v>
      </c>
      <c r="E59" s="539" t="s">
        <v>2573</v>
      </c>
      <c r="F59" s="539" t="s">
        <v>2574</v>
      </c>
      <c r="G59" s="539" t="s">
        <v>2575</v>
      </c>
      <c r="H59" s="539" t="s">
        <v>2576</v>
      </c>
      <c r="I59" s="539" t="s">
        <v>2577</v>
      </c>
      <c r="J59" s="539"/>
      <c r="K59" s="540"/>
      <c r="L59" s="541"/>
      <c r="M59" s="542"/>
      <c r="N59" s="1155"/>
      <c r="O59" s="1155"/>
      <c r="P59" s="45"/>
      <c r="Q59" s="504"/>
    </row>
    <row r="60" spans="1:17" ht="14.2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4.25" thickTop="1">
      <c r="A61" s="534"/>
      <c r="B61" s="546" t="s">
        <v>2540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3.9">
      <c r="A62" s="534"/>
      <c r="B62" s="548"/>
      <c r="C62" s="549"/>
      <c r="D62" s="549"/>
      <c r="E62" s="549"/>
      <c r="F62" s="549"/>
      <c r="G62" s="549"/>
      <c r="H62" s="549"/>
      <c r="I62" s="549"/>
      <c r="J62" s="549"/>
      <c r="K62" s="550"/>
      <c r="L62" s="551"/>
      <c r="M62" s="552"/>
      <c r="N62" s="1155"/>
      <c r="O62" s="1155"/>
      <c r="P62" s="45"/>
      <c r="Q62" s="504"/>
    </row>
    <row r="63" spans="1:17" ht="14.2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25" thickTop="1">
      <c r="A64" s="553"/>
      <c r="B64" s="538">
        <f>B12</f>
        <v>111</v>
      </c>
      <c r="C64" s="554"/>
      <c r="D64" s="554"/>
      <c r="E64" s="554"/>
      <c r="F64" s="554"/>
      <c r="G64" s="554"/>
      <c r="H64" s="555"/>
      <c r="I64" s="555"/>
      <c r="J64" s="555"/>
      <c r="K64" s="555"/>
      <c r="L64" s="556"/>
      <c r="M64" s="557"/>
      <c r="N64" s="1157"/>
      <c r="O64" s="1157"/>
      <c r="P64" s="558"/>
      <c r="Q64" s="559"/>
    </row>
    <row r="65" spans="1:17" s="471" customFormat="1" ht="14.25" thickBot="1">
      <c r="A65" s="553"/>
      <c r="B65" s="543"/>
      <c r="C65" s="560"/>
      <c r="D65" s="536"/>
      <c r="E65" s="536"/>
      <c r="F65" s="536"/>
      <c r="G65" s="536"/>
      <c r="H65" s="536"/>
      <c r="I65" s="536"/>
      <c r="J65" s="536"/>
      <c r="K65" s="536"/>
      <c r="L65" s="536"/>
      <c r="M65" s="537"/>
      <c r="N65" s="1156"/>
      <c r="O65" s="1156"/>
      <c r="P65" s="558"/>
      <c r="Q65" s="559"/>
    </row>
    <row r="66" spans="1:17" s="471" customFormat="1" ht="14.25" thickTop="1">
      <c r="A66" s="553"/>
      <c r="B66" s="538">
        <f>B13</f>
        <v>111</v>
      </c>
      <c r="C66" s="554"/>
      <c r="D66" s="554"/>
      <c r="E66" s="554"/>
      <c r="F66" s="554"/>
      <c r="G66" s="554"/>
      <c r="H66" s="555"/>
      <c r="I66" s="555"/>
      <c r="J66" s="555"/>
      <c r="K66" s="555"/>
      <c r="L66" s="556"/>
      <c r="M66" s="557"/>
      <c r="N66" s="1157"/>
      <c r="O66" s="1157"/>
      <c r="P66" s="470"/>
      <c r="Q66" s="561"/>
    </row>
    <row r="67" spans="1:17" s="471" customFormat="1" ht="14.25" thickBot="1">
      <c r="A67" s="553"/>
      <c r="B67" s="543"/>
      <c r="C67" s="560"/>
      <c r="D67" s="536"/>
      <c r="E67" s="536"/>
      <c r="F67" s="536"/>
      <c r="G67" s="560"/>
      <c r="H67" s="562"/>
      <c r="I67" s="562"/>
      <c r="J67" s="562"/>
      <c r="K67" s="562"/>
      <c r="L67" s="562"/>
      <c r="M67" s="563"/>
      <c r="N67" s="1157"/>
      <c r="O67" s="1157"/>
      <c r="P67" s="558"/>
      <c r="Q67" s="559"/>
    </row>
    <row r="68" spans="1:17" s="471" customFormat="1" ht="14.25" thickTop="1">
      <c r="A68" s="553"/>
      <c r="B68" s="546">
        <f>B14</f>
        <v>111</v>
      </c>
      <c r="C68" s="523"/>
      <c r="D68" s="523"/>
      <c r="E68" s="523"/>
      <c r="F68" s="523"/>
      <c r="G68" s="523"/>
      <c r="H68" s="564"/>
      <c r="I68" s="564"/>
      <c r="J68" s="564"/>
      <c r="K68" s="564"/>
      <c r="L68" s="565"/>
      <c r="M68" s="566"/>
      <c r="N68" s="1157"/>
      <c r="O68" s="1157"/>
      <c r="P68" s="567"/>
      <c r="Q68" s="559"/>
    </row>
    <row r="69" spans="1:17" s="471" customFormat="1" ht="14.25" thickBot="1">
      <c r="A69" s="568"/>
      <c r="B69" s="569"/>
      <c r="C69" s="570"/>
      <c r="D69" s="570"/>
      <c r="E69" s="570"/>
      <c r="F69" s="570"/>
      <c r="G69" s="570"/>
      <c r="H69" s="571"/>
      <c r="I69" s="571"/>
      <c r="J69" s="571"/>
      <c r="K69" s="571"/>
      <c r="L69" s="571"/>
      <c r="M69" s="572"/>
      <c r="N69" s="1157"/>
      <c r="O69" s="1157"/>
      <c r="P69" s="558"/>
      <c r="Q69" s="559"/>
    </row>
    <row r="70" spans="1:17">
      <c r="A70" s="527" t="s">
        <v>2541</v>
      </c>
      <c r="B70" s="528" t="s">
        <v>2687</v>
      </c>
      <c r="C70" s="573" t="s">
        <v>2579</v>
      </c>
      <c r="D70" s="573" t="s">
        <v>2580</v>
      </c>
      <c r="E70" s="573" t="s">
        <v>2581</v>
      </c>
      <c r="F70" s="573" t="s">
        <v>2582</v>
      </c>
      <c r="G70" s="573" t="s">
        <v>2583</v>
      </c>
      <c r="H70" s="529"/>
      <c r="I70" s="529"/>
      <c r="J70" s="529"/>
      <c r="K70" s="574"/>
      <c r="L70" s="575"/>
      <c r="M70" s="576"/>
      <c r="N70" s="1155"/>
      <c r="O70" s="1155"/>
      <c r="P70" s="577"/>
      <c r="Q70" s="504"/>
    </row>
    <row r="71" spans="1:17" ht="14.2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4.25" thickTop="1">
      <c r="A72" s="534"/>
      <c r="B72" s="538" t="s">
        <v>2584</v>
      </c>
      <c r="C72" s="578" t="s">
        <v>2579</v>
      </c>
      <c r="D72" s="578" t="s">
        <v>2580</v>
      </c>
      <c r="E72" s="578" t="s">
        <v>2581</v>
      </c>
      <c r="F72" s="578" t="s">
        <v>2582</v>
      </c>
      <c r="G72" s="578" t="s">
        <v>2583</v>
      </c>
      <c r="H72" s="539"/>
      <c r="I72" s="539"/>
      <c r="J72" s="539"/>
      <c r="K72" s="540"/>
      <c r="L72" s="541"/>
      <c r="M72" s="542"/>
      <c r="N72" s="1155"/>
      <c r="O72" s="1155"/>
      <c r="P72" s="45"/>
      <c r="Q72" s="504"/>
    </row>
    <row r="73" spans="1:17" ht="14.2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4.25" thickTop="1">
      <c r="A74" s="534"/>
      <c r="B74" s="538" t="s">
        <v>2585</v>
      </c>
      <c r="C74" s="578" t="s">
        <v>2579</v>
      </c>
      <c r="D74" s="578" t="s">
        <v>2580</v>
      </c>
      <c r="E74" s="578" t="s">
        <v>2581</v>
      </c>
      <c r="F74" s="578" t="s">
        <v>2582</v>
      </c>
      <c r="G74" s="578" t="s">
        <v>2583</v>
      </c>
      <c r="H74" s="539"/>
      <c r="I74" s="539"/>
      <c r="J74" s="539"/>
      <c r="K74" s="540"/>
      <c r="L74" s="541"/>
      <c r="M74" s="542"/>
      <c r="N74" s="1155"/>
      <c r="O74" s="1155"/>
      <c r="P74" s="45"/>
      <c r="Q74" s="504"/>
    </row>
    <row r="75" spans="1:17" ht="14.2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4.25" thickTop="1">
      <c r="A76" s="534"/>
      <c r="B76" s="546" t="s">
        <v>2671</v>
      </c>
      <c r="C76" s="660" t="s">
        <v>2657</v>
      </c>
      <c r="D76" s="660" t="s">
        <v>2658</v>
      </c>
      <c r="E76" s="660" t="s">
        <v>2659</v>
      </c>
      <c r="F76" s="660" t="s">
        <v>2660</v>
      </c>
      <c r="G76" s="660" t="s">
        <v>2661</v>
      </c>
      <c r="H76" s="539"/>
      <c r="I76" s="539"/>
      <c r="J76" s="539"/>
      <c r="K76" s="539"/>
      <c r="L76" s="539"/>
      <c r="M76" s="1385"/>
      <c r="N76" s="1156"/>
      <c r="O76" s="1156"/>
      <c r="P76" s="45"/>
      <c r="Q76" s="504"/>
    </row>
    <row r="77" spans="1:17" ht="14.2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4.25" thickTop="1">
      <c r="A78" s="534"/>
      <c r="B78" s="538" t="s">
        <v>2680</v>
      </c>
      <c r="C78" s="578" t="s">
        <v>2579</v>
      </c>
      <c r="D78" s="578" t="s">
        <v>2580</v>
      </c>
      <c r="E78" s="578" t="s">
        <v>2581</v>
      </c>
      <c r="F78" s="578" t="s">
        <v>2582</v>
      </c>
      <c r="G78" s="578" t="s">
        <v>2583</v>
      </c>
      <c r="H78" s="539"/>
      <c r="I78" s="539"/>
      <c r="J78" s="539"/>
      <c r="K78" s="540"/>
      <c r="L78" s="541"/>
      <c r="M78" s="542"/>
      <c r="N78" s="1155"/>
      <c r="O78" s="1155"/>
      <c r="P78" s="45"/>
      <c r="Q78" s="504"/>
    </row>
    <row r="79" spans="1:17" ht="14.2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25" thickTop="1">
      <c r="A80" s="579"/>
      <c r="B80" s="538">
        <f>B25</f>
        <v>111</v>
      </c>
      <c r="C80" s="554"/>
      <c r="D80" s="554"/>
      <c r="E80" s="554"/>
      <c r="F80" s="554"/>
      <c r="G80" s="554"/>
      <c r="H80" s="554"/>
      <c r="I80" s="554"/>
      <c r="J80" s="554"/>
      <c r="K80" s="554"/>
      <c r="L80" s="580"/>
      <c r="M80" s="581"/>
      <c r="N80" s="1154"/>
      <c r="O80" s="1154"/>
      <c r="P80" s="45"/>
      <c r="Q80" s="504"/>
    </row>
    <row r="81" spans="1:17" s="117" customFormat="1" ht="14.25" thickBot="1">
      <c r="A81" s="579"/>
      <c r="B81" s="543"/>
      <c r="C81" s="560"/>
      <c r="D81" s="536"/>
      <c r="E81" s="536"/>
      <c r="F81" s="536"/>
      <c r="G81" s="536"/>
      <c r="H81" s="536"/>
      <c r="I81" s="536"/>
      <c r="J81" s="536"/>
      <c r="K81" s="536"/>
      <c r="L81" s="536"/>
      <c r="M81" s="537"/>
      <c r="N81" s="1156"/>
      <c r="O81" s="1156"/>
      <c r="P81" s="45"/>
      <c r="Q81" s="504"/>
    </row>
    <row r="82" spans="1:17" s="117" customFormat="1" ht="14.25" thickTop="1">
      <c r="A82" s="579"/>
      <c r="B82" s="538">
        <f>B26</f>
        <v>111</v>
      </c>
      <c r="C82" s="554"/>
      <c r="D82" s="554"/>
      <c r="E82" s="554"/>
      <c r="F82" s="554"/>
      <c r="G82" s="554"/>
      <c r="H82" s="554"/>
      <c r="I82" s="554"/>
      <c r="J82" s="554"/>
      <c r="K82" s="554"/>
      <c r="L82" s="580"/>
      <c r="M82" s="581"/>
      <c r="N82" s="1154"/>
      <c r="O82" s="1154"/>
      <c r="P82" s="45"/>
      <c r="Q82" s="504"/>
    </row>
    <row r="83" spans="1:17" s="117" customFormat="1" ht="14.25" thickBot="1">
      <c r="A83" s="579"/>
      <c r="B83" s="543"/>
      <c r="C83" s="560"/>
      <c r="D83" s="536"/>
      <c r="E83" s="536"/>
      <c r="F83" s="536"/>
      <c r="G83" s="536"/>
      <c r="H83" s="536"/>
      <c r="I83" s="536"/>
      <c r="J83" s="536"/>
      <c r="K83" s="536"/>
      <c r="L83" s="536"/>
      <c r="M83" s="537"/>
      <c r="N83" s="1156"/>
      <c r="O83" s="1156"/>
      <c r="P83" s="45"/>
      <c r="Q83" s="504"/>
    </row>
    <row r="84" spans="1:17" s="471" customFormat="1" ht="14.25" thickTop="1">
      <c r="A84" s="553"/>
      <c r="B84" s="538">
        <f>B27</f>
        <v>111</v>
      </c>
      <c r="C84" s="554"/>
      <c r="D84" s="554"/>
      <c r="E84" s="554"/>
      <c r="F84" s="554"/>
      <c r="G84" s="554"/>
      <c r="H84" s="554"/>
      <c r="I84" s="554"/>
      <c r="J84" s="554"/>
      <c r="K84" s="554"/>
      <c r="L84" s="580"/>
      <c r="M84" s="581"/>
      <c r="N84" s="1157"/>
      <c r="O84" s="1157"/>
      <c r="P84" s="558"/>
      <c r="Q84" s="559"/>
    </row>
    <row r="85" spans="1:17" s="471" customFormat="1" ht="14.25" thickBot="1">
      <c r="A85" s="553"/>
      <c r="B85" s="543"/>
      <c r="C85" s="560"/>
      <c r="D85" s="536"/>
      <c r="E85" s="536"/>
      <c r="F85" s="536"/>
      <c r="G85" s="536"/>
      <c r="H85" s="536"/>
      <c r="I85" s="536"/>
      <c r="J85" s="536"/>
      <c r="K85" s="536"/>
      <c r="L85" s="536"/>
      <c r="M85" s="537"/>
      <c r="N85" s="1157"/>
      <c r="O85" s="1157"/>
      <c r="P85" s="558"/>
      <c r="Q85" s="559"/>
    </row>
    <row r="86" spans="1:17" ht="14.25" thickTop="1">
      <c r="A86" s="534"/>
      <c r="B86" s="546">
        <f>B28</f>
        <v>111</v>
      </c>
      <c r="C86" s="523"/>
      <c r="D86" s="523"/>
      <c r="E86" s="523"/>
      <c r="F86" s="523"/>
      <c r="G86" s="587"/>
      <c r="H86" s="587"/>
      <c r="I86" s="587"/>
      <c r="J86" s="587"/>
      <c r="K86" s="588"/>
      <c r="L86" s="589"/>
      <c r="M86" s="590"/>
      <c r="N86" s="1155"/>
      <c r="O86" s="1155"/>
      <c r="P86" s="45"/>
      <c r="Q86" s="504"/>
    </row>
    <row r="87" spans="1:17" ht="14.25" thickBot="1">
      <c r="A87" s="2637"/>
      <c r="B87" s="569"/>
      <c r="C87" s="570"/>
      <c r="D87" s="570"/>
      <c r="E87" s="570"/>
      <c r="F87" s="570"/>
      <c r="G87" s="591"/>
      <c r="H87" s="591"/>
      <c r="I87" s="591"/>
      <c r="J87" s="591"/>
      <c r="K87" s="591"/>
      <c r="L87" s="591"/>
      <c r="M87" s="592"/>
      <c r="N87" s="1156"/>
      <c r="O87" s="1156"/>
      <c r="P87" s="45"/>
      <c r="Q87" s="504"/>
    </row>
    <row r="88" spans="1:17">
      <c r="A88" s="527" t="s">
        <v>2545</v>
      </c>
      <c r="B88" s="528" t="s">
        <v>2594</v>
      </c>
      <c r="C88" s="530"/>
      <c r="D88" s="530"/>
      <c r="E88" s="530"/>
      <c r="F88" s="530"/>
      <c r="G88" s="530"/>
      <c r="H88" s="530"/>
      <c r="I88" s="530"/>
      <c r="J88" s="530"/>
      <c r="K88" s="531"/>
      <c r="L88" s="532"/>
      <c r="M88" s="533"/>
      <c r="N88" s="1155"/>
      <c r="O88" s="1155"/>
      <c r="P88" s="45"/>
      <c r="Q88" s="504"/>
    </row>
    <row r="89" spans="1:17" ht="14.2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4.25" thickTop="1">
      <c r="A90" s="534"/>
      <c r="B90" s="538" t="s">
        <v>2595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25" thickBot="1">
      <c r="A92" s="553"/>
      <c r="B92" s="543"/>
      <c r="C92" s="560"/>
      <c r="D92" s="536"/>
      <c r="E92" s="536"/>
      <c r="F92" s="536"/>
      <c r="G92" s="536"/>
      <c r="H92" s="536"/>
      <c r="I92" s="536"/>
      <c r="J92" s="536"/>
      <c r="K92" s="536"/>
      <c r="L92" s="536"/>
      <c r="M92" s="537"/>
      <c r="N92" s="1156"/>
      <c r="O92" s="1156"/>
      <c r="P92" s="558"/>
      <c r="Q92" s="559"/>
    </row>
    <row r="93" spans="1:17" ht="13.9" thickTop="1">
      <c r="A93" s="599"/>
      <c r="B93" s="538" t="s">
        <v>2596</v>
      </c>
      <c r="C93" s="554"/>
      <c r="D93" s="554"/>
      <c r="E93" s="583"/>
      <c r="F93" s="583"/>
      <c r="G93" s="583"/>
      <c r="H93" s="583"/>
      <c r="I93" s="583"/>
      <c r="J93" s="583"/>
      <c r="K93" s="584"/>
      <c r="L93" s="585"/>
      <c r="M93" s="586"/>
      <c r="N93" s="1155"/>
      <c r="O93" s="1155"/>
      <c r="P93" s="45"/>
      <c r="Q93" s="504"/>
    </row>
    <row r="94" spans="1:17" ht="14.2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3.9" thickTop="1">
      <c r="A95" s="599"/>
      <c r="B95" s="538" t="s">
        <v>2598</v>
      </c>
      <c r="C95" s="554"/>
      <c r="D95" s="554"/>
      <c r="E95" s="554"/>
      <c r="F95" s="583"/>
      <c r="G95" s="583"/>
      <c r="H95" s="583"/>
      <c r="I95" s="583"/>
      <c r="J95" s="583"/>
      <c r="K95" s="584"/>
      <c r="L95" s="585"/>
      <c r="M95" s="586"/>
      <c r="N95" s="1155"/>
      <c r="O95" s="1155"/>
      <c r="P95" s="45"/>
      <c r="Q95" s="504"/>
    </row>
    <row r="96" spans="1:17" ht="14.2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3.9"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2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3.9" thickTop="1">
      <c r="A100" s="593"/>
      <c r="B100" s="538" t="s">
        <v>2599</v>
      </c>
      <c r="C100" s="554"/>
      <c r="D100" s="554"/>
      <c r="E100" s="554"/>
      <c r="F100" s="554"/>
      <c r="G100" s="554"/>
      <c r="H100" s="583"/>
      <c r="I100" s="583"/>
      <c r="J100" s="583"/>
      <c r="K100" s="584"/>
      <c r="L100" s="585"/>
      <c r="M100" s="586"/>
      <c r="N100" s="1157"/>
      <c r="O100" s="1157"/>
      <c r="P100" s="558"/>
      <c r="Q100" s="559"/>
    </row>
    <row r="101" spans="1:17" s="471" customFormat="1" ht="14.2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3.9" thickTop="1">
      <c r="A102" s="599"/>
      <c r="B102" s="538" t="s">
        <v>2600</v>
      </c>
      <c r="C102" s="554"/>
      <c r="D102" s="554"/>
      <c r="E102" s="554"/>
      <c r="F102" s="554"/>
      <c r="G102" s="554"/>
      <c r="H102" s="583"/>
      <c r="I102" s="583"/>
      <c r="J102" s="583"/>
      <c r="K102" s="584"/>
      <c r="L102" s="585"/>
      <c r="M102" s="586"/>
      <c r="N102" s="1155"/>
      <c r="O102" s="1155"/>
      <c r="P102" s="45"/>
      <c r="Q102" s="504"/>
    </row>
    <row r="103" spans="1:17" ht="14.2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3.9" thickTop="1">
      <c r="A104" s="599"/>
      <c r="B104" s="538" t="s">
        <v>2602</v>
      </c>
      <c r="C104" s="554"/>
      <c r="D104" s="554"/>
      <c r="E104" s="554"/>
      <c r="F104" s="554"/>
      <c r="G104" s="554"/>
      <c r="H104" s="583"/>
      <c r="I104" s="583"/>
      <c r="J104" s="583"/>
      <c r="K104" s="584"/>
      <c r="L104" s="585"/>
      <c r="M104" s="586"/>
      <c r="N104" s="1155"/>
      <c r="O104" s="1155"/>
      <c r="P104" s="45"/>
      <c r="Q104" s="504"/>
    </row>
    <row r="105" spans="1:17" ht="14.2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7.4" thickTop="1">
      <c r="A106" s="599"/>
      <c r="B106" s="636" t="s">
        <v>2688</v>
      </c>
      <c r="C106" s="578" t="s">
        <v>2579</v>
      </c>
      <c r="D106" s="578" t="s">
        <v>2580</v>
      </c>
      <c r="E106" s="578" t="s">
        <v>2581</v>
      </c>
      <c r="F106" s="578" t="s">
        <v>2582</v>
      </c>
      <c r="G106" s="578" t="s">
        <v>2583</v>
      </c>
      <c r="H106" s="539"/>
      <c r="I106" s="539"/>
      <c r="J106" s="539"/>
      <c r="K106" s="540"/>
      <c r="L106" s="541"/>
      <c r="M106" s="542"/>
      <c r="N106" s="1156"/>
      <c r="O106" s="1156"/>
      <c r="P106" s="637"/>
      <c r="Q106" s="638"/>
    </row>
    <row r="107" spans="1:17" ht="14.2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3.9"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25" thickBot="1">
      <c r="A109" s="553"/>
      <c r="B109" s="535"/>
      <c r="C109" s="560"/>
      <c r="D109" s="536"/>
      <c r="E109" s="536"/>
      <c r="F109" s="536"/>
      <c r="G109" s="560"/>
      <c r="H109" s="562"/>
      <c r="I109" s="562"/>
      <c r="J109" s="562"/>
      <c r="K109" s="562"/>
      <c r="L109" s="562"/>
      <c r="M109" s="563"/>
      <c r="N109" s="1157"/>
      <c r="O109" s="1157"/>
      <c r="P109" s="558"/>
      <c r="Q109" s="559"/>
    </row>
    <row r="110" spans="1:17" ht="13.9" thickTop="1">
      <c r="A110" s="599"/>
      <c r="B110" s="538">
        <f>B39</f>
        <v>111</v>
      </c>
      <c r="C110" s="554"/>
      <c r="D110" s="554"/>
      <c r="E110" s="554"/>
      <c r="F110" s="554"/>
      <c r="G110" s="554"/>
      <c r="H110" s="555"/>
      <c r="I110" s="555"/>
      <c r="J110" s="555"/>
      <c r="K110" s="555"/>
      <c r="L110" s="556"/>
      <c r="M110" s="557"/>
      <c r="N110" s="1155"/>
      <c r="O110" s="1155"/>
      <c r="P110" s="45"/>
      <c r="Q110" s="504"/>
    </row>
    <row r="111" spans="1:17" ht="14.25" thickBot="1">
      <c r="A111" s="534"/>
      <c r="B111" s="543"/>
      <c r="C111" s="560"/>
      <c r="D111" s="536"/>
      <c r="E111" s="536"/>
      <c r="F111" s="536"/>
      <c r="G111" s="560"/>
      <c r="H111" s="562"/>
      <c r="I111" s="562"/>
      <c r="J111" s="562"/>
      <c r="K111" s="562"/>
      <c r="L111" s="562"/>
      <c r="M111" s="563"/>
      <c r="N111" s="1156"/>
      <c r="O111" s="1156"/>
      <c r="P111" s="45"/>
      <c r="Q111" s="504"/>
    </row>
    <row r="112" spans="1:17" ht="13.9" thickTop="1">
      <c r="A112" s="599"/>
      <c r="B112" s="546">
        <f>B40</f>
        <v>111</v>
      </c>
      <c r="C112" s="523"/>
      <c r="D112" s="523"/>
      <c r="E112" s="523"/>
      <c r="F112" s="523"/>
      <c r="G112" s="587"/>
      <c r="H112" s="587"/>
      <c r="I112" s="587"/>
      <c r="J112" s="587"/>
      <c r="K112" s="523"/>
      <c r="L112" s="524"/>
      <c r="M112" s="590"/>
      <c r="N112" s="1155"/>
      <c r="O112" s="1155"/>
      <c r="P112" s="45"/>
      <c r="Q112" s="504"/>
    </row>
    <row r="113" spans="1:17" ht="14.2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J10" sqref="J10"/>
    </sheetView>
  </sheetViews>
  <sheetFormatPr defaultColWidth="9" defaultRowHeight="13.5"/>
  <cols>
    <col min="1" max="1" width="10.46484375" style="403" customWidth="1"/>
    <col min="2" max="2" width="15.73046875" style="403" customWidth="1"/>
    <col min="3" max="3" width="14.3984375" style="403" customWidth="1"/>
    <col min="4" max="4" width="12.265625" style="403" customWidth="1"/>
    <col min="5" max="5" width="14.3984375" style="403" customWidth="1"/>
    <col min="6" max="6" width="12.265625" style="403" customWidth="1"/>
    <col min="7" max="7" width="14.46484375" style="403" customWidth="1"/>
    <col min="8" max="8" width="12.265625" style="403" customWidth="1"/>
    <col min="9" max="9" width="15.46484375" style="403" customWidth="1"/>
    <col min="10" max="10" width="12.265625" style="403" customWidth="1"/>
    <col min="11" max="11" width="12.265625" style="495" customWidth="1"/>
    <col min="12" max="12" width="12.265625" style="496" customWidth="1"/>
    <col min="13" max="15" width="12.265625" style="403" customWidth="1"/>
    <col min="16" max="16" width="4.73046875" style="1126" customWidth="1"/>
    <col min="17" max="17" width="19.46484375" style="403" customWidth="1"/>
    <col min="18" max="22" width="6.1328125" style="403" customWidth="1"/>
    <col min="23" max="23" width="5.73046875" style="403" customWidth="1"/>
    <col min="24" max="24" width="4.265625" style="403" customWidth="1"/>
    <col min="25" max="25" width="3.46484375" style="403" customWidth="1"/>
    <col min="26" max="26" width="19.73046875" style="403" customWidth="1"/>
    <col min="27" max="28" width="9.3984375" style="403" customWidth="1"/>
    <col min="29" max="16384" width="9" style="403"/>
  </cols>
  <sheetData>
    <row r="1" spans="1:29" s="1632" customFormat="1" ht="28.5" customHeight="1" thickBot="1">
      <c r="A1" s="1621" t="s">
        <v>2689</v>
      </c>
      <c r="B1" s="1622"/>
      <c r="C1" s="1623" t="s">
        <v>2512</v>
      </c>
      <c r="D1" s="1624"/>
      <c r="E1" s="1625"/>
      <c r="F1" s="2585"/>
      <c r="G1" s="1626" t="s">
        <v>2625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2312</v>
      </c>
      <c r="B2" s="1421" t="e">
        <f ca="1">IF(C2="——",IF(B37="元/平方米",ROUND(C39*D3/10000,0),ROUND(F3*C39/10000,0)),IF(B37="元/平方米",ROUND(C39*D3/10000,0),ROUND(F3*C39/10000,0))-D2)</f>
        <v>#DIV/0!</v>
      </c>
      <c r="C2" s="2587"/>
      <c r="D2" s="1127" t="e">
        <f ca="1">SUMIF(INDIRECT("'"&amp;F2&amp;"'"&amp;"!A:A"),"承租人权益价值",INDIRECT("'"&amp;F2&amp;"'"&amp;"!c:c"))</f>
        <v>#REF!</v>
      </c>
      <c r="E2" s="2588" t="s">
        <v>2313</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2626</v>
      </c>
      <c r="D3" s="399">
        <f>SUMIF('数据-汇总表'!$C19:$C33,D1,'数据-汇总表'!$E19:$E33)</f>
        <v>0</v>
      </c>
      <c r="E3" s="400" t="s">
        <v>2690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3.9">
      <c r="A4" s="401" t="s">
        <v>2627</v>
      </c>
      <c r="B4" s="402"/>
      <c r="C4" s="3259" t="s">
        <v>2628</v>
      </c>
      <c r="D4" s="3260"/>
      <c r="E4" s="3261" t="s">
        <v>2629</v>
      </c>
      <c r="F4" s="3262"/>
      <c r="G4" s="3259" t="s">
        <v>2630</v>
      </c>
      <c r="H4" s="3260"/>
      <c r="I4" s="3259" t="s">
        <v>2631</v>
      </c>
      <c r="J4" s="3260"/>
      <c r="K4" s="610" t="s">
        <v>2632</v>
      </c>
      <c r="L4" s="1133"/>
      <c r="M4" s="1134"/>
      <c r="N4" s="1134"/>
      <c r="O4" s="1134"/>
      <c r="P4" s="3263" t="s">
        <v>2633</v>
      </c>
      <c r="Q4" s="3264"/>
      <c r="R4" s="3246" t="s">
        <v>2629</v>
      </c>
      <c r="S4" s="3247"/>
      <c r="T4" s="3246" t="s">
        <v>2630</v>
      </c>
      <c r="U4" s="3247"/>
      <c r="V4" s="3271" t="s">
        <v>2631</v>
      </c>
      <c r="W4" s="3271"/>
      <c r="X4" s="1816"/>
      <c r="Y4" s="3246" t="s">
        <v>2633</v>
      </c>
      <c r="Z4" s="3247"/>
      <c r="AA4" s="3241" t="s">
        <v>2629</v>
      </c>
      <c r="AB4" s="3242" t="s">
        <v>2630</v>
      </c>
      <c r="AC4" s="3241" t="s">
        <v>2631</v>
      </c>
    </row>
    <row r="5" spans="1:29" ht="13.9">
      <c r="A5" s="404"/>
      <c r="B5" s="405"/>
      <c r="C5" s="3252" t="s">
        <v>2524</v>
      </c>
      <c r="D5" s="3253"/>
      <c r="E5" s="3250" t="s">
        <v>2525</v>
      </c>
      <c r="F5" s="3251"/>
      <c r="G5" s="3252" t="s">
        <v>2526</v>
      </c>
      <c r="H5" s="3253"/>
      <c r="I5" s="3252" t="s">
        <v>2527</v>
      </c>
      <c r="J5" s="3253"/>
      <c r="K5" s="610"/>
      <c r="L5" s="1133"/>
      <c r="M5" s="1134"/>
      <c r="N5" s="1134"/>
      <c r="O5" s="1134"/>
      <c r="P5" s="3265"/>
      <c r="Q5" s="3266"/>
      <c r="R5" s="3248"/>
      <c r="S5" s="3249"/>
      <c r="T5" s="3248"/>
      <c r="U5" s="3249"/>
      <c r="V5" s="3271"/>
      <c r="W5" s="3271"/>
      <c r="X5" s="1816"/>
      <c r="Y5" s="3248"/>
      <c r="Z5" s="3249"/>
      <c r="AA5" s="3242"/>
      <c r="AB5" s="3242"/>
      <c r="AC5" s="3242"/>
    </row>
    <row r="6" spans="1:29" ht="14.25" thickBot="1">
      <c r="A6" s="406"/>
      <c r="B6" s="407"/>
      <c r="C6" s="3254" t="s">
        <v>2528</v>
      </c>
      <c r="D6" s="3255"/>
      <c r="E6" s="3256" t="s">
        <v>2528</v>
      </c>
      <c r="F6" s="3257"/>
      <c r="G6" s="3254" t="s">
        <v>2528</v>
      </c>
      <c r="H6" s="3255"/>
      <c r="I6" s="3254" t="s">
        <v>2528</v>
      </c>
      <c r="J6" s="3255"/>
      <c r="K6" s="610" t="s">
        <v>2529</v>
      </c>
      <c r="L6" s="1133"/>
      <c r="M6" s="1134"/>
      <c r="N6" s="1134"/>
      <c r="O6" s="1134"/>
      <c r="P6" s="3267"/>
      <c r="Q6" s="3268"/>
      <c r="R6" s="3248"/>
      <c r="S6" s="3249"/>
      <c r="T6" s="3269"/>
      <c r="U6" s="3270"/>
      <c r="V6" s="3271"/>
      <c r="W6" s="3271"/>
      <c r="X6" s="1816"/>
      <c r="Y6" s="3269"/>
      <c r="Z6" s="3270"/>
      <c r="AA6" s="3243"/>
      <c r="AB6" s="3243"/>
      <c r="AC6" s="3243"/>
    </row>
    <row r="7" spans="1:29" s="117" customFormat="1" ht="14.25" thickBot="1">
      <c r="A7" s="408" t="s">
        <v>2530</v>
      </c>
      <c r="B7" s="409"/>
      <c r="C7" s="410">
        <f>'数据-取费表'!B2</f>
        <v>43215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4" t="s">
        <v>2531</v>
      </c>
      <c r="Q7" s="3272"/>
      <c r="R7" s="770" t="s">
        <v>17</v>
      </c>
      <c r="S7" s="771">
        <f t="shared" ref="S7:S14" si="0">F7</f>
        <v>0</v>
      </c>
      <c r="T7" s="770" t="s">
        <v>17</v>
      </c>
      <c r="U7" s="771">
        <f t="shared" ref="U7:U14" si="1">H7</f>
        <v>0</v>
      </c>
      <c r="V7" s="770" t="s">
        <v>17</v>
      </c>
      <c r="W7" s="771">
        <f t="shared" ref="W7:W14" si="2">J7</f>
        <v>0</v>
      </c>
      <c r="X7" s="772"/>
      <c r="Y7" s="3244" t="s">
        <v>2531</v>
      </c>
      <c r="Z7" s="3245"/>
      <c r="AA7" s="773" t="e">
        <f>D7/F7</f>
        <v>#DIV/0!</v>
      </c>
      <c r="AB7" s="773" t="e">
        <f>D7/H7</f>
        <v>#DIV/0!</v>
      </c>
      <c r="AC7" s="773" t="e">
        <f>D7/J7</f>
        <v>#DIV/0!</v>
      </c>
    </row>
    <row r="8" spans="1:29" s="117" customFormat="1" ht="14.25" thickBot="1">
      <c r="A8" s="408" t="s">
        <v>2532</v>
      </c>
      <c r="B8" s="409"/>
      <c r="C8" s="414" t="s">
        <v>2634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4" t="s">
        <v>2534</v>
      </c>
      <c r="Q8" s="3245"/>
      <c r="R8" s="770" t="s">
        <v>17</v>
      </c>
      <c r="S8" s="771">
        <f t="shared" si="0"/>
        <v>0</v>
      </c>
      <c r="T8" s="770" t="s">
        <v>17</v>
      </c>
      <c r="U8" s="771">
        <f t="shared" si="1"/>
        <v>0</v>
      </c>
      <c r="V8" s="770" t="s">
        <v>17</v>
      </c>
      <c r="W8" s="771">
        <f t="shared" si="2"/>
        <v>0</v>
      </c>
      <c r="X8" s="772"/>
      <c r="Y8" s="3244" t="s">
        <v>2534</v>
      </c>
      <c r="Z8" s="3245"/>
      <c r="AA8" s="773" t="e">
        <f t="shared" ref="AA8:AA36" si="3">D8/F8</f>
        <v>#DIV/0!</v>
      </c>
      <c r="AB8" s="773" t="e">
        <f t="shared" ref="AB8:AB36" si="4">D8/H8</f>
        <v>#DIV/0!</v>
      </c>
      <c r="AC8" s="773" t="e">
        <f t="shared" ref="AC8:AC36" si="5">D8/J8</f>
        <v>#DIV/0!</v>
      </c>
    </row>
    <row r="9" spans="1:29" s="117" customFormat="1">
      <c r="A9" s="68" t="s">
        <v>2535</v>
      </c>
      <c r="B9" s="640" t="s">
        <v>2536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76" t="s">
        <v>2537</v>
      </c>
      <c r="Q9" s="1798" t="str">
        <f t="shared" ref="Q9:Q14" si="6">B9</f>
        <v>用途</v>
      </c>
      <c r="R9" s="770" t="s">
        <v>17</v>
      </c>
      <c r="S9" s="771">
        <f t="shared" si="0"/>
        <v>100</v>
      </c>
      <c r="T9" s="770" t="s">
        <v>17</v>
      </c>
      <c r="U9" s="771">
        <f t="shared" si="1"/>
        <v>100</v>
      </c>
      <c r="V9" s="770" t="s">
        <v>17</v>
      </c>
      <c r="W9" s="771">
        <f t="shared" si="2"/>
        <v>100</v>
      </c>
      <c r="X9" s="772"/>
      <c r="Y9" s="3066" t="s">
        <v>2538</v>
      </c>
      <c r="Z9" s="55" t="str">
        <f t="shared" ref="Z9:Z14" si="7">Q9</f>
        <v>用途</v>
      </c>
      <c r="AA9" s="773">
        <f t="shared" si="3"/>
        <v>1</v>
      </c>
      <c r="AB9" s="773">
        <f t="shared" si="4"/>
        <v>1</v>
      </c>
      <c r="AC9" s="773">
        <f t="shared" si="5"/>
        <v>1</v>
      </c>
    </row>
    <row r="10" spans="1:29" s="427" customFormat="1" ht="27">
      <c r="A10" s="641"/>
      <c r="B10" s="642" t="s">
        <v>2539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76"/>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76"/>
      <c r="Q11" s="1798">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76"/>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4"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76"/>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
      <c r="A14" s="401" t="s">
        <v>2541</v>
      </c>
      <c r="B14" s="629" t="s">
        <v>2691</v>
      </c>
      <c r="C14" s="2694">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8" t="s">
        <v>2542</v>
      </c>
      <c r="Q14" s="1813" t="str">
        <f t="shared" si="6"/>
        <v>交通便捷度</v>
      </c>
      <c r="R14" s="774" t="s">
        <v>17</v>
      </c>
      <c r="S14" s="775">
        <f t="shared" si="0"/>
        <v>100</v>
      </c>
      <c r="T14" s="774" t="s">
        <v>17</v>
      </c>
      <c r="U14" s="775">
        <f t="shared" si="1"/>
        <v>100</v>
      </c>
      <c r="V14" s="774" t="s">
        <v>17</v>
      </c>
      <c r="W14" s="775">
        <f t="shared" si="2"/>
        <v>100</v>
      </c>
      <c r="X14" s="1816"/>
      <c r="Y14" s="3278" t="s">
        <v>2542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79"/>
      <c r="Q15" s="1813"/>
      <c r="R15" s="774"/>
      <c r="S15" s="775"/>
      <c r="T15" s="774"/>
      <c r="U15" s="775"/>
      <c r="V15" s="774"/>
      <c r="W15" s="775"/>
      <c r="X15" s="1816"/>
      <c r="Y15" s="3279"/>
      <c r="Z15" s="1817"/>
      <c r="AA15" s="1814">
        <v>1</v>
      </c>
      <c r="AB15" s="1814">
        <v>1</v>
      </c>
      <c r="AC15" s="1814">
        <v>1</v>
      </c>
    </row>
    <row r="16" spans="1:29" ht="15">
      <c r="A16" s="404"/>
      <c r="B16" s="631" t="s">
        <v>2670</v>
      </c>
      <c r="C16" s="2608">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9"/>
      <c r="Q16" s="1813" t="str">
        <f>B16</f>
        <v>公共配套设施</v>
      </c>
      <c r="R16" s="774" t="s">
        <v>17</v>
      </c>
      <c r="S16" s="775">
        <f>F16</f>
        <v>100</v>
      </c>
      <c r="T16" s="774" t="s">
        <v>17</v>
      </c>
      <c r="U16" s="775">
        <f>H16</f>
        <v>100</v>
      </c>
      <c r="V16" s="774" t="s">
        <v>17</v>
      </c>
      <c r="W16" s="775">
        <f>J16</f>
        <v>100</v>
      </c>
      <c r="X16" s="1816"/>
      <c r="Y16" s="3279"/>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79"/>
      <c r="Q17" s="1813"/>
      <c r="R17" s="774"/>
      <c r="S17" s="775"/>
      <c r="T17" s="774"/>
      <c r="U17" s="775"/>
      <c r="V17" s="774"/>
      <c r="W17" s="775"/>
      <c r="X17" s="1816"/>
      <c r="Y17" s="3279"/>
      <c r="Z17" s="1817"/>
      <c r="AA17" s="1814">
        <v>1</v>
      </c>
      <c r="AB17" s="1814">
        <v>1</v>
      </c>
      <c r="AC17" s="1814">
        <v>1</v>
      </c>
    </row>
    <row r="18" spans="1:29" ht="15">
      <c r="A18" s="404"/>
      <c r="B18" s="633" t="s">
        <v>2671</v>
      </c>
      <c r="C18" s="2608">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9"/>
      <c r="Q18" s="1813" t="str">
        <f>B18</f>
        <v>基础设施水平</v>
      </c>
      <c r="R18" s="774" t="s">
        <v>17</v>
      </c>
      <c r="S18" s="775">
        <f>F18</f>
        <v>100</v>
      </c>
      <c r="T18" s="774" t="s">
        <v>17</v>
      </c>
      <c r="U18" s="775">
        <f>H18</f>
        <v>100</v>
      </c>
      <c r="V18" s="774" t="s">
        <v>17</v>
      </c>
      <c r="W18" s="775">
        <f>J18</f>
        <v>100</v>
      </c>
      <c r="X18" s="1816"/>
      <c r="Y18" s="3279"/>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79"/>
      <c r="Q19" s="1813"/>
      <c r="R19" s="774"/>
      <c r="S19" s="775"/>
      <c r="T19" s="774"/>
      <c r="U19" s="775"/>
      <c r="V19" s="774"/>
      <c r="W19" s="775"/>
      <c r="X19" s="1816"/>
      <c r="Y19" s="3279"/>
      <c r="Z19" s="1817"/>
      <c r="AA19" s="1814">
        <v>1</v>
      </c>
      <c r="AB19" s="1814">
        <v>1</v>
      </c>
      <c r="AC19" s="1814">
        <v>1</v>
      </c>
    </row>
    <row r="20" spans="1:29" ht="15">
      <c r="A20" s="404"/>
      <c r="B20" s="631" t="s">
        <v>2692</v>
      </c>
      <c r="C20" s="2608">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9"/>
      <c r="Q20" s="1813" t="str">
        <f>B20</f>
        <v>自然及人文环境</v>
      </c>
      <c r="R20" s="774" t="s">
        <v>17</v>
      </c>
      <c r="S20" s="775">
        <f>F20</f>
        <v>100</v>
      </c>
      <c r="T20" s="774" t="s">
        <v>17</v>
      </c>
      <c r="U20" s="775">
        <f>H20</f>
        <v>100</v>
      </c>
      <c r="V20" s="774" t="s">
        <v>17</v>
      </c>
      <c r="W20" s="775">
        <f>J20</f>
        <v>100</v>
      </c>
      <c r="X20" s="1816"/>
      <c r="Y20" s="327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79"/>
      <c r="Q21" s="1813"/>
      <c r="R21" s="774"/>
      <c r="S21" s="775"/>
      <c r="T21" s="774"/>
      <c r="U21" s="775"/>
      <c r="V21" s="774"/>
      <c r="W21" s="775"/>
      <c r="X21" s="1816"/>
      <c r="Y21" s="3279"/>
      <c r="Z21" s="1817"/>
      <c r="AA21" s="1814">
        <v>1</v>
      </c>
      <c r="AB21" s="1814">
        <v>1</v>
      </c>
      <c r="AC21" s="1814">
        <v>1</v>
      </c>
    </row>
    <row r="22" spans="1:29" ht="15">
      <c r="A22" s="404"/>
      <c r="B22" s="631" t="s">
        <v>2693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9"/>
      <c r="Q22" s="1813" t="str">
        <f>B22</f>
        <v>楼层</v>
      </c>
      <c r="R22" s="774" t="s">
        <v>17</v>
      </c>
      <c r="S22" s="775">
        <f>F22</f>
        <v>100</v>
      </c>
      <c r="T22" s="774" t="s">
        <v>17</v>
      </c>
      <c r="U22" s="775">
        <f>H22</f>
        <v>100</v>
      </c>
      <c r="V22" s="774" t="s">
        <v>17</v>
      </c>
      <c r="W22" s="775">
        <f>J22</f>
        <v>100</v>
      </c>
      <c r="X22" s="1816"/>
      <c r="Y22" s="327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9"/>
      <c r="Q23" s="1813">
        <f>B23</f>
        <v>111</v>
      </c>
      <c r="R23" s="774" t="s">
        <v>17</v>
      </c>
      <c r="S23" s="775">
        <f>F23</f>
        <v>100</v>
      </c>
      <c r="T23" s="774" t="s">
        <v>17</v>
      </c>
      <c r="U23" s="775">
        <f>H23</f>
        <v>100</v>
      </c>
      <c r="V23" s="774" t="s">
        <v>17</v>
      </c>
      <c r="W23" s="775">
        <f>J23</f>
        <v>100</v>
      </c>
      <c r="X23" s="1816"/>
      <c r="Y23" s="327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9"/>
      <c r="Q24" s="1813">
        <f t="shared" ref="Q24:Q36" si="11">B24</f>
        <v>111</v>
      </c>
      <c r="R24" s="774" t="s">
        <v>17</v>
      </c>
      <c r="S24" s="775">
        <f>F24</f>
        <v>100</v>
      </c>
      <c r="T24" s="774" t="s">
        <v>17</v>
      </c>
      <c r="U24" s="775">
        <f>H24</f>
        <v>100</v>
      </c>
      <c r="V24" s="774" t="s">
        <v>17</v>
      </c>
      <c r="W24" s="775">
        <f>J24</f>
        <v>100</v>
      </c>
      <c r="X24" s="1816"/>
      <c r="Y24" s="3279"/>
      <c r="Z24" s="1817">
        <f>Q24</f>
        <v>111</v>
      </c>
      <c r="AA24" s="1814">
        <f t="shared" si="3"/>
        <v>1</v>
      </c>
      <c r="AB24" s="1814">
        <f t="shared" si="4"/>
        <v>1</v>
      </c>
      <c r="AC24" s="1814">
        <f t="shared" si="5"/>
        <v>1</v>
      </c>
    </row>
    <row r="25" spans="1:29" s="117" customFormat="1" ht="15.4"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9"/>
      <c r="Q25" s="1798">
        <f t="shared" si="11"/>
        <v>111</v>
      </c>
      <c r="R25" s="770" t="s">
        <v>17</v>
      </c>
      <c r="S25" s="771">
        <f>F25</f>
        <v>100</v>
      </c>
      <c r="T25" s="770" t="s">
        <v>17</v>
      </c>
      <c r="U25" s="771">
        <f>H25</f>
        <v>100</v>
      </c>
      <c r="V25" s="770" t="s">
        <v>17</v>
      </c>
      <c r="W25" s="771">
        <f>J25</f>
        <v>100</v>
      </c>
      <c r="X25" s="772"/>
      <c r="Y25" s="3279"/>
      <c r="Z25" s="55">
        <f>Q25</f>
        <v>111</v>
      </c>
      <c r="AA25" s="1814">
        <f>D25/F25</f>
        <v>1</v>
      </c>
      <c r="AB25" s="1814">
        <f>D25/H25</f>
        <v>1</v>
      </c>
      <c r="AC25" s="1814">
        <f>D25/J25</f>
        <v>1</v>
      </c>
    </row>
    <row r="26" spans="1:29" ht="15">
      <c r="A26" s="652" t="s">
        <v>2545</v>
      </c>
      <c r="B26" s="70" t="s">
        <v>2694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2" t="s">
        <v>2547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83" t="s">
        <v>2547</v>
      </c>
      <c r="Z26" s="1817" t="str">
        <f t="shared" ref="Z26:Z36" si="15">Q26</f>
        <v>配套类型</v>
      </c>
      <c r="AA26" s="1814">
        <f t="shared" si="3"/>
        <v>1</v>
      </c>
      <c r="AB26" s="1814">
        <f t="shared" si="4"/>
        <v>1</v>
      </c>
      <c r="AC26" s="1814">
        <f t="shared" si="5"/>
        <v>1</v>
      </c>
    </row>
    <row r="27" spans="1:29" s="471" customFormat="1" ht="15">
      <c r="A27" s="653"/>
      <c r="B27" s="654" t="s">
        <v>2695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3"/>
      <c r="Q27" s="776" t="str">
        <f t="shared" si="11"/>
        <v>项目停车位配比</v>
      </c>
      <c r="R27" s="777" t="s">
        <v>17</v>
      </c>
      <c r="S27" s="778">
        <f t="shared" si="12"/>
        <v>100</v>
      </c>
      <c r="T27" s="777" t="s">
        <v>17</v>
      </c>
      <c r="U27" s="778">
        <f t="shared" si="13"/>
        <v>100</v>
      </c>
      <c r="V27" s="777" t="s">
        <v>17</v>
      </c>
      <c r="W27" s="778">
        <f t="shared" si="14"/>
        <v>100</v>
      </c>
      <c r="X27" s="779"/>
      <c r="Y27" s="3283"/>
      <c r="Z27" s="780" t="str">
        <f t="shared" si="15"/>
        <v>项目停车位配比</v>
      </c>
      <c r="AA27" s="1814">
        <f t="shared" si="3"/>
        <v>1</v>
      </c>
      <c r="AB27" s="1814">
        <f t="shared" si="4"/>
        <v>1</v>
      </c>
      <c r="AC27" s="1814">
        <f t="shared" si="5"/>
        <v>1</v>
      </c>
    </row>
    <row r="28" spans="1:29" ht="15">
      <c r="A28" s="656"/>
      <c r="B28" s="654" t="s">
        <v>2696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3"/>
      <c r="Q28" s="1813" t="str">
        <f t="shared" si="11"/>
        <v>公共部分装修</v>
      </c>
      <c r="R28" s="774" t="s">
        <v>17</v>
      </c>
      <c r="S28" s="775">
        <f t="shared" si="12"/>
        <v>100</v>
      </c>
      <c r="T28" s="774" t="s">
        <v>17</v>
      </c>
      <c r="U28" s="775">
        <f t="shared" si="13"/>
        <v>100</v>
      </c>
      <c r="V28" s="774" t="s">
        <v>17</v>
      </c>
      <c r="W28" s="775">
        <f t="shared" si="14"/>
        <v>100</v>
      </c>
      <c r="X28" s="1816"/>
      <c r="Y28" s="3283"/>
      <c r="Z28" s="1817" t="str">
        <f t="shared" si="15"/>
        <v>公共部分装修</v>
      </c>
      <c r="AA28" s="1814">
        <f t="shared" si="3"/>
        <v>1</v>
      </c>
      <c r="AB28" s="1814">
        <f t="shared" si="4"/>
        <v>1</v>
      </c>
      <c r="AC28" s="1814">
        <f t="shared" si="5"/>
        <v>1</v>
      </c>
    </row>
    <row r="29" spans="1:29" ht="15">
      <c r="A29" s="656"/>
      <c r="B29" s="654" t="s">
        <v>2697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83"/>
      <c r="Q29" s="1813" t="str">
        <f t="shared" si="11"/>
        <v>成新率</v>
      </c>
      <c r="R29" s="774" t="s">
        <v>17</v>
      </c>
      <c r="S29" s="775" t="e">
        <f t="shared" si="12"/>
        <v>#N/A</v>
      </c>
      <c r="T29" s="774" t="s">
        <v>17</v>
      </c>
      <c r="U29" s="775" t="e">
        <f t="shared" si="13"/>
        <v>#N/A</v>
      </c>
      <c r="V29" s="774" t="s">
        <v>17</v>
      </c>
      <c r="W29" s="775" t="e">
        <f t="shared" si="14"/>
        <v>#N/A</v>
      </c>
      <c r="X29" s="1816"/>
      <c r="Y29" s="3283"/>
      <c r="Z29" s="1817" t="str">
        <f t="shared" si="15"/>
        <v>成新率</v>
      </c>
      <c r="AA29" s="1814" t="e">
        <f t="shared" si="3"/>
        <v>#N/A</v>
      </c>
      <c r="AB29" s="1814" t="e">
        <f t="shared" si="4"/>
        <v>#N/A</v>
      </c>
      <c r="AC29" s="1814" t="e">
        <f t="shared" si="5"/>
        <v>#N/A</v>
      </c>
    </row>
    <row r="30" spans="1:29" ht="15">
      <c r="A30" s="656"/>
      <c r="B30" s="654" t="s">
        <v>2698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3"/>
      <c r="Q30" s="1813" t="str">
        <f t="shared" si="11"/>
        <v>物业等级</v>
      </c>
      <c r="R30" s="774" t="s">
        <v>17</v>
      </c>
      <c r="S30" s="775">
        <f t="shared" si="12"/>
        <v>100</v>
      </c>
      <c r="T30" s="774" t="s">
        <v>17</v>
      </c>
      <c r="U30" s="775">
        <f t="shared" si="13"/>
        <v>100</v>
      </c>
      <c r="V30" s="774" t="s">
        <v>17</v>
      </c>
      <c r="W30" s="775">
        <f t="shared" si="14"/>
        <v>100</v>
      </c>
      <c r="X30" s="1816"/>
      <c r="Y30" s="3283"/>
      <c r="Z30" s="1817" t="str">
        <f t="shared" si="15"/>
        <v>物业等级</v>
      </c>
      <c r="AA30" s="1814">
        <f t="shared" si="3"/>
        <v>1</v>
      </c>
      <c r="AB30" s="1814">
        <f t="shared" si="4"/>
        <v>1</v>
      </c>
      <c r="AC30" s="1814">
        <f t="shared" si="5"/>
        <v>1</v>
      </c>
    </row>
    <row r="31" spans="1:29" s="117" customFormat="1" ht="15">
      <c r="A31" s="658"/>
      <c r="B31" s="654" t="s">
        <v>2699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83"/>
      <c r="Q31" s="1798" t="str">
        <f t="shared" si="11"/>
        <v>停车位面积</v>
      </c>
      <c r="R31" s="770" t="s">
        <v>17</v>
      </c>
      <c r="S31" s="771" t="e">
        <f t="shared" si="12"/>
        <v>#N/A</v>
      </c>
      <c r="T31" s="770" t="s">
        <v>17</v>
      </c>
      <c r="U31" s="771" t="e">
        <f t="shared" si="13"/>
        <v>#N/A</v>
      </c>
      <c r="V31" s="770" t="s">
        <v>17</v>
      </c>
      <c r="W31" s="771" t="e">
        <f t="shared" si="14"/>
        <v>#N/A</v>
      </c>
      <c r="X31" s="772"/>
      <c r="Y31" s="3283"/>
      <c r="Z31" s="55" t="str">
        <f t="shared" si="15"/>
        <v>停车位面积</v>
      </c>
      <c r="AA31" s="773" t="e">
        <f t="shared" si="3"/>
        <v>#N/A</v>
      </c>
      <c r="AB31" s="773" t="e">
        <f t="shared" si="4"/>
        <v>#N/A</v>
      </c>
      <c r="AC31" s="773" t="e">
        <f t="shared" si="5"/>
        <v>#N/A</v>
      </c>
    </row>
    <row r="32" spans="1:29" ht="15">
      <c r="A32" s="656"/>
      <c r="B32" s="654" t="s">
        <v>2700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3" t="s">
        <v>2547</v>
      </c>
      <c r="Q32" s="1813" t="str">
        <f t="shared" si="11"/>
        <v>车位类型</v>
      </c>
      <c r="R32" s="774" t="s">
        <v>17</v>
      </c>
      <c r="S32" s="775">
        <f t="shared" si="12"/>
        <v>100</v>
      </c>
      <c r="T32" s="774" t="s">
        <v>17</v>
      </c>
      <c r="U32" s="775">
        <f t="shared" si="13"/>
        <v>100</v>
      </c>
      <c r="V32" s="774" t="s">
        <v>17</v>
      </c>
      <c r="W32" s="775">
        <f t="shared" si="14"/>
        <v>100</v>
      </c>
      <c r="X32" s="1816"/>
      <c r="Y32" s="3283" t="s">
        <v>2547</v>
      </c>
      <c r="Z32" s="1817" t="str">
        <f t="shared" si="15"/>
        <v>车位类型</v>
      </c>
      <c r="AA32" s="1814">
        <f t="shared" si="3"/>
        <v>1</v>
      </c>
      <c r="AB32" s="1814">
        <f t="shared" si="4"/>
        <v>1</v>
      </c>
      <c r="AC32" s="1814">
        <f t="shared" si="5"/>
        <v>1</v>
      </c>
    </row>
    <row r="33" spans="1:29" ht="15">
      <c r="A33" s="656"/>
      <c r="B33" s="654" t="s">
        <v>2701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3"/>
      <c r="Q33" s="1813" t="str">
        <f t="shared" si="11"/>
        <v>是否直接入户</v>
      </c>
      <c r="R33" s="774" t="s">
        <v>17</v>
      </c>
      <c r="S33" s="775">
        <f t="shared" si="12"/>
        <v>100</v>
      </c>
      <c r="T33" s="774" t="s">
        <v>17</v>
      </c>
      <c r="U33" s="775">
        <f t="shared" si="13"/>
        <v>100</v>
      </c>
      <c r="V33" s="774" t="s">
        <v>17</v>
      </c>
      <c r="W33" s="775">
        <f t="shared" si="14"/>
        <v>100</v>
      </c>
      <c r="X33" s="1816"/>
      <c r="Y33" s="328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3"/>
      <c r="Q34" s="1813">
        <f t="shared" si="11"/>
        <v>111</v>
      </c>
      <c r="R34" s="774" t="s">
        <v>17</v>
      </c>
      <c r="S34" s="775">
        <f t="shared" si="12"/>
        <v>100</v>
      </c>
      <c r="T34" s="774" t="s">
        <v>17</v>
      </c>
      <c r="U34" s="775">
        <f t="shared" si="13"/>
        <v>100</v>
      </c>
      <c r="V34" s="774" t="s">
        <v>17</v>
      </c>
      <c r="W34" s="775">
        <f t="shared" si="14"/>
        <v>100</v>
      </c>
      <c r="X34" s="1816"/>
      <c r="Y34" s="328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3"/>
      <c r="Q35" s="776">
        <f t="shared" si="11"/>
        <v>111</v>
      </c>
      <c r="R35" s="777" t="s">
        <v>17</v>
      </c>
      <c r="S35" s="778">
        <f t="shared" si="12"/>
        <v>100</v>
      </c>
      <c r="T35" s="777" t="s">
        <v>17</v>
      </c>
      <c r="U35" s="778">
        <f t="shared" si="13"/>
        <v>100</v>
      </c>
      <c r="V35" s="777" t="s">
        <v>17</v>
      </c>
      <c r="W35" s="778">
        <f t="shared" si="14"/>
        <v>100</v>
      </c>
      <c r="X35" s="779"/>
      <c r="Y35" s="3283"/>
      <c r="Z35" s="780">
        <f t="shared" si="15"/>
        <v>111</v>
      </c>
      <c r="AA35" s="1814">
        <f t="shared" si="3"/>
        <v>1</v>
      </c>
      <c r="AB35" s="1814">
        <f t="shared" si="4"/>
        <v>1</v>
      </c>
      <c r="AC35" s="1814">
        <f t="shared" si="5"/>
        <v>1</v>
      </c>
    </row>
    <row r="36" spans="1:29" ht="15.4"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3"/>
      <c r="Q36" s="1813">
        <f t="shared" si="11"/>
        <v>111</v>
      </c>
      <c r="R36" s="774" t="s">
        <v>17</v>
      </c>
      <c r="S36" s="775">
        <f t="shared" si="12"/>
        <v>100</v>
      </c>
      <c r="T36" s="774" t="s">
        <v>17</v>
      </c>
      <c r="U36" s="775">
        <f t="shared" si="13"/>
        <v>100</v>
      </c>
      <c r="V36" s="774" t="s">
        <v>17</v>
      </c>
      <c r="W36" s="775">
        <f t="shared" si="14"/>
        <v>100</v>
      </c>
      <c r="X36" s="1816"/>
      <c r="Y36" s="3283"/>
      <c r="Z36" s="1817">
        <f t="shared" si="15"/>
        <v>111</v>
      </c>
      <c r="AA36" s="1814">
        <f t="shared" si="3"/>
        <v>1</v>
      </c>
      <c r="AB36" s="1814">
        <f t="shared" si="4"/>
        <v>1</v>
      </c>
      <c r="AC36" s="1814">
        <f t="shared" si="5"/>
        <v>1</v>
      </c>
    </row>
    <row r="37" spans="1:29" ht="13.9">
      <c r="A37" s="479" t="s">
        <v>2702</v>
      </c>
      <c r="B37" s="2696" t="s">
        <v>2703</v>
      </c>
      <c r="C37" s="1410" t="s">
        <v>1</v>
      </c>
      <c r="D37" s="1411"/>
      <c r="E37" s="1412"/>
      <c r="F37" s="1413"/>
      <c r="G37" s="1414"/>
      <c r="H37" s="1415"/>
      <c r="I37" s="1412"/>
      <c r="J37" s="1415"/>
      <c r="K37" s="619"/>
      <c r="L37" s="1146"/>
      <c r="M37" s="1147"/>
      <c r="N37" s="1134"/>
      <c r="O37" s="1147"/>
      <c r="P37" s="3276" t="str">
        <f>A37</f>
        <v>成交单价</v>
      </c>
      <c r="Q37" s="3276"/>
      <c r="R37" s="3277">
        <f>E37</f>
        <v>0</v>
      </c>
      <c r="S37" s="3277"/>
      <c r="T37" s="3277">
        <f>G37</f>
        <v>0</v>
      </c>
      <c r="U37" s="3277"/>
      <c r="V37" s="3277">
        <f>I37</f>
        <v>0</v>
      </c>
      <c r="W37" s="3277"/>
      <c r="X37" s="759"/>
      <c r="Y37" s="781"/>
      <c r="Z37" s="759"/>
      <c r="AA37" s="759"/>
      <c r="AB37" s="759"/>
      <c r="AC37" s="759"/>
    </row>
    <row r="38" spans="1:29" ht="14.25" thickBot="1">
      <c r="A38" s="486" t="s">
        <v>2704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76" t="str">
        <f>A38</f>
        <v>比较价值（元/平方米）</v>
      </c>
      <c r="Q38" s="3276"/>
      <c r="R38" s="3277" t="e">
        <f>IF(F1="售价",ROUND(PRODUCT(R37,AA7:AA36),0),ROUND(PRODUCT(R37,AA7:AA36),1))</f>
        <v>#DIV/0!</v>
      </c>
      <c r="S38" s="3277"/>
      <c r="T38" s="3277" t="e">
        <f>IF(F1="售价",ROUND(PRODUCT(T37,AB7:AB36),0),ROUND(PRODUCT(T37,AB7:AB36),1))</f>
        <v>#DIV/0!</v>
      </c>
      <c r="U38" s="3277"/>
      <c r="V38" s="3277" t="e">
        <f>IF(F1="售价",ROUND(PRODUCT(V37,AC7:AC36),0),ROUND(PRODUCT(V37,AC7:AC36),1))</f>
        <v>#DIV/0!</v>
      </c>
      <c r="W38" s="3277"/>
      <c r="X38" s="759"/>
      <c r="Y38" s="759"/>
      <c r="Z38" s="759"/>
      <c r="AA38" s="759"/>
      <c r="AB38" s="759"/>
      <c r="AC38" s="759"/>
    </row>
    <row r="39" spans="1:29" ht="14.25" thickBot="1">
      <c r="A39" s="492" t="s">
        <v>2705</v>
      </c>
      <c r="B39" s="493"/>
      <c r="C39" s="1420" t="e">
        <f>R39</f>
        <v>#DIV/0!</v>
      </c>
      <c r="D39" s="1420"/>
      <c r="E39" s="1420"/>
      <c r="F39" s="1420"/>
      <c r="G39" s="1420"/>
      <c r="H39" s="1420"/>
      <c r="I39" s="1420"/>
      <c r="J39" s="1420"/>
      <c r="K39" s="621"/>
      <c r="L39" s="1146"/>
      <c r="M39" s="1147"/>
      <c r="N39" s="1147"/>
      <c r="O39" s="1147"/>
      <c r="P39" s="3273" t="str">
        <f>A39</f>
        <v>估价对象XX用房的比较价值（楼面单价，元/平方米）</v>
      </c>
      <c r="Q39" s="3274"/>
      <c r="R39" s="3275" t="e">
        <f>IF(F1="售价",ROUND(AVERAGE(R38:V38),0),ROUND(AVERAGE(R38:V38),1))</f>
        <v>#DIV/0!</v>
      </c>
      <c r="S39" s="3275"/>
      <c r="T39" s="3275"/>
      <c r="U39" s="3275"/>
      <c r="V39" s="3275"/>
      <c r="W39" s="327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2706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2708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2709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3.9">
      <c r="A48" s="505" t="s">
        <v>2710</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3.9">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4.25" thickBot="1">
      <c r="A50" s="515" t="s">
        <v>2567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3.9">
      <c r="A51" s="521" t="s">
        <v>2532</v>
      </c>
      <c r="B51" s="510"/>
      <c r="C51" s="522" t="s">
        <v>2634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2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2570</v>
      </c>
      <c r="B53" s="528" t="s">
        <v>2536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2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4" thickTop="1">
      <c r="A55" s="534"/>
      <c r="B55" s="538" t="s">
        <v>2539</v>
      </c>
      <c r="C55" s="539" t="s">
        <v>2571</v>
      </c>
      <c r="D55" s="539" t="s">
        <v>2572</v>
      </c>
      <c r="E55" s="539" t="s">
        <v>2573</v>
      </c>
      <c r="F55" s="539" t="s">
        <v>2574</v>
      </c>
      <c r="G55" s="539" t="s">
        <v>2575</v>
      </c>
      <c r="H55" s="539" t="s">
        <v>2576</v>
      </c>
      <c r="I55" s="539" t="s">
        <v>2577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2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2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2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2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2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2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2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3.9" thickTop="1">
      <c r="A63" s="527" t="s">
        <v>2541</v>
      </c>
      <c r="B63" s="528" t="s">
        <v>2584</v>
      </c>
      <c r="C63" s="573" t="s">
        <v>2579</v>
      </c>
      <c r="D63" s="573" t="s">
        <v>2580</v>
      </c>
      <c r="E63" s="573" t="s">
        <v>2581</v>
      </c>
      <c r="F63" s="573" t="s">
        <v>2582</v>
      </c>
      <c r="G63" s="573" t="s">
        <v>2583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2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4.25" thickTop="1">
      <c r="A65" s="534"/>
      <c r="B65" s="538" t="s">
        <v>2585</v>
      </c>
      <c r="C65" s="578" t="s">
        <v>2579</v>
      </c>
      <c r="D65" s="578" t="s">
        <v>2580</v>
      </c>
      <c r="E65" s="578" t="s">
        <v>2581</v>
      </c>
      <c r="F65" s="578" t="s">
        <v>2582</v>
      </c>
      <c r="G65" s="578" t="s">
        <v>2583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2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4.25" thickTop="1">
      <c r="A67" s="534"/>
      <c r="B67" s="546" t="s">
        <v>2671</v>
      </c>
      <c r="C67" s="660" t="s">
        <v>2657</v>
      </c>
      <c r="D67" s="660" t="s">
        <v>2658</v>
      </c>
      <c r="E67" s="660" t="s">
        <v>2659</v>
      </c>
      <c r="F67" s="660" t="s">
        <v>2660</v>
      </c>
      <c r="G67" s="660" t="s">
        <v>2661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2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4.25" thickTop="1">
      <c r="A69" s="534"/>
      <c r="B69" s="538" t="s">
        <v>2591</v>
      </c>
      <c r="C69" s="578" t="s">
        <v>2579</v>
      </c>
      <c r="D69" s="578" t="s">
        <v>2580</v>
      </c>
      <c r="E69" s="578" t="s">
        <v>2581</v>
      </c>
      <c r="F69" s="578" t="s">
        <v>2582</v>
      </c>
      <c r="G69" s="578" t="s">
        <v>2583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2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4.25" thickTop="1">
      <c r="A71" s="534"/>
      <c r="B71" s="538" t="s">
        <v>2711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2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2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2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2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2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2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2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4" thickTop="1">
      <c r="A79" s="527" t="s">
        <v>2545</v>
      </c>
      <c r="B79" s="528" t="s">
        <v>2712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2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4.25" thickTop="1">
      <c r="A81" s="534"/>
      <c r="B81" s="538" t="s">
        <v>2713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2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3.9" thickTop="1">
      <c r="A83" s="599"/>
      <c r="B83" s="538" t="s">
        <v>2598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2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3.9" thickTop="1">
      <c r="A85" s="599"/>
      <c r="B85" s="538" t="s">
        <v>2714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2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3.9" thickTop="1">
      <c r="A88" s="599"/>
      <c r="B88" s="546" t="s">
        <v>2715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2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3.9" thickTop="1">
      <c r="A90" s="593"/>
      <c r="B90" s="538" t="s">
        <v>2716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2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3.9" thickTop="1">
      <c r="A93" s="599"/>
      <c r="B93" s="538" t="s">
        <v>2717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2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3.9" thickTop="1">
      <c r="A95" s="599"/>
      <c r="B95" s="538" t="s">
        <v>2718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2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3.9"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2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3.9"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2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3.9"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2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3.9"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activeCell="J10" sqref="J10"/>
    </sheetView>
  </sheetViews>
  <sheetFormatPr defaultColWidth="9" defaultRowHeight="13.5"/>
  <cols>
    <col min="1" max="1" width="10.46484375" style="403" customWidth="1"/>
    <col min="2" max="2" width="15.73046875" style="403" customWidth="1"/>
    <col min="3" max="3" width="14.3984375" style="403" customWidth="1"/>
    <col min="4" max="4" width="12.265625" style="403" customWidth="1"/>
    <col min="5" max="5" width="14.3984375" style="403" customWidth="1"/>
    <col min="6" max="6" width="12.265625" style="403" customWidth="1"/>
    <col min="7" max="7" width="14.46484375" style="403" customWidth="1"/>
    <col min="8" max="8" width="12.265625" style="403" customWidth="1"/>
    <col min="9" max="9" width="14.46484375" style="403" customWidth="1"/>
    <col min="10" max="10" width="12.265625" style="403" customWidth="1"/>
    <col min="11" max="11" width="12.265625" style="495" customWidth="1"/>
    <col min="12" max="12" width="12.265625" style="496" customWidth="1"/>
    <col min="13" max="15" width="12.265625" style="403" customWidth="1"/>
    <col min="16" max="16" width="4.73046875" style="403" customWidth="1"/>
    <col min="17" max="17" width="19.46484375" style="403" customWidth="1"/>
    <col min="18" max="22" width="6.1328125" style="403" customWidth="1"/>
    <col min="23" max="23" width="5.73046875" style="403" customWidth="1"/>
    <col min="24" max="24" width="4.265625" style="403" customWidth="1"/>
    <col min="25" max="25" width="3.46484375" style="403" customWidth="1"/>
    <col min="26" max="26" width="19.73046875" style="403" customWidth="1"/>
    <col min="27" max="28" width="9.3984375" style="403" customWidth="1"/>
    <col min="29" max="16384" width="9" style="403"/>
  </cols>
  <sheetData>
    <row r="1" spans="1:29" s="1632" customFormat="1" ht="28.5" customHeight="1" thickBot="1">
      <c r="A1" s="1621" t="s">
        <v>2689</v>
      </c>
      <c r="B1" s="1622"/>
      <c r="C1" s="1623" t="s">
        <v>2512</v>
      </c>
      <c r="D1" s="1624"/>
      <c r="E1" s="1633"/>
      <c r="F1" s="2585"/>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2312</v>
      </c>
      <c r="B2" s="1421" t="e">
        <f ca="1">IF(C2="——",ROUND(C37*D3/10000,0),ROUND(C37*D3/10000,0)-D2)</f>
        <v>#DIV/0!</v>
      </c>
      <c r="C2" s="2587"/>
      <c r="D2" s="1127" t="e">
        <f ca="1">SUMIF(INDIRECT("'"&amp;F2&amp;"'"&amp;"!A:A"),"承租人权益价值",INDIRECT("'"&amp;F2&amp;"'"&amp;"!c:c"))</f>
        <v>#REF!</v>
      </c>
      <c r="E2" s="2588" t="s">
        <v>2313</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3.9">
      <c r="A4" s="401" t="s">
        <v>2627</v>
      </c>
      <c r="B4" s="402"/>
      <c r="C4" s="3259" t="s">
        <v>2628</v>
      </c>
      <c r="D4" s="3260"/>
      <c r="E4" s="3261" t="s">
        <v>2629</v>
      </c>
      <c r="F4" s="3262"/>
      <c r="G4" s="3259" t="s">
        <v>2630</v>
      </c>
      <c r="H4" s="3260"/>
      <c r="I4" s="3259" t="s">
        <v>2631</v>
      </c>
      <c r="J4" s="3260"/>
      <c r="K4" s="610" t="s">
        <v>2632</v>
      </c>
      <c r="L4" s="1133"/>
      <c r="M4" s="1134"/>
      <c r="N4" s="1134"/>
      <c r="O4" s="1134"/>
      <c r="P4" s="3263" t="s">
        <v>2633</v>
      </c>
      <c r="Q4" s="3264"/>
      <c r="R4" s="3246" t="s">
        <v>2629</v>
      </c>
      <c r="S4" s="3247"/>
      <c r="T4" s="3246" t="s">
        <v>2630</v>
      </c>
      <c r="U4" s="3247"/>
      <c r="V4" s="3271" t="s">
        <v>2631</v>
      </c>
      <c r="W4" s="3271"/>
      <c r="X4" s="1816"/>
      <c r="Y4" s="3246" t="s">
        <v>2633</v>
      </c>
      <c r="Z4" s="3247"/>
      <c r="AA4" s="3241" t="s">
        <v>2629</v>
      </c>
      <c r="AB4" s="3242" t="s">
        <v>2630</v>
      </c>
      <c r="AC4" s="3241" t="s">
        <v>2631</v>
      </c>
    </row>
    <row r="5" spans="1:29" ht="13.9">
      <c r="A5" s="404"/>
      <c r="B5" s="405"/>
      <c r="C5" s="3252" t="s">
        <v>2524</v>
      </c>
      <c r="D5" s="3253"/>
      <c r="E5" s="3250" t="s">
        <v>2525</v>
      </c>
      <c r="F5" s="3251"/>
      <c r="G5" s="3252" t="s">
        <v>2526</v>
      </c>
      <c r="H5" s="3253"/>
      <c r="I5" s="3252" t="s">
        <v>2527</v>
      </c>
      <c r="J5" s="3253"/>
      <c r="K5" s="610"/>
      <c r="L5" s="1133"/>
      <c r="M5" s="1134"/>
      <c r="N5" s="1134"/>
      <c r="O5" s="1134"/>
      <c r="P5" s="3265"/>
      <c r="Q5" s="3266"/>
      <c r="R5" s="3248"/>
      <c r="S5" s="3249"/>
      <c r="T5" s="3248"/>
      <c r="U5" s="3249"/>
      <c r="V5" s="3271"/>
      <c r="W5" s="3271"/>
      <c r="X5" s="1816"/>
      <c r="Y5" s="3248"/>
      <c r="Z5" s="3249"/>
      <c r="AA5" s="3242"/>
      <c r="AB5" s="3242"/>
      <c r="AC5" s="3242"/>
    </row>
    <row r="6" spans="1:29" ht="14.25" thickBot="1">
      <c r="A6" s="406"/>
      <c r="B6" s="407"/>
      <c r="C6" s="3254" t="s">
        <v>2528</v>
      </c>
      <c r="D6" s="3255"/>
      <c r="E6" s="3256" t="s">
        <v>2528</v>
      </c>
      <c r="F6" s="3257"/>
      <c r="G6" s="3254" t="s">
        <v>2528</v>
      </c>
      <c r="H6" s="3255"/>
      <c r="I6" s="3254" t="s">
        <v>2528</v>
      </c>
      <c r="J6" s="3255"/>
      <c r="K6" s="610" t="s">
        <v>2529</v>
      </c>
      <c r="L6" s="1133"/>
      <c r="M6" s="1134"/>
      <c r="N6" s="1134"/>
      <c r="O6" s="1134"/>
      <c r="P6" s="3267"/>
      <c r="Q6" s="3268"/>
      <c r="R6" s="3248"/>
      <c r="S6" s="3249"/>
      <c r="T6" s="3269"/>
      <c r="U6" s="3270"/>
      <c r="V6" s="3271"/>
      <c r="W6" s="3271"/>
      <c r="X6" s="1816"/>
      <c r="Y6" s="3269"/>
      <c r="Z6" s="3270"/>
      <c r="AA6" s="3243"/>
      <c r="AB6" s="3243"/>
      <c r="AC6" s="3243"/>
    </row>
    <row r="7" spans="1:29" s="117" customFormat="1" ht="14.25" thickBot="1">
      <c r="A7" s="408" t="s">
        <v>2530</v>
      </c>
      <c r="B7" s="409"/>
      <c r="C7" s="410">
        <f>'数据-取费表'!B2</f>
        <v>43215</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44" t="s">
        <v>2531</v>
      </c>
      <c r="Q7" s="3272"/>
      <c r="R7" s="770" t="s">
        <v>17</v>
      </c>
      <c r="S7" s="771">
        <f t="shared" ref="S7:S14" si="0">F7</f>
        <v>0</v>
      </c>
      <c r="T7" s="770" t="s">
        <v>17</v>
      </c>
      <c r="U7" s="771">
        <f t="shared" ref="U7:U14" si="1">H7</f>
        <v>0</v>
      </c>
      <c r="V7" s="770" t="s">
        <v>17</v>
      </c>
      <c r="W7" s="771">
        <f t="shared" ref="W7:W14" si="2">J7</f>
        <v>0</v>
      </c>
      <c r="X7" s="772"/>
      <c r="Y7" s="3244" t="s">
        <v>2531</v>
      </c>
      <c r="Z7" s="3245"/>
      <c r="AA7" s="773" t="e">
        <f>D7/F7</f>
        <v>#DIV/0!</v>
      </c>
      <c r="AB7" s="773" t="e">
        <f>D7/H7</f>
        <v>#DIV/0!</v>
      </c>
      <c r="AC7" s="773" t="e">
        <f>D7/J7</f>
        <v>#DIV/0!</v>
      </c>
    </row>
    <row r="8" spans="1:29" s="117" customFormat="1" ht="14.25" thickBot="1">
      <c r="A8" s="408" t="s">
        <v>2532</v>
      </c>
      <c r="B8" s="409"/>
      <c r="C8" s="414" t="s">
        <v>2634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4" t="s">
        <v>2534</v>
      </c>
      <c r="Q8" s="3245"/>
      <c r="R8" s="770" t="s">
        <v>17</v>
      </c>
      <c r="S8" s="771">
        <f t="shared" si="0"/>
        <v>0</v>
      </c>
      <c r="T8" s="770" t="s">
        <v>17</v>
      </c>
      <c r="U8" s="771">
        <f t="shared" si="1"/>
        <v>0</v>
      </c>
      <c r="V8" s="770" t="s">
        <v>17</v>
      </c>
      <c r="W8" s="771">
        <f t="shared" si="2"/>
        <v>0</v>
      </c>
      <c r="X8" s="772"/>
      <c r="Y8" s="3244" t="s">
        <v>2534</v>
      </c>
      <c r="Z8" s="3245"/>
      <c r="AA8" s="773" t="e">
        <f t="shared" ref="AA8:AA34" si="3">D8/F8</f>
        <v>#DIV/0!</v>
      </c>
      <c r="AB8" s="773" t="e">
        <f t="shared" ref="AB8:AB34" si="4">D8/H8</f>
        <v>#DIV/0!</v>
      </c>
      <c r="AC8" s="773" t="e">
        <f t="shared" ref="AC8:AC34" si="5">D8/J8</f>
        <v>#DIV/0!</v>
      </c>
    </row>
    <row r="9" spans="1:29" s="117" customFormat="1">
      <c r="A9" s="415" t="s">
        <v>2535</v>
      </c>
      <c r="B9" s="71" t="s">
        <v>2536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76" t="s">
        <v>2537</v>
      </c>
      <c r="Q9" s="1798" t="str">
        <f t="shared" ref="Q9:Q14" si="6">B9</f>
        <v>用途</v>
      </c>
      <c r="R9" s="770" t="s">
        <v>17</v>
      </c>
      <c r="S9" s="771">
        <f t="shared" si="0"/>
        <v>100</v>
      </c>
      <c r="T9" s="770" t="s">
        <v>17</v>
      </c>
      <c r="U9" s="771">
        <f t="shared" si="1"/>
        <v>100</v>
      </c>
      <c r="V9" s="770" t="s">
        <v>17</v>
      </c>
      <c r="W9" s="771">
        <f t="shared" si="2"/>
        <v>100</v>
      </c>
      <c r="X9" s="772"/>
      <c r="Y9" s="3066" t="s">
        <v>2538</v>
      </c>
      <c r="Z9" s="55" t="str">
        <f t="shared" ref="Z9:Z14" si="7">Q9</f>
        <v>用途</v>
      </c>
      <c r="AA9" s="773">
        <f t="shared" si="3"/>
        <v>1</v>
      </c>
      <c r="AB9" s="773">
        <f t="shared" si="4"/>
        <v>1</v>
      </c>
      <c r="AC9" s="773">
        <f t="shared" si="5"/>
        <v>1</v>
      </c>
    </row>
    <row r="10" spans="1:29" s="427" customFormat="1" ht="27">
      <c r="A10" s="421"/>
      <c r="B10" s="422" t="s">
        <v>2539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76"/>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76"/>
      <c r="Q11" s="1798">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76"/>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4"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76"/>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
      <c r="A14" s="440" t="s">
        <v>2541</v>
      </c>
      <c r="B14" s="69" t="s">
        <v>2691</v>
      </c>
      <c r="C14" s="2694">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8" t="s">
        <v>2542</v>
      </c>
      <c r="Q14" s="1813" t="str">
        <f t="shared" si="6"/>
        <v>交通便捷度</v>
      </c>
      <c r="R14" s="774" t="s">
        <v>17</v>
      </c>
      <c r="S14" s="775">
        <f t="shared" si="0"/>
        <v>100</v>
      </c>
      <c r="T14" s="774" t="s">
        <v>17</v>
      </c>
      <c r="U14" s="775">
        <f t="shared" si="1"/>
        <v>100</v>
      </c>
      <c r="V14" s="774" t="s">
        <v>17</v>
      </c>
      <c r="W14" s="775">
        <f t="shared" si="2"/>
        <v>100</v>
      </c>
      <c r="X14" s="1816"/>
      <c r="Y14" s="3278" t="s">
        <v>2542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79"/>
      <c r="Q15" s="1813"/>
      <c r="R15" s="774"/>
      <c r="S15" s="775"/>
      <c r="T15" s="774"/>
      <c r="U15" s="775"/>
      <c r="V15" s="774"/>
      <c r="W15" s="775"/>
      <c r="X15" s="1816"/>
      <c r="Y15" s="3279"/>
      <c r="Z15" s="1817"/>
      <c r="AA15" s="1814">
        <v>1</v>
      </c>
      <c r="AB15" s="1814">
        <v>1</v>
      </c>
      <c r="AC15" s="1814">
        <v>1</v>
      </c>
    </row>
    <row r="16" spans="1:29" ht="15">
      <c r="A16" s="428"/>
      <c r="B16" s="451" t="s">
        <v>2670</v>
      </c>
      <c r="C16" s="2608">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9"/>
      <c r="Q16" s="1813" t="str">
        <f>B16</f>
        <v>公共配套设施</v>
      </c>
      <c r="R16" s="774" t="s">
        <v>17</v>
      </c>
      <c r="S16" s="775">
        <f>F16</f>
        <v>100</v>
      </c>
      <c r="T16" s="774" t="s">
        <v>17</v>
      </c>
      <c r="U16" s="775">
        <f>H16</f>
        <v>100</v>
      </c>
      <c r="V16" s="774" t="s">
        <v>17</v>
      </c>
      <c r="W16" s="775">
        <f>J16</f>
        <v>100</v>
      </c>
      <c r="X16" s="1816"/>
      <c r="Y16" s="3279"/>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79"/>
      <c r="Q17" s="1813"/>
      <c r="R17" s="774"/>
      <c r="S17" s="775"/>
      <c r="T17" s="774"/>
      <c r="U17" s="775"/>
      <c r="V17" s="774"/>
      <c r="W17" s="775"/>
      <c r="X17" s="1816"/>
      <c r="Y17" s="3279"/>
      <c r="Z17" s="1817"/>
      <c r="AA17" s="1814">
        <v>1</v>
      </c>
      <c r="AB17" s="1814">
        <v>1</v>
      </c>
      <c r="AC17" s="1814">
        <v>1</v>
      </c>
    </row>
    <row r="18" spans="1:29" ht="15">
      <c r="A18" s="428"/>
      <c r="B18" s="1387" t="s">
        <v>2671</v>
      </c>
      <c r="C18" s="2608">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9"/>
      <c r="Q18" s="1813" t="str">
        <f>B18</f>
        <v>基础设施水平</v>
      </c>
      <c r="R18" s="774" t="s">
        <v>17</v>
      </c>
      <c r="S18" s="775">
        <f>F18</f>
        <v>100</v>
      </c>
      <c r="T18" s="774" t="s">
        <v>17</v>
      </c>
      <c r="U18" s="775">
        <f>H18</f>
        <v>100</v>
      </c>
      <c r="V18" s="774" t="s">
        <v>17</v>
      </c>
      <c r="W18" s="775">
        <f>J18</f>
        <v>100</v>
      </c>
      <c r="X18" s="1816"/>
      <c r="Y18" s="3279"/>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79"/>
      <c r="Q19" s="1813"/>
      <c r="R19" s="774"/>
      <c r="S19" s="775"/>
      <c r="T19" s="774"/>
      <c r="U19" s="775"/>
      <c r="V19" s="774"/>
      <c r="W19" s="775"/>
      <c r="X19" s="1816"/>
      <c r="Y19" s="3279"/>
      <c r="Z19" s="1817"/>
      <c r="AA19" s="1814">
        <v>1</v>
      </c>
      <c r="AB19" s="1814">
        <v>1</v>
      </c>
      <c r="AC19" s="1814">
        <v>1</v>
      </c>
    </row>
    <row r="20" spans="1:29" ht="15">
      <c r="A20" s="428"/>
      <c r="B20" s="451" t="s">
        <v>2692</v>
      </c>
      <c r="C20" s="2608">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9"/>
      <c r="Q20" s="1813" t="str">
        <f>B20</f>
        <v>自然及人文环境</v>
      </c>
      <c r="R20" s="774" t="s">
        <v>17</v>
      </c>
      <c r="S20" s="775">
        <f>F20</f>
        <v>100</v>
      </c>
      <c r="T20" s="774" t="s">
        <v>17</v>
      </c>
      <c r="U20" s="775">
        <f>H20</f>
        <v>100</v>
      </c>
      <c r="V20" s="774" t="s">
        <v>17</v>
      </c>
      <c r="W20" s="775">
        <f>J20</f>
        <v>100</v>
      </c>
      <c r="X20" s="1816"/>
      <c r="Y20" s="327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79"/>
      <c r="Q21" s="1813"/>
      <c r="R21" s="774"/>
      <c r="S21" s="775"/>
      <c r="T21" s="774"/>
      <c r="U21" s="775"/>
      <c r="V21" s="774"/>
      <c r="W21" s="775"/>
      <c r="X21" s="1816"/>
      <c r="Y21" s="3279"/>
      <c r="Z21" s="1817"/>
      <c r="AA21" s="1814">
        <v>1</v>
      </c>
      <c r="AB21" s="1814">
        <v>1</v>
      </c>
      <c r="AC21" s="1814">
        <v>1</v>
      </c>
    </row>
    <row r="22" spans="1:29" ht="15">
      <c r="A22" s="428"/>
      <c r="B22" s="451" t="s">
        <v>2693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9"/>
      <c r="Q22" s="1813" t="str">
        <f>B22</f>
        <v>楼层</v>
      </c>
      <c r="R22" s="774" t="s">
        <v>17</v>
      </c>
      <c r="S22" s="775">
        <f>F22</f>
        <v>100</v>
      </c>
      <c r="T22" s="774" t="s">
        <v>17</v>
      </c>
      <c r="U22" s="775">
        <f>H22</f>
        <v>100</v>
      </c>
      <c r="V22" s="774" t="s">
        <v>17</v>
      </c>
      <c r="W22" s="775">
        <f>J22</f>
        <v>100</v>
      </c>
      <c r="X22" s="1816"/>
      <c r="Y22" s="3279"/>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9"/>
      <c r="Q23" s="1813">
        <f>B23</f>
        <v>111</v>
      </c>
      <c r="R23" s="774" t="s">
        <v>17</v>
      </c>
      <c r="S23" s="775">
        <f>F23</f>
        <v>100</v>
      </c>
      <c r="T23" s="774" t="s">
        <v>17</v>
      </c>
      <c r="U23" s="775">
        <f>H23</f>
        <v>100</v>
      </c>
      <c r="V23" s="774" t="s">
        <v>17</v>
      </c>
      <c r="W23" s="775">
        <f>J23</f>
        <v>100</v>
      </c>
      <c r="X23" s="1816"/>
      <c r="Y23" s="3279"/>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9"/>
      <c r="Q24" s="1813">
        <f t="shared" ref="Q24:Q34" si="11">B24</f>
        <v>111</v>
      </c>
      <c r="R24" s="774" t="s">
        <v>17</v>
      </c>
      <c r="S24" s="775">
        <f>F24</f>
        <v>100</v>
      </c>
      <c r="T24" s="774" t="s">
        <v>17</v>
      </c>
      <c r="U24" s="775">
        <f>H24</f>
        <v>100</v>
      </c>
      <c r="V24" s="774" t="s">
        <v>17</v>
      </c>
      <c r="W24" s="775">
        <f>J24</f>
        <v>100</v>
      </c>
      <c r="X24" s="1816"/>
      <c r="Y24" s="3279"/>
      <c r="Z24" s="1817">
        <f>Q24</f>
        <v>111</v>
      </c>
      <c r="AA24" s="1814">
        <f t="shared" si="3"/>
        <v>1</v>
      </c>
      <c r="AB24" s="1814">
        <f t="shared" si="4"/>
        <v>1</v>
      </c>
      <c r="AC24" s="1814">
        <f t="shared" si="5"/>
        <v>1</v>
      </c>
    </row>
    <row r="25" spans="1:29" s="117" customFormat="1" ht="15.4"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79"/>
      <c r="Q25" s="1798">
        <f t="shared" si="11"/>
        <v>111</v>
      </c>
      <c r="R25" s="770" t="s">
        <v>17</v>
      </c>
      <c r="S25" s="771">
        <f>F25</f>
        <v>100</v>
      </c>
      <c r="T25" s="770" t="s">
        <v>17</v>
      </c>
      <c r="U25" s="771">
        <f>H25</f>
        <v>100</v>
      </c>
      <c r="V25" s="770" t="s">
        <v>17</v>
      </c>
      <c r="W25" s="771">
        <f>J25</f>
        <v>100</v>
      </c>
      <c r="X25" s="772"/>
      <c r="Y25" s="3279"/>
      <c r="Z25" s="55">
        <f>Q25</f>
        <v>111</v>
      </c>
      <c r="AA25" s="1814">
        <f>D25/F25</f>
        <v>1</v>
      </c>
      <c r="AB25" s="1814">
        <f>D25/H25</f>
        <v>1</v>
      </c>
      <c r="AC25" s="1814">
        <f>D25/J25</f>
        <v>1</v>
      </c>
    </row>
    <row r="26" spans="1:29" ht="15">
      <c r="A26" s="466" t="s">
        <v>2545</v>
      </c>
      <c r="B26" s="71" t="s">
        <v>2696</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302" t="s">
        <v>2547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83" t="s">
        <v>2547</v>
      </c>
      <c r="Z26" s="1817" t="str">
        <f t="shared" ref="Z26:Z34" si="15">Q26</f>
        <v>公共部分装修</v>
      </c>
      <c r="AA26" s="1814">
        <f t="shared" si="3"/>
        <v>1</v>
      </c>
      <c r="AB26" s="1814">
        <f t="shared" si="4"/>
        <v>1</v>
      </c>
      <c r="AC26" s="1814">
        <f t="shared" si="5"/>
        <v>1</v>
      </c>
    </row>
    <row r="27" spans="1:29" s="471" customFormat="1" ht="15">
      <c r="A27" s="468"/>
      <c r="B27" s="422" t="s">
        <v>2697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3"/>
      <c r="Q27" s="776" t="str">
        <f t="shared" si="11"/>
        <v>成新率</v>
      </c>
      <c r="R27" s="777" t="s">
        <v>17</v>
      </c>
      <c r="S27" s="778" t="e">
        <f t="shared" si="12"/>
        <v>#N/A</v>
      </c>
      <c r="T27" s="777" t="s">
        <v>17</v>
      </c>
      <c r="U27" s="778" t="e">
        <f t="shared" si="13"/>
        <v>#N/A</v>
      </c>
      <c r="V27" s="777" t="s">
        <v>17</v>
      </c>
      <c r="W27" s="778" t="e">
        <f t="shared" si="14"/>
        <v>#N/A</v>
      </c>
      <c r="X27" s="779"/>
      <c r="Y27" s="3283"/>
      <c r="Z27" s="780" t="str">
        <f t="shared" si="15"/>
        <v>成新率</v>
      </c>
      <c r="AA27" s="1814" t="e">
        <f t="shared" si="3"/>
        <v>#N/A</v>
      </c>
      <c r="AB27" s="1814" t="e">
        <f t="shared" si="4"/>
        <v>#N/A</v>
      </c>
      <c r="AC27" s="1814" t="e">
        <f t="shared" si="5"/>
        <v>#N/A</v>
      </c>
    </row>
    <row r="28" spans="1:29" ht="15">
      <c r="A28" s="472"/>
      <c r="B28" s="422" t="s">
        <v>2698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3"/>
      <c r="Q28" s="1813" t="str">
        <f t="shared" si="11"/>
        <v>物业等级</v>
      </c>
      <c r="R28" s="774" t="s">
        <v>17</v>
      </c>
      <c r="S28" s="775">
        <f t="shared" si="12"/>
        <v>100</v>
      </c>
      <c r="T28" s="774" t="s">
        <v>17</v>
      </c>
      <c r="U28" s="775">
        <f t="shared" si="13"/>
        <v>100</v>
      </c>
      <c r="V28" s="774" t="s">
        <v>17</v>
      </c>
      <c r="W28" s="775">
        <f t="shared" si="14"/>
        <v>100</v>
      </c>
      <c r="X28" s="1816"/>
      <c r="Y28" s="3283"/>
      <c r="Z28" s="1817" t="str">
        <f t="shared" si="15"/>
        <v>物业等级</v>
      </c>
      <c r="AA28" s="1814">
        <f t="shared" si="3"/>
        <v>1</v>
      </c>
      <c r="AB28" s="1814">
        <f t="shared" si="4"/>
        <v>1</v>
      </c>
      <c r="AC28" s="1814">
        <f t="shared" si="5"/>
        <v>1</v>
      </c>
    </row>
    <row r="29" spans="1:29" ht="15">
      <c r="A29" s="472"/>
      <c r="B29" s="422" t="s">
        <v>2719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3"/>
      <c r="Q29" s="1813" t="str">
        <f t="shared" si="11"/>
        <v>有无电梯</v>
      </c>
      <c r="R29" s="774" t="s">
        <v>17</v>
      </c>
      <c r="S29" s="775">
        <f t="shared" si="12"/>
        <v>100</v>
      </c>
      <c r="T29" s="774" t="s">
        <v>17</v>
      </c>
      <c r="U29" s="775">
        <f t="shared" si="13"/>
        <v>100</v>
      </c>
      <c r="V29" s="774" t="s">
        <v>17</v>
      </c>
      <c r="W29" s="775">
        <f t="shared" si="14"/>
        <v>100</v>
      </c>
      <c r="X29" s="1816"/>
      <c r="Y29" s="3283"/>
      <c r="Z29" s="1817" t="str">
        <f t="shared" si="15"/>
        <v>有无电梯</v>
      </c>
      <c r="AA29" s="1814">
        <f t="shared" si="3"/>
        <v>1</v>
      </c>
      <c r="AB29" s="1814">
        <f t="shared" si="4"/>
        <v>1</v>
      </c>
      <c r="AC29" s="1814">
        <f t="shared" si="5"/>
        <v>1</v>
      </c>
    </row>
    <row r="30" spans="1:29" ht="15">
      <c r="A30" s="472"/>
      <c r="B30" s="422" t="s">
        <v>2720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3"/>
      <c r="Q30" s="1813" t="str">
        <f t="shared" si="11"/>
        <v>建筑面积</v>
      </c>
      <c r="R30" s="774" t="s">
        <v>17</v>
      </c>
      <c r="S30" s="775" t="e">
        <f t="shared" si="12"/>
        <v>#N/A</v>
      </c>
      <c r="T30" s="774" t="s">
        <v>17</v>
      </c>
      <c r="U30" s="775" t="e">
        <f t="shared" si="13"/>
        <v>#N/A</v>
      </c>
      <c r="V30" s="774" t="s">
        <v>17</v>
      </c>
      <c r="W30" s="775" t="e">
        <f t="shared" si="14"/>
        <v>#N/A</v>
      </c>
      <c r="X30" s="1816"/>
      <c r="Y30" s="3283"/>
      <c r="Z30" s="1817" t="str">
        <f t="shared" si="15"/>
        <v>建筑面积</v>
      </c>
      <c r="AA30" s="1814" t="e">
        <f t="shared" si="3"/>
        <v>#N/A</v>
      </c>
      <c r="AB30" s="1814" t="e">
        <f t="shared" si="4"/>
        <v>#N/A</v>
      </c>
      <c r="AC30" s="1814" t="e">
        <f t="shared" si="5"/>
        <v>#N/A</v>
      </c>
    </row>
    <row r="31" spans="1:29" s="117" customFormat="1" ht="15">
      <c r="A31" s="473"/>
      <c r="B31" s="422" t="s">
        <v>2721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3"/>
      <c r="Q31" s="1798" t="str">
        <f t="shared" si="11"/>
        <v>是否封闭</v>
      </c>
      <c r="R31" s="770" t="s">
        <v>17</v>
      </c>
      <c r="S31" s="771">
        <f t="shared" si="12"/>
        <v>100</v>
      </c>
      <c r="T31" s="770" t="s">
        <v>17</v>
      </c>
      <c r="U31" s="771">
        <f t="shared" si="13"/>
        <v>100</v>
      </c>
      <c r="V31" s="770" t="s">
        <v>17</v>
      </c>
      <c r="W31" s="771">
        <f t="shared" si="14"/>
        <v>100</v>
      </c>
      <c r="X31" s="772"/>
      <c r="Y31" s="3283"/>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3" t="s">
        <v>2547</v>
      </c>
      <c r="Q32" s="1813">
        <f t="shared" si="11"/>
        <v>111</v>
      </c>
      <c r="R32" s="774" t="s">
        <v>17</v>
      </c>
      <c r="S32" s="775">
        <f t="shared" si="12"/>
        <v>100</v>
      </c>
      <c r="T32" s="774" t="s">
        <v>17</v>
      </c>
      <c r="U32" s="775">
        <f t="shared" si="13"/>
        <v>100</v>
      </c>
      <c r="V32" s="774" t="s">
        <v>17</v>
      </c>
      <c r="W32" s="775">
        <f t="shared" si="14"/>
        <v>100</v>
      </c>
      <c r="X32" s="1816"/>
      <c r="Y32" s="3283" t="s">
        <v>2547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3"/>
      <c r="Q33" s="1813">
        <f t="shared" si="11"/>
        <v>111</v>
      </c>
      <c r="R33" s="774" t="s">
        <v>17</v>
      </c>
      <c r="S33" s="775">
        <f t="shared" si="12"/>
        <v>100</v>
      </c>
      <c r="T33" s="774" t="s">
        <v>17</v>
      </c>
      <c r="U33" s="775">
        <f t="shared" si="13"/>
        <v>100</v>
      </c>
      <c r="V33" s="774" t="s">
        <v>17</v>
      </c>
      <c r="W33" s="775">
        <f t="shared" si="14"/>
        <v>100</v>
      </c>
      <c r="X33" s="1816"/>
      <c r="Y33" s="3283"/>
      <c r="Z33" s="1817">
        <f t="shared" si="15"/>
        <v>111</v>
      </c>
      <c r="AA33" s="1814">
        <f t="shared" si="3"/>
        <v>1</v>
      </c>
      <c r="AB33" s="1814">
        <f t="shared" si="4"/>
        <v>1</v>
      </c>
      <c r="AC33" s="1814">
        <f t="shared" si="5"/>
        <v>1</v>
      </c>
    </row>
    <row r="34" spans="1:29" ht="15.4"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83"/>
      <c r="Q34" s="1813">
        <f t="shared" si="11"/>
        <v>111</v>
      </c>
      <c r="R34" s="774" t="s">
        <v>17</v>
      </c>
      <c r="S34" s="775">
        <f t="shared" si="12"/>
        <v>100</v>
      </c>
      <c r="T34" s="774" t="s">
        <v>17</v>
      </c>
      <c r="U34" s="775">
        <f t="shared" si="13"/>
        <v>100</v>
      </c>
      <c r="V34" s="774" t="s">
        <v>17</v>
      </c>
      <c r="W34" s="775">
        <f t="shared" si="14"/>
        <v>100</v>
      </c>
      <c r="X34" s="1816"/>
      <c r="Y34" s="3283"/>
      <c r="Z34" s="1817">
        <f t="shared" si="15"/>
        <v>111</v>
      </c>
      <c r="AA34" s="1814">
        <f t="shared" si="3"/>
        <v>1</v>
      </c>
      <c r="AB34" s="1814">
        <f t="shared" si="4"/>
        <v>1</v>
      </c>
      <c r="AC34" s="1814">
        <f t="shared" si="5"/>
        <v>1</v>
      </c>
    </row>
    <row r="35" spans="1:29" ht="13.9">
      <c r="A35" s="479" t="s">
        <v>2559</v>
      </c>
      <c r="B35" s="480"/>
      <c r="C35" s="1410" t="s">
        <v>1</v>
      </c>
      <c r="D35" s="1411"/>
      <c r="E35" s="1412"/>
      <c r="F35" s="1413"/>
      <c r="G35" s="1414"/>
      <c r="H35" s="1415"/>
      <c r="I35" s="1412"/>
      <c r="J35" s="1415"/>
      <c r="K35" s="783"/>
      <c r="L35" s="1146"/>
      <c r="M35" s="1147"/>
      <c r="N35" s="1134"/>
      <c r="O35" s="1147"/>
      <c r="P35" s="3276" t="str">
        <f>A35</f>
        <v>成交单价（元/平方米）</v>
      </c>
      <c r="Q35" s="3276"/>
      <c r="R35" s="3277">
        <f>E35</f>
        <v>0</v>
      </c>
      <c r="S35" s="3277"/>
      <c r="T35" s="3277">
        <f>G35</f>
        <v>0</v>
      </c>
      <c r="U35" s="3277"/>
      <c r="V35" s="3277">
        <f>I35</f>
        <v>0</v>
      </c>
      <c r="W35" s="3277"/>
      <c r="X35" s="759"/>
      <c r="Y35" s="781"/>
      <c r="Z35" s="759"/>
      <c r="AA35" s="759"/>
      <c r="AB35" s="759"/>
      <c r="AC35" s="759"/>
    </row>
    <row r="36" spans="1:29" ht="14.25" thickBot="1">
      <c r="A36" s="486" t="s">
        <v>2651</v>
      </c>
      <c r="B36" s="487"/>
      <c r="C36" s="1416" t="e">
        <f>R37</f>
        <v>#DIV/0!</v>
      </c>
      <c r="D36" s="1417"/>
      <c r="E36" s="1418" t="e">
        <f>R36</f>
        <v>#DIV/0!</v>
      </c>
      <c r="F36" s="1418"/>
      <c r="G36" s="1416" t="e">
        <f>T36</f>
        <v>#DIV/0!</v>
      </c>
      <c r="H36" s="1417"/>
      <c r="I36" s="1418" t="e">
        <f>V36</f>
        <v>#DIV/0!</v>
      </c>
      <c r="J36" s="1417"/>
      <c r="K36" s="784"/>
      <c r="L36" s="1146"/>
      <c r="M36" s="1147"/>
      <c r="N36" s="1134"/>
      <c r="O36" s="1147"/>
      <c r="P36" s="3276" t="str">
        <f>A36</f>
        <v>比较价值（元/平方米）</v>
      </c>
      <c r="Q36" s="3276"/>
      <c r="R36" s="3277" t="e">
        <f>IF(F1="售价",ROUND(PRODUCT(R35,AA7:AA34),0),ROUND(PRODUCT(R35,AA7:AA34),1))</f>
        <v>#DIV/0!</v>
      </c>
      <c r="S36" s="3277"/>
      <c r="T36" s="3277" t="e">
        <f>IF(F1="售价",ROUND(PRODUCT(T35,AB7:AB34),0),ROUND(PRODUCT(T35,AB7:AB34),1))</f>
        <v>#DIV/0!</v>
      </c>
      <c r="U36" s="3277"/>
      <c r="V36" s="3277" t="e">
        <f>IF(F1="售价",ROUND(PRODUCT(V35,AC7:AC34),0),ROUND(PRODUCT(V35,AC7:AC34),1))</f>
        <v>#DIV/0!</v>
      </c>
      <c r="W36" s="3277"/>
      <c r="X36" s="759"/>
      <c r="Y36" s="759"/>
      <c r="Z36" s="759"/>
      <c r="AA36" s="759"/>
      <c r="AB36" s="759"/>
      <c r="AC36" s="759"/>
    </row>
    <row r="37" spans="1:29" ht="14.25" thickBot="1">
      <c r="A37" s="492" t="s">
        <v>2652</v>
      </c>
      <c r="B37" s="493"/>
      <c r="C37" s="1420" t="e">
        <f>R37</f>
        <v>#DIV/0!</v>
      </c>
      <c r="D37" s="1420"/>
      <c r="E37" s="1420"/>
      <c r="F37" s="1420"/>
      <c r="G37" s="1420"/>
      <c r="H37" s="1420"/>
      <c r="I37" s="1420"/>
      <c r="J37" s="1420"/>
      <c r="K37" s="785"/>
      <c r="L37" s="1146"/>
      <c r="M37" s="1147"/>
      <c r="N37" s="1147"/>
      <c r="O37" s="1147"/>
      <c r="P37" s="3273" t="str">
        <f>A37</f>
        <v>估价对象XX用房的比较价值（楼面单价，元/平方米）</v>
      </c>
      <c r="Q37" s="3274"/>
      <c r="R37" s="3275" t="e">
        <f>IF(F1="售价",ROUND(AVERAGE(R36:V36),0),ROUND(AVERAGE(R36:V36),1))</f>
        <v>#DIV/0!</v>
      </c>
      <c r="S37" s="3275"/>
      <c r="T37" s="3275"/>
      <c r="U37" s="3275"/>
      <c r="V37" s="3275"/>
      <c r="W37" s="327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2655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2656</v>
      </c>
      <c r="B45" s="759"/>
      <c r="C45" s="764"/>
      <c r="D45" s="764"/>
      <c r="E45" s="764"/>
      <c r="F45" s="765"/>
      <c r="G45" s="765"/>
      <c r="H45" s="764"/>
      <c r="I45" s="764"/>
      <c r="J45" s="764"/>
      <c r="K45" s="766"/>
      <c r="L45" s="767"/>
      <c r="M45" s="764"/>
      <c r="N45" s="764"/>
      <c r="O45" s="764"/>
      <c r="P45" s="503"/>
      <c r="Q45" s="504"/>
    </row>
    <row r="46" spans="1:29" s="508" customFormat="1" ht="13.9">
      <c r="A46" s="505" t="s">
        <v>2530</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3.9">
      <c r="A47" s="509"/>
      <c r="B47" s="510"/>
      <c r="C47" s="1576">
        <v>100</v>
      </c>
      <c r="D47" s="512"/>
      <c r="E47" s="512"/>
      <c r="F47" s="512"/>
      <c r="G47" s="512"/>
      <c r="H47" s="512"/>
      <c r="I47" s="512"/>
      <c r="J47" s="512"/>
      <c r="K47" s="512"/>
      <c r="L47" s="512"/>
      <c r="M47" s="513"/>
      <c r="N47" s="512"/>
      <c r="O47" s="514"/>
      <c r="P47" s="504"/>
    </row>
    <row r="48" spans="1:29" s="117" customFormat="1" ht="14.25" thickBot="1">
      <c r="A48" s="515" t="s">
        <v>2567</v>
      </c>
      <c r="B48" s="516"/>
      <c r="C48" s="517"/>
      <c r="D48" s="518"/>
      <c r="E48" s="518"/>
      <c r="F48" s="518"/>
      <c r="G48" s="518"/>
      <c r="H48" s="518"/>
      <c r="I48" s="518"/>
      <c r="J48" s="518"/>
      <c r="K48" s="518"/>
      <c r="L48" s="518"/>
      <c r="M48" s="519"/>
      <c r="N48" s="518"/>
      <c r="O48" s="520"/>
      <c r="P48" s="504"/>
      <c r="Q48" s="504"/>
    </row>
    <row r="49" spans="1:17" s="117" customFormat="1" ht="13.9">
      <c r="A49" s="521" t="s">
        <v>2532</v>
      </c>
      <c r="B49" s="510"/>
      <c r="C49" s="522" t="s">
        <v>2634</v>
      </c>
      <c r="D49" s="523"/>
      <c r="E49" s="523"/>
      <c r="F49" s="523"/>
      <c r="G49" s="523"/>
      <c r="H49" s="523"/>
      <c r="I49" s="523"/>
      <c r="J49" s="523"/>
      <c r="K49" s="523"/>
      <c r="L49" s="524"/>
      <c r="M49" s="525"/>
      <c r="N49" s="1154"/>
      <c r="O49" s="1154"/>
      <c r="P49" s="526"/>
      <c r="Q49" s="504"/>
    </row>
    <row r="50" spans="1:17" s="117" customFormat="1" ht="14.25" thickBot="1">
      <c r="A50" s="521"/>
      <c r="B50" s="510"/>
      <c r="C50" s="639">
        <v>100</v>
      </c>
      <c r="D50" s="512"/>
      <c r="E50" s="512"/>
      <c r="F50" s="512"/>
      <c r="G50" s="512"/>
      <c r="H50" s="512"/>
      <c r="I50" s="512"/>
      <c r="J50" s="512"/>
      <c r="K50" s="512"/>
      <c r="L50" s="512"/>
      <c r="M50" s="514"/>
      <c r="N50" s="1154"/>
      <c r="O50" s="1154"/>
      <c r="P50" s="504"/>
      <c r="Q50" s="504"/>
    </row>
    <row r="51" spans="1:17">
      <c r="A51" s="527" t="s">
        <v>2570</v>
      </c>
      <c r="B51" s="528" t="s">
        <v>2536</v>
      </c>
      <c r="C51" s="529">
        <f>C9</f>
        <v>0</v>
      </c>
      <c r="D51" s="530"/>
      <c r="E51" s="530"/>
      <c r="F51" s="530"/>
      <c r="G51" s="530"/>
      <c r="H51" s="530"/>
      <c r="I51" s="530"/>
      <c r="J51" s="530"/>
      <c r="K51" s="531"/>
      <c r="L51" s="532"/>
      <c r="M51" s="533"/>
      <c r="N51" s="1155"/>
      <c r="O51" s="1155"/>
      <c r="P51" s="45"/>
      <c r="Q51" s="504"/>
    </row>
    <row r="52" spans="1:17" ht="14.25" thickBot="1">
      <c r="A52" s="534"/>
      <c r="B52" s="535"/>
      <c r="C52" s="536">
        <v>100</v>
      </c>
      <c r="D52" s="536"/>
      <c r="E52" s="536"/>
      <c r="F52" s="536"/>
      <c r="G52" s="536"/>
      <c r="H52" s="536"/>
      <c r="I52" s="536"/>
      <c r="J52" s="536"/>
      <c r="K52" s="536"/>
      <c r="L52" s="536"/>
      <c r="M52" s="537"/>
      <c r="N52" s="1156"/>
      <c r="O52" s="1156"/>
      <c r="P52" s="45"/>
      <c r="Q52" s="504"/>
    </row>
    <row r="53" spans="1:17" ht="27.4" thickTop="1">
      <c r="A53" s="534"/>
      <c r="B53" s="538" t="s">
        <v>2539</v>
      </c>
      <c r="C53" s="539" t="s">
        <v>2571</v>
      </c>
      <c r="D53" s="539" t="s">
        <v>2572</v>
      </c>
      <c r="E53" s="539" t="s">
        <v>2573</v>
      </c>
      <c r="F53" s="539" t="s">
        <v>2574</v>
      </c>
      <c r="G53" s="539" t="s">
        <v>2575</v>
      </c>
      <c r="H53" s="539" t="s">
        <v>2576</v>
      </c>
      <c r="I53" s="539" t="s">
        <v>2577</v>
      </c>
      <c r="J53" s="539"/>
      <c r="K53" s="540"/>
      <c r="L53" s="541"/>
      <c r="M53" s="542"/>
      <c r="N53" s="1155"/>
      <c r="O53" s="1155"/>
      <c r="P53" s="45"/>
      <c r="Q53" s="504"/>
    </row>
    <row r="54" spans="1:17" ht="14.2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25" thickTop="1">
      <c r="A55" s="534"/>
      <c r="B55" s="660">
        <f>B11</f>
        <v>111</v>
      </c>
      <c r="C55" s="549"/>
      <c r="D55" s="549"/>
      <c r="E55" s="549"/>
      <c r="F55" s="549"/>
      <c r="G55" s="549"/>
      <c r="H55" s="549"/>
      <c r="I55" s="549"/>
      <c r="J55" s="549"/>
      <c r="K55" s="550"/>
      <c r="L55" s="551"/>
      <c r="M55" s="552"/>
      <c r="N55" s="1155"/>
      <c r="O55" s="1155"/>
      <c r="P55" s="45"/>
      <c r="Q55" s="504"/>
    </row>
    <row r="56" spans="1:17" ht="14.25" thickBot="1">
      <c r="A56" s="534"/>
      <c r="B56" s="535"/>
      <c r="C56" s="560"/>
      <c r="D56" s="536"/>
      <c r="E56" s="536"/>
      <c r="F56" s="536"/>
      <c r="G56" s="536"/>
      <c r="H56" s="536"/>
      <c r="I56" s="536"/>
      <c r="J56" s="536"/>
      <c r="K56" s="536"/>
      <c r="L56" s="536"/>
      <c r="M56" s="537"/>
      <c r="N56" s="1156"/>
      <c r="O56" s="1156"/>
      <c r="P56" s="45"/>
      <c r="Q56" s="504"/>
    </row>
    <row r="57" spans="1:17" s="471" customFormat="1" ht="14.25" thickTop="1">
      <c r="A57" s="553"/>
      <c r="B57" s="538">
        <f>B12</f>
        <v>111</v>
      </c>
      <c r="C57" s="549"/>
      <c r="D57" s="549"/>
      <c r="E57" s="549"/>
      <c r="F57" s="549"/>
      <c r="G57" s="554"/>
      <c r="H57" s="555"/>
      <c r="I57" s="555"/>
      <c r="J57" s="555"/>
      <c r="K57" s="555"/>
      <c r="L57" s="556"/>
      <c r="M57" s="557"/>
      <c r="N57" s="1157"/>
      <c r="O57" s="1157"/>
      <c r="P57" s="558"/>
      <c r="Q57" s="559"/>
    </row>
    <row r="58" spans="1:17" s="471" customFormat="1" ht="14.25" thickBot="1">
      <c r="A58" s="553"/>
      <c r="B58" s="543"/>
      <c r="C58" s="560"/>
      <c r="D58" s="536"/>
      <c r="E58" s="536"/>
      <c r="F58" s="536"/>
      <c r="G58" s="536"/>
      <c r="H58" s="536"/>
      <c r="I58" s="536"/>
      <c r="J58" s="536"/>
      <c r="K58" s="536"/>
      <c r="L58" s="536"/>
      <c r="M58" s="537"/>
      <c r="N58" s="1156"/>
      <c r="O58" s="1156"/>
      <c r="P58" s="558"/>
      <c r="Q58" s="559"/>
    </row>
    <row r="59" spans="1:17" s="471" customFormat="1" ht="14.25" thickTop="1">
      <c r="A59" s="553"/>
      <c r="B59" s="538">
        <f>B13</f>
        <v>111</v>
      </c>
      <c r="C59" s="549"/>
      <c r="D59" s="549"/>
      <c r="E59" s="549"/>
      <c r="F59" s="549"/>
      <c r="G59" s="554"/>
      <c r="H59" s="555"/>
      <c r="I59" s="555"/>
      <c r="J59" s="555"/>
      <c r="K59" s="555"/>
      <c r="L59" s="556"/>
      <c r="M59" s="557"/>
      <c r="N59" s="1157"/>
      <c r="O59" s="1157"/>
      <c r="P59" s="470"/>
      <c r="Q59" s="561"/>
    </row>
    <row r="60" spans="1:17" s="471" customFormat="1" ht="14.25" thickBot="1">
      <c r="A60" s="553"/>
      <c r="B60" s="543"/>
      <c r="C60" s="560"/>
      <c r="D60" s="560"/>
      <c r="E60" s="560"/>
      <c r="F60" s="560"/>
      <c r="G60" s="560"/>
      <c r="H60" s="562"/>
      <c r="I60" s="562"/>
      <c r="J60" s="562"/>
      <c r="K60" s="562"/>
      <c r="L60" s="562"/>
      <c r="M60" s="563"/>
      <c r="N60" s="1157"/>
      <c r="O60" s="1157"/>
      <c r="P60" s="558"/>
      <c r="Q60" s="559"/>
    </row>
    <row r="61" spans="1:17" ht="13.9" thickTop="1">
      <c r="A61" s="527" t="s">
        <v>2541</v>
      </c>
      <c r="B61" s="528" t="s">
        <v>2584</v>
      </c>
      <c r="C61" s="573" t="s">
        <v>2579</v>
      </c>
      <c r="D61" s="573" t="s">
        <v>2580</v>
      </c>
      <c r="E61" s="573" t="s">
        <v>2581</v>
      </c>
      <c r="F61" s="573" t="s">
        <v>2582</v>
      </c>
      <c r="G61" s="573" t="s">
        <v>2583</v>
      </c>
      <c r="H61" s="529"/>
      <c r="I61" s="529"/>
      <c r="J61" s="529"/>
      <c r="K61" s="574"/>
      <c r="L61" s="575"/>
      <c r="M61" s="576"/>
      <c r="N61" s="1155"/>
      <c r="O61" s="1155"/>
      <c r="P61" s="577"/>
      <c r="Q61" s="504"/>
    </row>
    <row r="62" spans="1:17" ht="14.2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4" thickTop="1">
      <c r="A63" s="534"/>
      <c r="B63" s="538" t="s">
        <v>2722</v>
      </c>
      <c r="C63" s="578" t="s">
        <v>2579</v>
      </c>
      <c r="D63" s="578" t="s">
        <v>2580</v>
      </c>
      <c r="E63" s="578" t="s">
        <v>2581</v>
      </c>
      <c r="F63" s="578" t="s">
        <v>2582</v>
      </c>
      <c r="G63" s="578" t="s">
        <v>2583</v>
      </c>
      <c r="H63" s="539"/>
      <c r="I63" s="539"/>
      <c r="J63" s="539"/>
      <c r="K63" s="540"/>
      <c r="L63" s="541"/>
      <c r="M63" s="542"/>
      <c r="N63" s="1155"/>
      <c r="O63" s="1155"/>
      <c r="P63" s="45"/>
      <c r="Q63" s="504"/>
    </row>
    <row r="64" spans="1:17" ht="14.2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4.25" thickTop="1">
      <c r="A65" s="534"/>
      <c r="B65" s="546" t="s">
        <v>2671</v>
      </c>
      <c r="C65" s="660" t="s">
        <v>2657</v>
      </c>
      <c r="D65" s="660" t="s">
        <v>2658</v>
      </c>
      <c r="E65" s="660" t="s">
        <v>2659</v>
      </c>
      <c r="F65" s="660" t="s">
        <v>2660</v>
      </c>
      <c r="G65" s="660" t="s">
        <v>2661</v>
      </c>
      <c r="H65" s="539"/>
      <c r="I65" s="539"/>
      <c r="J65" s="539"/>
      <c r="K65" s="539"/>
      <c r="L65" s="539"/>
      <c r="M65" s="1385"/>
      <c r="N65" s="1156"/>
      <c r="O65" s="1156"/>
      <c r="P65" s="45"/>
      <c r="Q65" s="504"/>
    </row>
    <row r="66" spans="1:17" ht="14.2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4.25" thickTop="1">
      <c r="A67" s="534"/>
      <c r="B67" s="538" t="s">
        <v>2591</v>
      </c>
      <c r="C67" s="578" t="s">
        <v>2579</v>
      </c>
      <c r="D67" s="578" t="s">
        <v>2580</v>
      </c>
      <c r="E67" s="578" t="s">
        <v>2581</v>
      </c>
      <c r="F67" s="578" t="s">
        <v>2582</v>
      </c>
      <c r="G67" s="578" t="s">
        <v>2583</v>
      </c>
      <c r="H67" s="539"/>
      <c r="I67" s="539"/>
      <c r="J67" s="539"/>
      <c r="K67" s="540"/>
      <c r="L67" s="541"/>
      <c r="M67" s="542"/>
      <c r="N67" s="1155"/>
      <c r="O67" s="1155"/>
      <c r="P67" s="45"/>
      <c r="Q67" s="504"/>
    </row>
    <row r="68" spans="1:17" ht="14.2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4.25" thickTop="1">
      <c r="A69" s="534"/>
      <c r="B69" s="538" t="s">
        <v>2711</v>
      </c>
      <c r="C69" s="554"/>
      <c r="D69" s="554"/>
      <c r="E69" s="554"/>
      <c r="F69" s="554"/>
      <c r="G69" s="554"/>
      <c r="H69" s="583"/>
      <c r="I69" s="583"/>
      <c r="J69" s="583"/>
      <c r="K69" s="584"/>
      <c r="L69" s="585"/>
      <c r="M69" s="586"/>
      <c r="N69" s="1155"/>
      <c r="O69" s="1155"/>
      <c r="P69" s="45"/>
      <c r="Q69" s="504"/>
    </row>
    <row r="70" spans="1:17" ht="14.2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25" thickTop="1">
      <c r="A71" s="579"/>
      <c r="B71" s="538">
        <f>B23</f>
        <v>111</v>
      </c>
      <c r="C71" s="549"/>
      <c r="D71" s="549"/>
      <c r="E71" s="549"/>
      <c r="F71" s="549"/>
      <c r="G71" s="554"/>
      <c r="H71" s="554"/>
      <c r="I71" s="554"/>
      <c r="J71" s="554"/>
      <c r="K71" s="554"/>
      <c r="L71" s="580"/>
      <c r="M71" s="581"/>
      <c r="N71" s="1154"/>
      <c r="O71" s="1154"/>
      <c r="P71" s="45"/>
      <c r="Q71" s="504"/>
    </row>
    <row r="72" spans="1:17" s="117" customFormat="1" ht="14.25" thickBot="1">
      <c r="A72" s="579"/>
      <c r="B72" s="543"/>
      <c r="C72" s="560"/>
      <c r="D72" s="536"/>
      <c r="E72" s="536"/>
      <c r="F72" s="536"/>
      <c r="G72" s="536"/>
      <c r="H72" s="536"/>
      <c r="I72" s="536"/>
      <c r="J72" s="536"/>
      <c r="K72" s="536"/>
      <c r="L72" s="536"/>
      <c r="M72" s="537"/>
      <c r="N72" s="1156"/>
      <c r="O72" s="1156"/>
      <c r="P72" s="45"/>
      <c r="Q72" s="504"/>
    </row>
    <row r="73" spans="1:17" s="117" customFormat="1" ht="14.25" thickTop="1">
      <c r="A73" s="579"/>
      <c r="B73" s="538">
        <f>B24</f>
        <v>111</v>
      </c>
      <c r="C73" s="549"/>
      <c r="D73" s="549"/>
      <c r="E73" s="549"/>
      <c r="F73" s="549"/>
      <c r="G73" s="554"/>
      <c r="H73" s="554"/>
      <c r="I73" s="554"/>
      <c r="J73" s="554"/>
      <c r="K73" s="554"/>
      <c r="L73" s="554"/>
      <c r="M73" s="581"/>
      <c r="N73" s="1154"/>
      <c r="O73" s="1154"/>
      <c r="P73" s="45"/>
      <c r="Q73" s="504"/>
    </row>
    <row r="74" spans="1:17" s="117" customFormat="1" ht="14.25" thickBot="1">
      <c r="A74" s="579"/>
      <c r="B74" s="543"/>
      <c r="C74" s="560"/>
      <c r="D74" s="536"/>
      <c r="E74" s="536"/>
      <c r="F74" s="536"/>
      <c r="G74" s="536"/>
      <c r="H74" s="536"/>
      <c r="I74" s="536"/>
      <c r="J74" s="536"/>
      <c r="K74" s="536"/>
      <c r="L74" s="536"/>
      <c r="M74" s="537"/>
      <c r="N74" s="1156"/>
      <c r="O74" s="1156"/>
      <c r="P74" s="45"/>
      <c r="Q74" s="504"/>
    </row>
    <row r="75" spans="1:17" s="471" customFormat="1" ht="14.25" thickTop="1">
      <c r="A75" s="553"/>
      <c r="B75" s="538">
        <f>B25</f>
        <v>111</v>
      </c>
      <c r="C75" s="549"/>
      <c r="D75" s="549"/>
      <c r="E75" s="549"/>
      <c r="F75" s="549"/>
      <c r="G75" s="554"/>
      <c r="H75" s="555"/>
      <c r="I75" s="555"/>
      <c r="J75" s="555"/>
      <c r="K75" s="555"/>
      <c r="L75" s="556"/>
      <c r="M75" s="557"/>
      <c r="N75" s="1157"/>
      <c r="O75" s="1157"/>
      <c r="P75" s="558"/>
      <c r="Q75" s="559"/>
    </row>
    <row r="76" spans="1:17" s="471" customFormat="1" ht="14.25" thickBot="1">
      <c r="A76" s="553"/>
      <c r="B76" s="543"/>
      <c r="C76" s="560"/>
      <c r="D76" s="560"/>
      <c r="E76" s="560"/>
      <c r="F76" s="560"/>
      <c r="G76" s="536"/>
      <c r="H76" s="536"/>
      <c r="I76" s="536"/>
      <c r="J76" s="536"/>
      <c r="K76" s="536"/>
      <c r="L76" s="536"/>
      <c r="M76" s="537"/>
      <c r="N76" s="1157"/>
      <c r="O76" s="1157"/>
      <c r="P76" s="558"/>
      <c r="Q76" s="559"/>
    </row>
    <row r="77" spans="1:17" ht="13.9" thickTop="1">
      <c r="A77" s="527" t="s">
        <v>2545</v>
      </c>
      <c r="B77" s="528" t="s">
        <v>2598</v>
      </c>
      <c r="C77" s="554"/>
      <c r="D77" s="554"/>
      <c r="E77" s="530"/>
      <c r="F77" s="530"/>
      <c r="G77" s="530"/>
      <c r="H77" s="530"/>
      <c r="I77" s="530"/>
      <c r="J77" s="530"/>
      <c r="K77" s="531"/>
      <c r="L77" s="532"/>
      <c r="M77" s="533"/>
      <c r="N77" s="1155"/>
      <c r="O77" s="1155"/>
      <c r="P77" s="45"/>
      <c r="Q77" s="504"/>
    </row>
    <row r="78" spans="1:17" ht="14.2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4.25" thickTop="1">
      <c r="A79" s="534"/>
      <c r="B79" s="538" t="s">
        <v>2714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3.9">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2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3.9" thickTop="1">
      <c r="A82" s="599"/>
      <c r="B82" s="546" t="s">
        <v>2715</v>
      </c>
      <c r="C82" s="554"/>
      <c r="D82" s="554"/>
      <c r="E82" s="583"/>
      <c r="F82" s="583"/>
      <c r="G82" s="583"/>
      <c r="H82" s="583"/>
      <c r="I82" s="583"/>
      <c r="J82" s="583"/>
      <c r="K82" s="584"/>
      <c r="L82" s="585"/>
      <c r="M82" s="586"/>
      <c r="N82" s="1155"/>
      <c r="O82" s="1155"/>
      <c r="P82" s="45"/>
      <c r="Q82" s="504"/>
    </row>
    <row r="83" spans="1:17" ht="14.2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3.9" thickTop="1">
      <c r="A84" s="599"/>
      <c r="B84" s="538" t="s">
        <v>2723</v>
      </c>
      <c r="C84" s="554"/>
      <c r="D84" s="554"/>
      <c r="E84" s="554"/>
      <c r="F84" s="554"/>
      <c r="G84" s="554"/>
      <c r="H84" s="554"/>
      <c r="I84" s="583"/>
      <c r="J84" s="583"/>
      <c r="K84" s="584"/>
      <c r="L84" s="585"/>
      <c r="M84" s="586"/>
      <c r="N84" s="1155"/>
      <c r="O84" s="1155"/>
      <c r="P84" s="45"/>
      <c r="Q84" s="504"/>
    </row>
    <row r="85" spans="1:17" ht="14.2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3.9" thickTop="1">
      <c r="A86" s="599"/>
      <c r="B86" s="546" t="s">
        <v>2724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25" thickBot="1">
      <c r="A88" s="534"/>
      <c r="B88" s="543"/>
      <c r="C88" s="560"/>
      <c r="D88" s="536"/>
      <c r="E88" s="536"/>
      <c r="F88" s="536"/>
      <c r="G88" s="536"/>
      <c r="H88" s="536"/>
      <c r="I88" s="536"/>
      <c r="J88" s="536"/>
      <c r="K88" s="536"/>
      <c r="L88" s="536"/>
      <c r="M88" s="536"/>
      <c r="N88" s="1156"/>
      <c r="O88" s="1156"/>
      <c r="P88" s="45"/>
      <c r="Q88" s="504"/>
    </row>
    <row r="89" spans="1:17" s="471" customFormat="1" ht="13.9" thickTop="1">
      <c r="A89" s="593"/>
      <c r="B89" s="538" t="s">
        <v>2725</v>
      </c>
      <c r="C89" s="554"/>
      <c r="D89" s="554"/>
      <c r="E89" s="554"/>
      <c r="F89" s="554"/>
      <c r="G89" s="554"/>
      <c r="H89" s="554"/>
      <c r="I89" s="554"/>
      <c r="J89" s="554"/>
      <c r="K89" s="554"/>
      <c r="L89" s="554"/>
      <c r="M89" s="581"/>
      <c r="N89" s="1157"/>
      <c r="O89" s="1157"/>
      <c r="P89" s="558"/>
      <c r="Q89" s="559"/>
    </row>
    <row r="90" spans="1:17" s="471" customFormat="1" ht="14.25" thickBot="1">
      <c r="A90" s="553"/>
      <c r="B90" s="543"/>
      <c r="C90" s="560"/>
      <c r="D90" s="536"/>
      <c r="E90" s="536"/>
      <c r="F90" s="536"/>
      <c r="G90" s="536"/>
      <c r="H90" s="536"/>
      <c r="I90" s="536"/>
      <c r="J90" s="536"/>
      <c r="K90" s="536"/>
      <c r="L90" s="536"/>
      <c r="M90" s="537"/>
      <c r="N90" s="1157"/>
      <c r="O90" s="1157"/>
      <c r="P90" s="558"/>
      <c r="Q90" s="559"/>
    </row>
    <row r="91" spans="1:17" ht="13.9" thickTop="1">
      <c r="A91" s="599"/>
      <c r="B91" s="538">
        <f>B32</f>
        <v>111</v>
      </c>
      <c r="C91" s="549"/>
      <c r="D91" s="549"/>
      <c r="E91" s="549"/>
      <c r="F91" s="549"/>
      <c r="G91" s="554"/>
      <c r="H91" s="555"/>
      <c r="I91" s="555"/>
      <c r="J91" s="555"/>
      <c r="K91" s="555"/>
      <c r="L91" s="556"/>
      <c r="M91" s="557"/>
      <c r="N91" s="1155"/>
      <c r="O91" s="1155"/>
      <c r="P91" s="45"/>
      <c r="Q91" s="504"/>
    </row>
    <row r="92" spans="1:17" ht="14.25" thickBot="1">
      <c r="A92" s="534"/>
      <c r="B92" s="543"/>
      <c r="C92" s="560"/>
      <c r="D92" s="536"/>
      <c r="E92" s="536"/>
      <c r="F92" s="536"/>
      <c r="G92" s="560"/>
      <c r="H92" s="562"/>
      <c r="I92" s="562"/>
      <c r="J92" s="562"/>
      <c r="K92" s="562"/>
      <c r="L92" s="562"/>
      <c r="M92" s="563"/>
      <c r="N92" s="1156"/>
      <c r="O92" s="1156"/>
      <c r="P92" s="45"/>
      <c r="Q92" s="504"/>
    </row>
    <row r="93" spans="1:17" ht="13.9" thickTop="1">
      <c r="A93" s="599"/>
      <c r="B93" s="538">
        <f>B33</f>
        <v>111</v>
      </c>
      <c r="C93" s="549"/>
      <c r="D93" s="549"/>
      <c r="E93" s="549"/>
      <c r="F93" s="549"/>
      <c r="G93" s="554"/>
      <c r="H93" s="555"/>
      <c r="I93" s="555"/>
      <c r="J93" s="555"/>
      <c r="K93" s="555"/>
      <c r="L93" s="556"/>
      <c r="M93" s="557"/>
      <c r="N93" s="1155"/>
      <c r="O93" s="1155"/>
      <c r="P93" s="45"/>
      <c r="Q93" s="504"/>
    </row>
    <row r="94" spans="1:17" ht="14.25" thickBot="1">
      <c r="A94" s="534"/>
      <c r="B94" s="543"/>
      <c r="C94" s="560"/>
      <c r="D94" s="536"/>
      <c r="E94" s="536"/>
      <c r="F94" s="536"/>
      <c r="G94" s="560"/>
      <c r="H94" s="562"/>
      <c r="I94" s="562"/>
      <c r="J94" s="562"/>
      <c r="K94" s="562"/>
      <c r="L94" s="562"/>
      <c r="M94" s="563"/>
      <c r="N94" s="1156"/>
      <c r="O94" s="1156"/>
      <c r="P94" s="45"/>
      <c r="Q94" s="504"/>
    </row>
    <row r="95" spans="1:17" ht="13.9" thickTop="1">
      <c r="A95" s="599"/>
      <c r="B95" s="636">
        <f>B34</f>
        <v>111</v>
      </c>
      <c r="C95" s="549"/>
      <c r="D95" s="549"/>
      <c r="E95" s="549"/>
      <c r="F95" s="549"/>
      <c r="G95" s="554"/>
      <c r="H95" s="555"/>
      <c r="I95" s="555"/>
      <c r="J95" s="555"/>
      <c r="K95" s="555"/>
      <c r="L95" s="556"/>
      <c r="M95" s="557"/>
      <c r="N95" s="1156"/>
      <c r="O95" s="1156"/>
      <c r="P95" s="637"/>
      <c r="Q95" s="638"/>
    </row>
    <row r="96" spans="1:17" ht="14.25" thickBot="1">
      <c r="A96" s="534"/>
      <c r="B96" s="543"/>
      <c r="C96" s="560"/>
      <c r="D96" s="560"/>
      <c r="E96" s="560"/>
      <c r="F96" s="560"/>
      <c r="G96" s="560"/>
      <c r="H96" s="562"/>
      <c r="I96" s="562"/>
      <c r="J96" s="562"/>
      <c r="K96" s="562"/>
      <c r="L96" s="562"/>
      <c r="M96" s="563"/>
      <c r="N96" s="1156"/>
      <c r="O96" s="1156"/>
      <c r="P96" s="45"/>
      <c r="Q96" s="504"/>
    </row>
    <row r="97" spans="1:20" ht="13.9"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sqref="A1:XFD1048576"/>
    </sheetView>
  </sheetViews>
  <sheetFormatPr defaultColWidth="9" defaultRowHeight="13.5"/>
  <cols>
    <col min="1" max="1" width="14.3984375" style="403" customWidth="1"/>
    <col min="2" max="2" width="15.73046875" style="403" customWidth="1"/>
    <col min="3" max="3" width="14.3984375" style="403" customWidth="1"/>
    <col min="4" max="4" width="14.1328125" style="403" customWidth="1"/>
    <col min="5" max="5" width="14.3984375" style="403" customWidth="1"/>
    <col min="6" max="6" width="12.265625" style="403" customWidth="1"/>
    <col min="7" max="7" width="14.46484375" style="403" customWidth="1"/>
    <col min="8" max="8" width="12.265625" style="403" customWidth="1"/>
    <col min="9" max="9" width="14.46484375" style="403" customWidth="1"/>
    <col min="10" max="10" width="12.265625" style="403" customWidth="1"/>
    <col min="11" max="11" width="12.265625" style="495" customWidth="1"/>
    <col min="12" max="12" width="12.265625" style="496" customWidth="1"/>
    <col min="13" max="15" width="12.265625" style="403" customWidth="1"/>
    <col min="16" max="16" width="4.73046875" style="403" customWidth="1"/>
    <col min="17" max="17" width="19.46484375" style="403" customWidth="1"/>
    <col min="18" max="22" width="6.1328125" style="403" customWidth="1"/>
    <col min="23" max="23" width="5.73046875" style="403" customWidth="1"/>
    <col min="24" max="24" width="4.265625" style="403" customWidth="1"/>
    <col min="25" max="25" width="3.46484375" style="403" customWidth="1"/>
    <col min="26" max="26" width="19.73046875" style="403" customWidth="1"/>
    <col min="27" max="28" width="9.3984375" style="403" customWidth="1"/>
    <col min="29" max="16384" width="9" style="403"/>
  </cols>
  <sheetData>
    <row r="1" spans="1:30" s="398" customFormat="1" ht="28.5" customHeight="1">
      <c r="A1" s="394" t="s">
        <v>2726</v>
      </c>
      <c r="B1" s="395"/>
      <c r="C1" s="396" t="s">
        <v>2727</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2728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3.9">
      <c r="A4" s="401" t="s">
        <v>2627</v>
      </c>
      <c r="B4" s="402"/>
      <c r="C4" s="3259" t="s">
        <v>2628</v>
      </c>
      <c r="D4" s="3260"/>
      <c r="E4" s="3261" t="s">
        <v>2629</v>
      </c>
      <c r="F4" s="3262"/>
      <c r="G4" s="3259" t="s">
        <v>2630</v>
      </c>
      <c r="H4" s="3260"/>
      <c r="I4" s="3259" t="s">
        <v>2631</v>
      </c>
      <c r="J4" s="3260"/>
      <c r="K4" s="610" t="s">
        <v>2632</v>
      </c>
      <c r="L4" s="1133"/>
      <c r="M4" s="1134"/>
      <c r="N4" s="1134"/>
      <c r="O4" s="1134"/>
      <c r="P4" s="3263" t="s">
        <v>2633</v>
      </c>
      <c r="Q4" s="3264"/>
      <c r="R4" s="3246" t="s">
        <v>2629</v>
      </c>
      <c r="S4" s="3247"/>
      <c r="T4" s="3246" t="s">
        <v>2630</v>
      </c>
      <c r="U4" s="3247"/>
      <c r="V4" s="3271" t="s">
        <v>2631</v>
      </c>
      <c r="W4" s="3271"/>
      <c r="X4" s="1816"/>
      <c r="Y4" s="3246" t="s">
        <v>2633</v>
      </c>
      <c r="Z4" s="3247"/>
      <c r="AA4" s="3241" t="s">
        <v>2629</v>
      </c>
      <c r="AB4" s="3242" t="s">
        <v>2630</v>
      </c>
      <c r="AC4" s="3241" t="s">
        <v>2631</v>
      </c>
    </row>
    <row r="5" spans="1:30" ht="13.9">
      <c r="A5" s="404"/>
      <c r="B5" s="405"/>
      <c r="C5" s="3252" t="s">
        <v>2524</v>
      </c>
      <c r="D5" s="3253"/>
      <c r="E5" s="3250" t="s">
        <v>2525</v>
      </c>
      <c r="F5" s="3251"/>
      <c r="G5" s="3252" t="s">
        <v>2526</v>
      </c>
      <c r="H5" s="3253"/>
      <c r="I5" s="3252" t="s">
        <v>2527</v>
      </c>
      <c r="J5" s="3253"/>
      <c r="K5" s="610"/>
      <c r="L5" s="1133"/>
      <c r="M5" s="1134"/>
      <c r="N5" s="1134"/>
      <c r="O5" s="1134"/>
      <c r="P5" s="3265"/>
      <c r="Q5" s="3266"/>
      <c r="R5" s="3248"/>
      <c r="S5" s="3249"/>
      <c r="T5" s="3248"/>
      <c r="U5" s="3249"/>
      <c r="V5" s="3271"/>
      <c r="W5" s="3271"/>
      <c r="X5" s="1816"/>
      <c r="Y5" s="3248"/>
      <c r="Z5" s="3249"/>
      <c r="AA5" s="3242"/>
      <c r="AB5" s="3242"/>
      <c r="AC5" s="3242"/>
    </row>
    <row r="6" spans="1:30" ht="14.25" thickBot="1">
      <c r="A6" s="406"/>
      <c r="B6" s="407"/>
      <c r="C6" s="3254" t="s">
        <v>2528</v>
      </c>
      <c r="D6" s="3255"/>
      <c r="E6" s="3256" t="s">
        <v>2528</v>
      </c>
      <c r="F6" s="3257"/>
      <c r="G6" s="3254" t="s">
        <v>2528</v>
      </c>
      <c r="H6" s="3255"/>
      <c r="I6" s="3254" t="s">
        <v>2528</v>
      </c>
      <c r="J6" s="3255"/>
      <c r="K6" s="610" t="s">
        <v>2529</v>
      </c>
      <c r="L6" s="1133"/>
      <c r="M6" s="1134"/>
      <c r="N6" s="1134"/>
      <c r="O6" s="1134"/>
      <c r="P6" s="3267"/>
      <c r="Q6" s="3268"/>
      <c r="R6" s="3248"/>
      <c r="S6" s="3249"/>
      <c r="T6" s="3269"/>
      <c r="U6" s="3270"/>
      <c r="V6" s="3271"/>
      <c r="W6" s="3271"/>
      <c r="X6" s="1816"/>
      <c r="Y6" s="3269"/>
      <c r="Z6" s="3270"/>
      <c r="AA6" s="3243"/>
      <c r="AB6" s="3243"/>
      <c r="AC6" s="3243"/>
    </row>
    <row r="7" spans="1:30" s="117" customFormat="1" ht="14.25" thickBot="1">
      <c r="A7" s="408" t="s">
        <v>2530</v>
      </c>
      <c r="B7" s="409"/>
      <c r="C7" s="410">
        <f>'数据-取费表'!B2</f>
        <v>43215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44" t="s">
        <v>2531</v>
      </c>
      <c r="Q7" s="3272"/>
      <c r="R7" s="770" t="s">
        <v>17</v>
      </c>
      <c r="S7" s="771">
        <f t="shared" ref="S7:S15" si="0">F7</f>
        <v>0</v>
      </c>
      <c r="T7" s="770" t="s">
        <v>17</v>
      </c>
      <c r="U7" s="771">
        <f t="shared" ref="U7:U15" si="1">H7</f>
        <v>0</v>
      </c>
      <c r="V7" s="770" t="s">
        <v>17</v>
      </c>
      <c r="W7" s="771">
        <f t="shared" ref="W7:W15" si="2">J7</f>
        <v>0</v>
      </c>
      <c r="X7" s="772"/>
      <c r="Y7" s="3244" t="s">
        <v>2531</v>
      </c>
      <c r="Z7" s="3245"/>
      <c r="AA7" s="773" t="e">
        <f>D7/F7</f>
        <v>#DIV/0!</v>
      </c>
      <c r="AB7" s="773" t="e">
        <f>D7/H7</f>
        <v>#DIV/0!</v>
      </c>
      <c r="AC7" s="773" t="e">
        <f>D7/J7</f>
        <v>#DIV/0!</v>
      </c>
    </row>
    <row r="8" spans="1:30" s="117" customFormat="1" ht="14.25" thickBot="1">
      <c r="A8" s="408" t="s">
        <v>2532</v>
      </c>
      <c r="B8" s="409"/>
      <c r="C8" s="414" t="s">
        <v>2533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4" t="s">
        <v>2534</v>
      </c>
      <c r="Q8" s="3245"/>
      <c r="R8" s="770" t="s">
        <v>17</v>
      </c>
      <c r="S8" s="771">
        <f t="shared" si="0"/>
        <v>0</v>
      </c>
      <c r="T8" s="770" t="s">
        <v>17</v>
      </c>
      <c r="U8" s="771">
        <f t="shared" si="1"/>
        <v>0</v>
      </c>
      <c r="V8" s="770" t="s">
        <v>17</v>
      </c>
      <c r="W8" s="771">
        <f t="shared" si="2"/>
        <v>0</v>
      </c>
      <c r="X8" s="772"/>
      <c r="Y8" s="3244" t="s">
        <v>2534</v>
      </c>
      <c r="Z8" s="3245"/>
      <c r="AA8" s="773" t="e">
        <f t="shared" ref="AA8:AA45" si="3">D8/F8</f>
        <v>#DIV/0!</v>
      </c>
      <c r="AB8" s="773" t="e">
        <f t="shared" ref="AB8:AB45" si="4">D8/H8</f>
        <v>#DIV/0!</v>
      </c>
      <c r="AC8" s="773" t="e">
        <f t="shared" ref="AC8:AC45" si="5">D8/J8</f>
        <v>#DIV/0!</v>
      </c>
    </row>
    <row r="9" spans="1:30" s="117" customFormat="1">
      <c r="A9" s="415" t="s">
        <v>2535</v>
      </c>
      <c r="B9" s="71" t="s">
        <v>2536</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76" t="s">
        <v>2537</v>
      </c>
      <c r="Q9" s="1798" t="str">
        <f t="shared" ref="Q9:Q15" si="6">B9</f>
        <v>用途</v>
      </c>
      <c r="R9" s="770" t="s">
        <v>17</v>
      </c>
      <c r="S9" s="771">
        <f t="shared" si="0"/>
        <v>100</v>
      </c>
      <c r="T9" s="770" t="s">
        <v>17</v>
      </c>
      <c r="U9" s="771">
        <f t="shared" si="1"/>
        <v>100</v>
      </c>
      <c r="V9" s="770" t="s">
        <v>17</v>
      </c>
      <c r="W9" s="771">
        <f t="shared" si="2"/>
        <v>100</v>
      </c>
      <c r="X9" s="772"/>
      <c r="Y9" s="3066" t="s">
        <v>2538</v>
      </c>
      <c r="Z9" s="55" t="str">
        <f t="shared" ref="Z9:Z15" si="7">Q9</f>
        <v>用途</v>
      </c>
      <c r="AA9" s="773">
        <f t="shared" si="3"/>
        <v>1</v>
      </c>
      <c r="AB9" s="773">
        <f t="shared" si="4"/>
        <v>1</v>
      </c>
      <c r="AC9" s="773">
        <f t="shared" si="5"/>
        <v>1</v>
      </c>
    </row>
    <row r="10" spans="1:30" s="427" customFormat="1" ht="27">
      <c r="A10" s="421"/>
      <c r="B10" s="422" t="s">
        <v>2539</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276"/>
      <c r="Q10" s="1798" t="str">
        <f t="shared" si="6"/>
        <v>土地使用年限（年）</v>
      </c>
      <c r="R10" s="770" t="s">
        <v>17</v>
      </c>
      <c r="S10" s="771">
        <f t="shared" si="0"/>
        <v>107</v>
      </c>
      <c r="T10" s="770" t="s">
        <v>17</v>
      </c>
      <c r="U10" s="771">
        <f t="shared" si="1"/>
        <v>107</v>
      </c>
      <c r="V10" s="770" t="s">
        <v>17</v>
      </c>
      <c r="W10" s="771">
        <f t="shared" si="2"/>
        <v>107</v>
      </c>
      <c r="X10" s="772"/>
      <c r="Y10" s="3066"/>
      <c r="Z10" s="55" t="str">
        <f t="shared" si="7"/>
        <v>土地使用年限（年）</v>
      </c>
      <c r="AA10" s="773">
        <f t="shared" si="3"/>
        <v>0.93457943925233644</v>
      </c>
      <c r="AB10" s="773">
        <f t="shared" si="4"/>
        <v>0.93457943925233644</v>
      </c>
      <c r="AC10" s="773">
        <f t="shared" si="5"/>
        <v>0.93457943925233644</v>
      </c>
    </row>
    <row r="11" spans="1:30" ht="15">
      <c r="A11" s="428"/>
      <c r="B11" s="422" t="s">
        <v>2540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76"/>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30" s="117" customFormat="1" ht="15">
      <c r="A12" s="431"/>
      <c r="B12" s="2601" t="s">
        <v>2729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76"/>
      <c r="Q12" s="1798" t="str">
        <f t="shared" si="6"/>
        <v>配建</v>
      </c>
      <c r="R12" s="770" t="s">
        <v>17</v>
      </c>
      <c r="S12" s="771">
        <f t="shared" si="0"/>
        <v>100</v>
      </c>
      <c r="T12" s="770" t="s">
        <v>17</v>
      </c>
      <c r="U12" s="771">
        <f t="shared" si="1"/>
        <v>100</v>
      </c>
      <c r="V12" s="770" t="s">
        <v>17</v>
      </c>
      <c r="W12" s="771">
        <f t="shared" si="2"/>
        <v>100</v>
      </c>
      <c r="X12" s="772"/>
      <c r="Y12" s="306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76"/>
      <c r="Q13" s="1798">
        <f t="shared" si="6"/>
        <v>111</v>
      </c>
      <c r="R13" s="770" t="s">
        <v>17</v>
      </c>
      <c r="S13" s="771">
        <f t="shared" si="0"/>
        <v>100</v>
      </c>
      <c r="T13" s="770" t="s">
        <v>17</v>
      </c>
      <c r="U13" s="771">
        <f t="shared" si="1"/>
        <v>100</v>
      </c>
      <c r="V13" s="770" t="s">
        <v>17</v>
      </c>
      <c r="W13" s="771">
        <f t="shared" si="2"/>
        <v>100</v>
      </c>
      <c r="X13" s="772"/>
      <c r="Y13" s="3066"/>
      <c r="Z13" s="55">
        <f t="shared" si="7"/>
        <v>111</v>
      </c>
      <c r="AA13" s="773">
        <f>D13/F13</f>
        <v>1</v>
      </c>
      <c r="AB13" s="773">
        <f>D13/H13</f>
        <v>1</v>
      </c>
      <c r="AC13" s="773">
        <f>D13/J13</f>
        <v>1</v>
      </c>
    </row>
    <row r="14" spans="1:30" ht="15.4"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76"/>
      <c r="Q14" s="1798">
        <f t="shared" si="6"/>
        <v>111</v>
      </c>
      <c r="R14" s="770" t="s">
        <v>17</v>
      </c>
      <c r="S14" s="771">
        <f t="shared" si="0"/>
        <v>100</v>
      </c>
      <c r="T14" s="770" t="s">
        <v>17</v>
      </c>
      <c r="U14" s="771">
        <f t="shared" si="1"/>
        <v>100</v>
      </c>
      <c r="V14" s="770" t="s">
        <v>17</v>
      </c>
      <c r="W14" s="771">
        <f t="shared" si="2"/>
        <v>100</v>
      </c>
      <c r="X14" s="772"/>
      <c r="Y14" s="3066"/>
      <c r="Z14" s="55">
        <f t="shared" si="7"/>
        <v>111</v>
      </c>
      <c r="AA14" s="773">
        <f>D14/F14</f>
        <v>1</v>
      </c>
      <c r="AB14" s="773">
        <f>D14/H14</f>
        <v>1</v>
      </c>
      <c r="AC14" s="773">
        <f>D14/J14</f>
        <v>1</v>
      </c>
    </row>
    <row r="15" spans="1:30" ht="15">
      <c r="A15" s="440" t="s">
        <v>2541</v>
      </c>
      <c r="B15" s="69" t="s">
        <v>2080</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8" t="s">
        <v>2542</v>
      </c>
      <c r="Q15" s="1813" t="str">
        <f t="shared" si="6"/>
        <v>居住社区成熟度</v>
      </c>
      <c r="R15" s="774" t="s">
        <v>17</v>
      </c>
      <c r="S15" s="775">
        <f t="shared" si="0"/>
        <v>100</v>
      </c>
      <c r="T15" s="774" t="s">
        <v>17</v>
      </c>
      <c r="U15" s="775">
        <f t="shared" si="1"/>
        <v>100</v>
      </c>
      <c r="V15" s="774" t="s">
        <v>17</v>
      </c>
      <c r="W15" s="775">
        <f t="shared" si="2"/>
        <v>100</v>
      </c>
      <c r="X15" s="1816"/>
      <c r="Y15" s="3278" t="s">
        <v>2542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79"/>
      <c r="Q16" s="1813"/>
      <c r="R16" s="774"/>
      <c r="S16" s="775"/>
      <c r="T16" s="774"/>
      <c r="U16" s="775"/>
      <c r="V16" s="774"/>
      <c r="W16" s="775"/>
      <c r="X16" s="1816"/>
      <c r="Y16" s="3279"/>
      <c r="Z16" s="1817"/>
      <c r="AA16" s="1814">
        <v>1</v>
      </c>
      <c r="AB16" s="1814">
        <v>1</v>
      </c>
      <c r="AC16" s="1814">
        <v>1</v>
      </c>
    </row>
    <row r="17" spans="1:29" ht="15">
      <c r="A17" s="428"/>
      <c r="B17" s="451" t="s">
        <v>2635</v>
      </c>
      <c r="C17" s="2665">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79"/>
      <c r="Q17" s="1813" t="str">
        <f>B17</f>
        <v>商业繁华度</v>
      </c>
      <c r="R17" s="774" t="s">
        <v>17</v>
      </c>
      <c r="S17" s="775">
        <f>F17</f>
        <v>100</v>
      </c>
      <c r="T17" s="774" t="s">
        <v>17</v>
      </c>
      <c r="U17" s="775">
        <f>H17</f>
        <v>100</v>
      </c>
      <c r="V17" s="774" t="s">
        <v>17</v>
      </c>
      <c r="W17" s="775">
        <f>J17</f>
        <v>100</v>
      </c>
      <c r="X17" s="1816"/>
      <c r="Y17" s="3279"/>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79"/>
      <c r="Q18" s="1813"/>
      <c r="R18" s="774"/>
      <c r="S18" s="775"/>
      <c r="T18" s="774"/>
      <c r="U18" s="775"/>
      <c r="V18" s="774"/>
      <c r="W18" s="775"/>
      <c r="X18" s="1816"/>
      <c r="Y18" s="3279"/>
      <c r="Z18" s="1817"/>
      <c r="AA18" s="1814">
        <v>1</v>
      </c>
      <c r="AB18" s="1814">
        <v>1</v>
      </c>
      <c r="AC18" s="1814">
        <v>1</v>
      </c>
    </row>
    <row r="19" spans="1:29" ht="15">
      <c r="A19" s="428"/>
      <c r="B19" s="451" t="s">
        <v>2669</v>
      </c>
      <c r="C19" s="2665">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79"/>
      <c r="Q19" s="1813" t="str">
        <f>B19</f>
        <v>办公集聚程度</v>
      </c>
      <c r="R19" s="774" t="s">
        <v>17</v>
      </c>
      <c r="S19" s="775">
        <f>F19</f>
        <v>100</v>
      </c>
      <c r="T19" s="774" t="s">
        <v>17</v>
      </c>
      <c r="U19" s="775">
        <f>H19</f>
        <v>100</v>
      </c>
      <c r="V19" s="774" t="s">
        <v>17</v>
      </c>
      <c r="W19" s="775">
        <f>J19</f>
        <v>100</v>
      </c>
      <c r="X19" s="1816"/>
      <c r="Y19" s="3279"/>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79"/>
      <c r="Q20" s="1813"/>
      <c r="R20" s="774"/>
      <c r="S20" s="775"/>
      <c r="T20" s="774"/>
      <c r="U20" s="775"/>
      <c r="V20" s="774"/>
      <c r="W20" s="775"/>
      <c r="X20" s="1816"/>
      <c r="Y20" s="3279"/>
      <c r="Z20" s="1817"/>
      <c r="AA20" s="1814">
        <v>1</v>
      </c>
      <c r="AB20" s="1814">
        <v>1</v>
      </c>
      <c r="AC20" s="1814">
        <v>1</v>
      </c>
    </row>
    <row r="21" spans="1:29" ht="15">
      <c r="A21" s="428"/>
      <c r="B21" s="451" t="s">
        <v>2691</v>
      </c>
      <c r="C21" s="2608">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79"/>
      <c r="Q21" s="1813" t="str">
        <f>B21</f>
        <v>交通便捷度</v>
      </c>
      <c r="R21" s="774" t="s">
        <v>17</v>
      </c>
      <c r="S21" s="775">
        <f>F21</f>
        <v>100</v>
      </c>
      <c r="T21" s="774" t="s">
        <v>17</v>
      </c>
      <c r="U21" s="775">
        <f>H21</f>
        <v>100</v>
      </c>
      <c r="V21" s="774" t="s">
        <v>17</v>
      </c>
      <c r="W21" s="775">
        <f>J21</f>
        <v>100</v>
      </c>
      <c r="X21" s="1816"/>
      <c r="Y21" s="3279"/>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79"/>
      <c r="Q22" s="1813"/>
      <c r="R22" s="774"/>
      <c r="S22" s="775"/>
      <c r="T22" s="774"/>
      <c r="U22" s="775"/>
      <c r="V22" s="774"/>
      <c r="W22" s="775"/>
      <c r="X22" s="1816"/>
      <c r="Y22" s="3279"/>
      <c r="Z22" s="1817"/>
      <c r="AA22" s="1814">
        <v>1</v>
      </c>
      <c r="AB22" s="1814">
        <v>1</v>
      </c>
      <c r="AC22" s="1814">
        <v>1</v>
      </c>
    </row>
    <row r="23" spans="1:29" ht="27">
      <c r="A23" s="404"/>
      <c r="B23" s="451" t="s">
        <v>2730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9"/>
      <c r="Q23" s="1813" t="str">
        <f t="shared" ref="Q23:Q37" si="8">B23</f>
        <v>区域土地利用方向</v>
      </c>
      <c r="R23" s="774" t="s">
        <v>17</v>
      </c>
      <c r="S23" s="775">
        <f>F23</f>
        <v>100</v>
      </c>
      <c r="T23" s="774" t="s">
        <v>17</v>
      </c>
      <c r="U23" s="775">
        <f>H23</f>
        <v>100</v>
      </c>
      <c r="V23" s="774" t="s">
        <v>17</v>
      </c>
      <c r="W23" s="775">
        <f>J23</f>
        <v>100</v>
      </c>
      <c r="X23" s="1816"/>
      <c r="Y23" s="3279"/>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79"/>
      <c r="Q24" s="1813"/>
      <c r="R24" s="774"/>
      <c r="S24" s="775"/>
      <c r="T24" s="774"/>
      <c r="U24" s="775"/>
      <c r="V24" s="774"/>
      <c r="W24" s="775"/>
      <c r="X24" s="1816"/>
      <c r="Y24" s="3279"/>
      <c r="Z24" s="1817"/>
      <c r="AA24" s="1814"/>
      <c r="AB24" s="1814"/>
      <c r="AC24" s="1814"/>
    </row>
    <row r="25" spans="1:29" ht="27">
      <c r="A25" s="404"/>
      <c r="B25" s="1387" t="s">
        <v>2731</v>
      </c>
      <c r="C25" s="2665">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79"/>
      <c r="Q25" s="1813" t="str">
        <f t="shared" si="8"/>
        <v>自然及人文环境状况</v>
      </c>
      <c r="R25" s="774" t="s">
        <v>17</v>
      </c>
      <c r="S25" s="775">
        <f>F25</f>
        <v>100</v>
      </c>
      <c r="T25" s="774" t="s">
        <v>17</v>
      </c>
      <c r="U25" s="775">
        <f>H25</f>
        <v>100</v>
      </c>
      <c r="V25" s="774" t="s">
        <v>17</v>
      </c>
      <c r="W25" s="775">
        <f>J25</f>
        <v>100</v>
      </c>
      <c r="X25" s="1816"/>
      <c r="Y25" s="3279"/>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79"/>
      <c r="Q26" s="1813"/>
      <c r="R26" s="774"/>
      <c r="S26" s="775"/>
      <c r="T26" s="774"/>
      <c r="U26" s="775"/>
      <c r="V26" s="774"/>
      <c r="W26" s="775"/>
      <c r="X26" s="1816"/>
      <c r="Y26" s="3279"/>
      <c r="Z26" s="1817"/>
      <c r="AA26" s="1814">
        <v>1</v>
      </c>
      <c r="AB26" s="1814">
        <v>1</v>
      </c>
      <c r="AC26" s="1814">
        <v>1</v>
      </c>
    </row>
    <row r="27" spans="1:29" s="117" customFormat="1" ht="15">
      <c r="A27" s="649"/>
      <c r="B27" s="1387" t="s">
        <v>2636</v>
      </c>
      <c r="C27" s="2608">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79"/>
      <c r="Q27" s="1798" t="str">
        <f t="shared" si="8"/>
        <v>公共配套设施</v>
      </c>
      <c r="R27" s="770" t="s">
        <v>17</v>
      </c>
      <c r="S27" s="771">
        <f>F27</f>
        <v>100</v>
      </c>
      <c r="T27" s="770" t="s">
        <v>17</v>
      </c>
      <c r="U27" s="771">
        <f>H27</f>
        <v>100</v>
      </c>
      <c r="V27" s="770" t="s">
        <v>17</v>
      </c>
      <c r="W27" s="771">
        <f>J27</f>
        <v>100</v>
      </c>
      <c r="X27" s="772"/>
      <c r="Y27" s="3279"/>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79"/>
      <c r="Q28" s="1798"/>
      <c r="R28" s="770"/>
      <c r="S28" s="771"/>
      <c r="T28" s="770"/>
      <c r="U28" s="771"/>
      <c r="V28" s="770"/>
      <c r="W28" s="771"/>
      <c r="X28" s="772"/>
      <c r="Y28" s="3279"/>
      <c r="Z28" s="55"/>
      <c r="AA28" s="1814">
        <v>1</v>
      </c>
      <c r="AB28" s="1814">
        <v>1</v>
      </c>
      <c r="AC28" s="1814">
        <v>1</v>
      </c>
    </row>
    <row r="29" spans="1:29" s="117" customFormat="1" ht="15">
      <c r="A29" s="649"/>
      <c r="B29" s="1387" t="s">
        <v>2637</v>
      </c>
      <c r="C29" s="2608">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79"/>
      <c r="Q29" s="1798" t="str">
        <f t="shared" ref="Q29" si="9">B29</f>
        <v>基础设施水平</v>
      </c>
      <c r="R29" s="770" t="s">
        <v>17</v>
      </c>
      <c r="S29" s="771">
        <f>F29</f>
        <v>100</v>
      </c>
      <c r="T29" s="770" t="s">
        <v>17</v>
      </c>
      <c r="U29" s="771">
        <f>H29</f>
        <v>100</v>
      </c>
      <c r="V29" s="770" t="s">
        <v>17</v>
      </c>
      <c r="W29" s="771">
        <f>J29</f>
        <v>100</v>
      </c>
      <c r="X29" s="772"/>
      <c r="Y29" s="3279"/>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79"/>
      <c r="Q30" s="1798"/>
      <c r="R30" s="770"/>
      <c r="S30" s="771"/>
      <c r="T30" s="770"/>
      <c r="U30" s="771"/>
      <c r="V30" s="770"/>
      <c r="W30" s="771"/>
      <c r="X30" s="772"/>
      <c r="Y30" s="3279"/>
      <c r="Z30" s="55"/>
      <c r="AA30" s="1814">
        <v>1</v>
      </c>
      <c r="AB30" s="1814">
        <v>1</v>
      </c>
      <c r="AC30" s="1814">
        <v>1</v>
      </c>
    </row>
    <row r="31" spans="1:29" ht="15">
      <c r="A31" s="428"/>
      <c r="B31" s="456" t="s">
        <v>2638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79"/>
      <c r="Z31" s="1817" t="str">
        <f t="shared" ref="Z31:Z45" si="13">Q31</f>
        <v>临街状况</v>
      </c>
      <c r="AA31" s="1814">
        <f t="shared" si="3"/>
        <v>1</v>
      </c>
      <c r="AB31" s="1814">
        <f t="shared" si="4"/>
        <v>1</v>
      </c>
      <c r="AC31" s="1814">
        <f t="shared" si="5"/>
        <v>1</v>
      </c>
    </row>
    <row r="32" spans="1:29" ht="27">
      <c r="A32" s="428"/>
      <c r="B32" s="1387" t="s">
        <v>2673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79"/>
      <c r="Q32" s="1813" t="str">
        <f t="shared" si="8"/>
        <v>毗邻道路的类型与等级</v>
      </c>
      <c r="R32" s="774" t="s">
        <v>17</v>
      </c>
      <c r="S32" s="775">
        <f t="shared" si="10"/>
        <v>100</v>
      </c>
      <c r="T32" s="774" t="s">
        <v>17</v>
      </c>
      <c r="U32" s="775">
        <f t="shared" si="11"/>
        <v>100</v>
      </c>
      <c r="V32" s="774" t="s">
        <v>17</v>
      </c>
      <c r="W32" s="775">
        <f t="shared" si="12"/>
        <v>100</v>
      </c>
      <c r="X32" s="1816"/>
      <c r="Y32" s="3279"/>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79"/>
      <c r="Q33" s="1813"/>
      <c r="R33" s="774"/>
      <c r="S33" s="775"/>
      <c r="T33" s="774"/>
      <c r="U33" s="775"/>
      <c r="V33" s="774"/>
      <c r="W33" s="775"/>
      <c r="X33" s="1816"/>
      <c r="Y33" s="3279"/>
      <c r="Z33" s="1817"/>
      <c r="AA33" s="1814">
        <v>1</v>
      </c>
      <c r="AB33" s="1814">
        <v>1</v>
      </c>
      <c r="AC33" s="1814">
        <v>1</v>
      </c>
    </row>
    <row r="34" spans="1:29" ht="15">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9"/>
      <c r="Q34" s="1813" t="str">
        <f t="shared" si="8"/>
        <v>土地级别</v>
      </c>
      <c r="R34" s="774" t="s">
        <v>17</v>
      </c>
      <c r="S34" s="775">
        <f t="shared" si="10"/>
        <v>100</v>
      </c>
      <c r="T34" s="774" t="s">
        <v>17</v>
      </c>
      <c r="U34" s="775">
        <f t="shared" si="11"/>
        <v>100</v>
      </c>
      <c r="V34" s="774" t="s">
        <v>17</v>
      </c>
      <c r="W34" s="775">
        <f t="shared" si="12"/>
        <v>100</v>
      </c>
      <c r="X34" s="1816"/>
      <c r="Y34" s="327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9"/>
      <c r="Q35" s="1813">
        <f t="shared" si="8"/>
        <v>111</v>
      </c>
      <c r="R35" s="774" t="s">
        <v>17</v>
      </c>
      <c r="S35" s="775">
        <f t="shared" si="10"/>
        <v>100</v>
      </c>
      <c r="T35" s="774" t="s">
        <v>17</v>
      </c>
      <c r="U35" s="775">
        <f t="shared" si="11"/>
        <v>100</v>
      </c>
      <c r="V35" s="774" t="s">
        <v>17</v>
      </c>
      <c r="W35" s="775">
        <f t="shared" si="12"/>
        <v>100</v>
      </c>
      <c r="X35" s="1816"/>
      <c r="Y35" s="327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2" t="s">
        <v>2547</v>
      </c>
      <c r="Q36" s="1813">
        <f t="shared" si="8"/>
        <v>111</v>
      </c>
      <c r="R36" s="774" t="s">
        <v>17</v>
      </c>
      <c r="S36" s="775">
        <f t="shared" si="10"/>
        <v>100</v>
      </c>
      <c r="T36" s="774" t="s">
        <v>17</v>
      </c>
      <c r="U36" s="775">
        <f t="shared" si="11"/>
        <v>100</v>
      </c>
      <c r="V36" s="774" t="s">
        <v>17</v>
      </c>
      <c r="W36" s="775">
        <f t="shared" si="12"/>
        <v>100</v>
      </c>
      <c r="X36" s="1816"/>
      <c r="Y36" s="3283" t="s">
        <v>2547</v>
      </c>
      <c r="Z36" s="1817">
        <f t="shared" si="13"/>
        <v>111</v>
      </c>
      <c r="AA36" s="1814">
        <f t="shared" si="3"/>
        <v>1</v>
      </c>
      <c r="AB36" s="1814">
        <f t="shared" si="4"/>
        <v>1</v>
      </c>
      <c r="AC36" s="1814">
        <f t="shared" si="5"/>
        <v>1</v>
      </c>
    </row>
    <row r="37" spans="1:29" s="471" customFormat="1" ht="15.4"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3"/>
      <c r="Q37" s="1813">
        <f t="shared" si="8"/>
        <v>111</v>
      </c>
      <c r="R37" s="777" t="s">
        <v>17</v>
      </c>
      <c r="S37" s="778">
        <f t="shared" si="10"/>
        <v>100</v>
      </c>
      <c r="T37" s="777" t="s">
        <v>17</v>
      </c>
      <c r="U37" s="778">
        <f t="shared" si="11"/>
        <v>100</v>
      </c>
      <c r="V37" s="777" t="s">
        <v>17</v>
      </c>
      <c r="W37" s="778">
        <f t="shared" si="12"/>
        <v>100</v>
      </c>
      <c r="X37" s="779"/>
      <c r="Y37" s="3283"/>
      <c r="Z37" s="780">
        <f t="shared" si="13"/>
        <v>111</v>
      </c>
      <c r="AA37" s="1814">
        <f t="shared" si="3"/>
        <v>1</v>
      </c>
      <c r="AB37" s="1814">
        <f t="shared" si="4"/>
        <v>1</v>
      </c>
      <c r="AC37" s="1814">
        <f t="shared" si="5"/>
        <v>1</v>
      </c>
    </row>
    <row r="38" spans="1:29" ht="15">
      <c r="A38" s="472" t="s">
        <v>2545</v>
      </c>
      <c r="B38" s="456" t="s">
        <v>2733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83"/>
      <c r="Q38" s="1813" t="str">
        <f>B38</f>
        <v>宗地面积</v>
      </c>
      <c r="R38" s="774" t="s">
        <v>17</v>
      </c>
      <c r="S38" s="775" t="e">
        <f t="shared" si="10"/>
        <v>#N/A</v>
      </c>
      <c r="T38" s="774" t="s">
        <v>17</v>
      </c>
      <c r="U38" s="775" t="e">
        <f t="shared" si="11"/>
        <v>#N/A</v>
      </c>
      <c r="V38" s="774" t="s">
        <v>17</v>
      </c>
      <c r="W38" s="775" t="e">
        <f t="shared" si="12"/>
        <v>#N/A</v>
      </c>
      <c r="X38" s="1816"/>
      <c r="Y38" s="3283"/>
      <c r="Z38" s="1817" t="str">
        <f t="shared" si="13"/>
        <v>宗地面积</v>
      </c>
      <c r="AA38" s="1814" t="e">
        <f t="shared" si="3"/>
        <v>#N/A</v>
      </c>
      <c r="AB38" s="1814" t="e">
        <f t="shared" si="4"/>
        <v>#N/A</v>
      </c>
      <c r="AC38" s="1814" t="e">
        <f t="shared" si="5"/>
        <v>#N/A</v>
      </c>
    </row>
    <row r="39" spans="1:29" ht="15">
      <c r="A39" s="472"/>
      <c r="B39" s="422" t="s">
        <v>2734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83"/>
      <c r="Q39" s="1813" t="str">
        <f t="shared" ref="Q39:Q45" si="14">B39</f>
        <v>宗地形状</v>
      </c>
      <c r="R39" s="774" t="s">
        <v>17</v>
      </c>
      <c r="S39" s="775">
        <f t="shared" si="10"/>
        <v>100</v>
      </c>
      <c r="T39" s="774" t="s">
        <v>17</v>
      </c>
      <c r="U39" s="775">
        <f t="shared" si="11"/>
        <v>100</v>
      </c>
      <c r="V39" s="774" t="s">
        <v>17</v>
      </c>
      <c r="W39" s="775">
        <f t="shared" si="12"/>
        <v>100</v>
      </c>
      <c r="X39" s="1816"/>
      <c r="Y39" s="3283"/>
      <c r="Z39" s="1817" t="str">
        <f t="shared" si="13"/>
        <v>宗地形状</v>
      </c>
      <c r="AA39" s="1814">
        <f t="shared" si="3"/>
        <v>1</v>
      </c>
      <c r="AB39" s="1814">
        <f t="shared" si="4"/>
        <v>1</v>
      </c>
      <c r="AC39" s="1814">
        <f t="shared" si="5"/>
        <v>1</v>
      </c>
    </row>
    <row r="40" spans="1:29" ht="15">
      <c r="A40" s="472"/>
      <c r="B40" s="422" t="s">
        <v>2735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83"/>
      <c r="Q40" s="1813" t="str">
        <f t="shared" si="14"/>
        <v>临街宽度及深度</v>
      </c>
      <c r="R40" s="774" t="s">
        <v>17</v>
      </c>
      <c r="S40" s="775">
        <f t="shared" si="10"/>
        <v>100</v>
      </c>
      <c r="T40" s="774" t="s">
        <v>17</v>
      </c>
      <c r="U40" s="775">
        <f t="shared" si="11"/>
        <v>100</v>
      </c>
      <c r="V40" s="774" t="s">
        <v>17</v>
      </c>
      <c r="W40" s="775">
        <f t="shared" si="12"/>
        <v>100</v>
      </c>
      <c r="X40" s="1816"/>
      <c r="Y40" s="3283"/>
      <c r="Z40" s="1817" t="str">
        <f t="shared" si="13"/>
        <v>临街宽度及深度</v>
      </c>
      <c r="AA40" s="1814">
        <f t="shared" si="3"/>
        <v>1</v>
      </c>
      <c r="AB40" s="1814">
        <f t="shared" si="4"/>
        <v>1</v>
      </c>
      <c r="AC40" s="1814">
        <f t="shared" si="5"/>
        <v>1</v>
      </c>
    </row>
    <row r="41" spans="1:29" s="117" customFormat="1" ht="15">
      <c r="A41" s="473"/>
      <c r="B41" s="422" t="s">
        <v>2736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83"/>
      <c r="Q41" s="1813" t="str">
        <f t="shared" si="14"/>
        <v>宗地开发程度</v>
      </c>
      <c r="R41" s="770" t="s">
        <v>17</v>
      </c>
      <c r="S41" s="771">
        <f t="shared" si="10"/>
        <v>100</v>
      </c>
      <c r="T41" s="770" t="s">
        <v>17</v>
      </c>
      <c r="U41" s="771">
        <f t="shared" si="11"/>
        <v>100</v>
      </c>
      <c r="V41" s="770" t="s">
        <v>17</v>
      </c>
      <c r="W41" s="771">
        <f t="shared" si="12"/>
        <v>100</v>
      </c>
      <c r="X41" s="772"/>
      <c r="Y41" s="3283"/>
      <c r="Z41" s="55" t="str">
        <f t="shared" si="13"/>
        <v>宗地开发程度</v>
      </c>
      <c r="AA41" s="773">
        <f t="shared" si="3"/>
        <v>1</v>
      </c>
      <c r="AB41" s="773">
        <f t="shared" si="4"/>
        <v>1</v>
      </c>
      <c r="AC41" s="773">
        <f t="shared" si="5"/>
        <v>1</v>
      </c>
    </row>
    <row r="42" spans="1:29" ht="15">
      <c r="A42" s="472"/>
      <c r="B42" s="422" t="s">
        <v>2737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83" t="s">
        <v>2547</v>
      </c>
      <c r="Q42" s="1813" t="str">
        <f t="shared" si="14"/>
        <v>工程地质条件</v>
      </c>
      <c r="R42" s="774" t="s">
        <v>17</v>
      </c>
      <c r="S42" s="775">
        <f t="shared" si="10"/>
        <v>100</v>
      </c>
      <c r="T42" s="774" t="s">
        <v>17</v>
      </c>
      <c r="U42" s="775">
        <f t="shared" si="11"/>
        <v>100</v>
      </c>
      <c r="V42" s="774" t="s">
        <v>17</v>
      </c>
      <c r="W42" s="775">
        <f t="shared" si="12"/>
        <v>100</v>
      </c>
      <c r="X42" s="1816"/>
      <c r="Y42" s="3283" t="s">
        <v>2547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3"/>
      <c r="Q43" s="1813">
        <f t="shared" si="14"/>
        <v>111</v>
      </c>
      <c r="R43" s="774" t="s">
        <v>17</v>
      </c>
      <c r="S43" s="775">
        <f t="shared" si="10"/>
        <v>100</v>
      </c>
      <c r="T43" s="774" t="s">
        <v>17</v>
      </c>
      <c r="U43" s="775">
        <f t="shared" si="11"/>
        <v>100</v>
      </c>
      <c r="V43" s="774" t="s">
        <v>17</v>
      </c>
      <c r="W43" s="775">
        <f t="shared" si="12"/>
        <v>100</v>
      </c>
      <c r="X43" s="1816"/>
      <c r="Y43" s="328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3"/>
      <c r="Q44" s="1813">
        <f t="shared" si="14"/>
        <v>111</v>
      </c>
      <c r="R44" s="774" t="s">
        <v>17</v>
      </c>
      <c r="S44" s="775">
        <f t="shared" si="10"/>
        <v>100</v>
      </c>
      <c r="T44" s="774" t="s">
        <v>17</v>
      </c>
      <c r="U44" s="775">
        <f t="shared" si="11"/>
        <v>100</v>
      </c>
      <c r="V44" s="774" t="s">
        <v>17</v>
      </c>
      <c r="W44" s="775">
        <f t="shared" si="12"/>
        <v>100</v>
      </c>
      <c r="X44" s="1816"/>
      <c r="Y44" s="3283"/>
      <c r="Z44" s="1817">
        <f t="shared" si="13"/>
        <v>111</v>
      </c>
      <c r="AA44" s="1814">
        <f t="shared" si="3"/>
        <v>1</v>
      </c>
      <c r="AB44" s="1814">
        <f t="shared" si="4"/>
        <v>1</v>
      </c>
      <c r="AC44" s="1814">
        <f t="shared" si="5"/>
        <v>1</v>
      </c>
    </row>
    <row r="45" spans="1:29" s="471" customFormat="1" ht="15.4"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3"/>
      <c r="Q45" s="1813">
        <f t="shared" si="14"/>
        <v>111</v>
      </c>
      <c r="R45" s="777" t="s">
        <v>17</v>
      </c>
      <c r="S45" s="778">
        <f t="shared" si="10"/>
        <v>100</v>
      </c>
      <c r="T45" s="777" t="s">
        <v>17</v>
      </c>
      <c r="U45" s="778">
        <f t="shared" si="11"/>
        <v>100</v>
      </c>
      <c r="V45" s="777" t="s">
        <v>17</v>
      </c>
      <c r="W45" s="778">
        <f t="shared" si="12"/>
        <v>100</v>
      </c>
      <c r="X45" s="779"/>
      <c r="Y45" s="3283"/>
      <c r="Z45" s="780">
        <f t="shared" si="13"/>
        <v>111</v>
      </c>
      <c r="AA45" s="1814">
        <f t="shared" si="3"/>
        <v>1</v>
      </c>
      <c r="AB45" s="1814">
        <f t="shared" si="4"/>
        <v>1</v>
      </c>
      <c r="AC45" s="1814">
        <f t="shared" si="5"/>
        <v>1</v>
      </c>
    </row>
    <row r="46" spans="1:29" ht="13.9">
      <c r="A46" s="479" t="s">
        <v>2702</v>
      </c>
      <c r="B46" s="2705" t="s">
        <v>2738</v>
      </c>
      <c r="C46" s="682" t="s">
        <v>1</v>
      </c>
      <c r="D46" s="481"/>
      <c r="E46" s="482"/>
      <c r="F46" s="483"/>
      <c r="G46" s="484"/>
      <c r="H46" s="485"/>
      <c r="I46" s="482"/>
      <c r="J46" s="485"/>
      <c r="K46" s="783"/>
      <c r="L46" s="1146"/>
      <c r="M46" s="1147"/>
      <c r="N46" s="1134"/>
      <c r="O46" s="1147"/>
      <c r="P46" s="3276" t="str">
        <f>A46</f>
        <v>成交单价</v>
      </c>
      <c r="Q46" s="3276"/>
      <c r="R46" s="3271">
        <f>E46</f>
        <v>0</v>
      </c>
      <c r="S46" s="3271"/>
      <c r="T46" s="3271">
        <f>G46</f>
        <v>0</v>
      </c>
      <c r="U46" s="3271"/>
      <c r="V46" s="3271">
        <f>I46</f>
        <v>0</v>
      </c>
      <c r="W46" s="3271"/>
      <c r="X46" s="759"/>
      <c r="Y46" s="781"/>
      <c r="Z46" s="759"/>
      <c r="AA46" s="759"/>
      <c r="AB46" s="759"/>
      <c r="AC46" s="759"/>
    </row>
    <row r="47" spans="1:29" ht="14.25" thickBot="1">
      <c r="A47" s="486" t="s">
        <v>2651</v>
      </c>
      <c r="B47" s="683"/>
      <c r="C47" s="490" t="e">
        <f>R48</f>
        <v>#DIV/0!</v>
      </c>
      <c r="D47" s="489"/>
      <c r="E47" s="490" t="e">
        <f>R47</f>
        <v>#DIV/0!</v>
      </c>
      <c r="F47" s="491"/>
      <c r="G47" s="488" t="e">
        <f>T47</f>
        <v>#DIV/0!</v>
      </c>
      <c r="H47" s="489"/>
      <c r="I47" s="490" t="e">
        <f>V47</f>
        <v>#DIV/0!</v>
      </c>
      <c r="J47" s="489"/>
      <c r="K47" s="784"/>
      <c r="L47" s="1146"/>
      <c r="M47" s="1147"/>
      <c r="N47" s="1147"/>
      <c r="O47" s="1147"/>
      <c r="P47" s="3276" t="str">
        <f>A47</f>
        <v>比较价值（元/平方米）</v>
      </c>
      <c r="Q47" s="3276"/>
      <c r="R47" s="3303" t="e">
        <f>ROUND(PRODUCT(R46,AA7:AA45),0)</f>
        <v>#DIV/0!</v>
      </c>
      <c r="S47" s="3303"/>
      <c r="T47" s="3303" t="e">
        <f>ROUND(PRODUCT(T46,AB7:AB45),0)</f>
        <v>#DIV/0!</v>
      </c>
      <c r="U47" s="3303"/>
      <c r="V47" s="3303" t="e">
        <f>ROUND(PRODUCT(V46,AC7:AC45),0)</f>
        <v>#DIV/0!</v>
      </c>
      <c r="W47" s="3303"/>
      <c r="X47" s="759"/>
      <c r="Y47" s="759"/>
      <c r="Z47" s="759"/>
      <c r="AA47" s="759"/>
      <c r="AB47" s="759"/>
      <c r="AC47" s="759"/>
    </row>
    <row r="48" spans="1:29" ht="14.25" thickBot="1">
      <c r="A48" s="492" t="s">
        <v>2739</v>
      </c>
      <c r="B48" s="493"/>
      <c r="C48" s="494" t="e">
        <f>R48</f>
        <v>#DIV/0!</v>
      </c>
      <c r="D48" s="494"/>
      <c r="E48" s="494"/>
      <c r="F48" s="494"/>
      <c r="G48" s="494"/>
      <c r="H48" s="494"/>
      <c r="I48" s="494"/>
      <c r="J48" s="494"/>
      <c r="K48" s="785"/>
      <c r="L48" s="1146"/>
      <c r="M48" s="1147"/>
      <c r="N48" s="1147"/>
      <c r="O48" s="1147"/>
      <c r="P48" s="3273" t="str">
        <f>A48</f>
        <v>估价对象XX用房的比较价值（楼面单价，元/平方米）</v>
      </c>
      <c r="Q48" s="3274"/>
      <c r="R48" s="3304" t="e">
        <f>ROUND(AVERAGE(R47:V47),0)</f>
        <v>#DIV/0!</v>
      </c>
      <c r="S48" s="3304"/>
      <c r="T48" s="3304"/>
      <c r="U48" s="3304"/>
      <c r="V48" s="3304"/>
      <c r="W48" s="330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2655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3.9" thickBot="1">
      <c r="A54" s="1148"/>
      <c r="B54" s="1149"/>
      <c r="C54" s="762"/>
      <c r="D54" s="760"/>
      <c r="E54" s="760"/>
      <c r="F54" s="760"/>
      <c r="G54" s="760"/>
      <c r="H54" s="760"/>
      <c r="I54" s="760"/>
      <c r="J54" s="760"/>
      <c r="K54" s="1151"/>
      <c r="L54" s="1152"/>
      <c r="M54" s="1148"/>
      <c r="N54" s="1148"/>
      <c r="O54" s="1148"/>
    </row>
    <row r="55" spans="1:15" ht="27" customHeight="1">
      <c r="A55" s="684" t="s">
        <v>2740</v>
      </c>
      <c r="B55" s="685" t="s">
        <v>2741</v>
      </c>
      <c r="C55" s="2706" t="s">
        <v>2742</v>
      </c>
      <c r="D55" s="2707" t="s">
        <v>2743</v>
      </c>
      <c r="E55" s="686" t="s">
        <v>2744</v>
      </c>
      <c r="F55" s="1110" t="s">
        <v>2745</v>
      </c>
      <c r="G55" s="3259" t="s">
        <v>2746</v>
      </c>
      <c r="H55" s="3305"/>
      <c r="I55" s="144" t="s">
        <v>2747</v>
      </c>
      <c r="J55" s="2708">
        <f>项目基本情况!F35</f>
        <v>0</v>
      </c>
      <c r="K55" s="2709" t="s">
        <v>2748</v>
      </c>
      <c r="L55" s="1109"/>
      <c r="M55" s="1147"/>
      <c r="N55" s="1147"/>
      <c r="O55" s="1147"/>
    </row>
    <row r="56" spans="1:15" s="692" customFormat="1">
      <c r="A56" s="688" t="s">
        <v>2749</v>
      </c>
      <c r="B56" s="689" t="e">
        <f>C48</f>
        <v>#DIV/0!</v>
      </c>
      <c r="C56" s="690">
        <v>1</v>
      </c>
      <c r="D56" s="1166">
        <v>1</v>
      </c>
      <c r="E56" s="690">
        <f>'数据-汇总表'!E8+'数据-汇总表'!E9</f>
        <v>95816</v>
      </c>
      <c r="F56" s="1106" t="e">
        <f t="shared" ref="F56:F65" si="15">ROUND(B56*E56/10000,0)</f>
        <v>#DIV/0!</v>
      </c>
      <c r="G56" s="3258"/>
      <c r="H56" s="3276"/>
      <c r="I56" s="1111">
        <v>1</v>
      </c>
      <c r="J56" s="1114">
        <v>1</v>
      </c>
      <c r="K56" s="1148"/>
      <c r="L56" s="944"/>
      <c r="M56" s="944"/>
      <c r="N56" s="944"/>
      <c r="O56" s="944"/>
    </row>
    <row r="57" spans="1:15" s="692" customFormat="1">
      <c r="A57" s="693" t="s">
        <v>2750</v>
      </c>
      <c r="B57" s="262" t="e">
        <f>ROUND($C$48*C57*D57,0)</f>
        <v>#DIV/0!</v>
      </c>
      <c r="C57" s="200">
        <f t="shared" ref="C57:C65" si="16">IF($C$55="北京市系数",I57,J57)</f>
        <v>0.7</v>
      </c>
      <c r="D57" s="1167">
        <v>0.25</v>
      </c>
      <c r="E57" s="694"/>
      <c r="F57" s="1106" t="e">
        <f t="shared" si="15"/>
        <v>#DIV/0!</v>
      </c>
      <c r="G57" s="3306" t="s">
        <v>2751</v>
      </c>
      <c r="H57" s="1107" t="str">
        <f>项目基本情况!B37</f>
        <v>六级</v>
      </c>
      <c r="I57" s="1111">
        <f>SUMIF(修正!A45:A56,H57,修正!B45:B56)</f>
        <v>0.7</v>
      </c>
      <c r="J57" s="1115"/>
      <c r="K57" s="1147"/>
      <c r="L57" s="944"/>
      <c r="M57" s="944"/>
      <c r="N57" s="944"/>
      <c r="O57" s="944"/>
    </row>
    <row r="58" spans="1:15" s="692" customFormat="1">
      <c r="A58" s="693" t="s">
        <v>2752</v>
      </c>
      <c r="B58" s="262" t="e">
        <f t="shared" ref="B58:B65" si="17">ROUND($C$48*C58*D58,0)</f>
        <v>#DIV/0!</v>
      </c>
      <c r="C58" s="200">
        <f t="shared" si="16"/>
        <v>0.4</v>
      </c>
      <c r="D58" s="1167">
        <v>0.25</v>
      </c>
      <c r="E58" s="694"/>
      <c r="F58" s="1106" t="e">
        <f t="shared" si="15"/>
        <v>#DIV/0!</v>
      </c>
      <c r="G58" s="3306"/>
      <c r="H58" s="1107" t="str">
        <f>项目基本情况!B37</f>
        <v>六级</v>
      </c>
      <c r="I58" s="1111">
        <f>SUMIF(修正!A45:A56,H58,修正!C45:C56)</f>
        <v>0.4</v>
      </c>
      <c r="J58" s="1115"/>
      <c r="K58" s="1148"/>
      <c r="L58" s="944"/>
      <c r="M58" s="944"/>
      <c r="N58" s="944"/>
      <c r="O58" s="944"/>
    </row>
    <row r="59" spans="1:15" s="692" customFormat="1">
      <c r="A59" s="693" t="s">
        <v>2753</v>
      </c>
      <c r="B59" s="262" t="e">
        <f t="shared" si="17"/>
        <v>#DIV/0!</v>
      </c>
      <c r="C59" s="200">
        <f t="shared" si="16"/>
        <v>0.28000000000000003</v>
      </c>
      <c r="D59" s="1167">
        <v>0.25</v>
      </c>
      <c r="E59" s="694"/>
      <c r="F59" s="1106" t="e">
        <f t="shared" si="15"/>
        <v>#DIV/0!</v>
      </c>
      <c r="G59" s="3306"/>
      <c r="H59" s="1107" t="str">
        <f>项目基本情况!B37</f>
        <v>六级</v>
      </c>
      <c r="I59" s="1111">
        <f>SUMIF(修正!A45:A56,H59,修正!D45:D56)</f>
        <v>0.28000000000000003</v>
      </c>
      <c r="J59" s="1115"/>
      <c r="K59" s="1147"/>
      <c r="L59" s="944"/>
      <c r="M59" s="944"/>
      <c r="N59" s="944"/>
      <c r="O59" s="944"/>
    </row>
    <row r="60" spans="1:15" s="692" customFormat="1">
      <c r="A60" s="693" t="s">
        <v>2754</v>
      </c>
      <c r="B60" s="262" t="e">
        <f t="shared" si="17"/>
        <v>#DIV/0!</v>
      </c>
      <c r="C60" s="200">
        <f t="shared" si="16"/>
        <v>0.25</v>
      </c>
      <c r="D60" s="1167">
        <v>0.25</v>
      </c>
      <c r="E60" s="694"/>
      <c r="F60" s="1106" t="e">
        <f t="shared" si="15"/>
        <v>#DIV/0!</v>
      </c>
      <c r="G60" s="3306"/>
      <c r="H60" s="1107" t="str">
        <f>项目基本情况!B37</f>
        <v>六级</v>
      </c>
      <c r="I60" s="1111">
        <f>SUMIF(修正!A45:A56,H60,修正!E45:E56)</f>
        <v>0.25</v>
      </c>
      <c r="J60" s="1115"/>
      <c r="K60" s="1148"/>
      <c r="L60" s="944"/>
      <c r="M60" s="944"/>
      <c r="N60" s="944"/>
      <c r="O60" s="944"/>
    </row>
    <row r="61" spans="1:15" s="692" customFormat="1">
      <c r="A61" s="693" t="s">
        <v>2755</v>
      </c>
      <c r="B61" s="262" t="e">
        <f t="shared" si="17"/>
        <v>#DIV/0!</v>
      </c>
      <c r="C61" s="200">
        <f t="shared" si="16"/>
        <v>0.25</v>
      </c>
      <c r="D61" s="1167">
        <v>0.25</v>
      </c>
      <c r="E61" s="261">
        <f>'数据-汇总表'!E11</f>
        <v>0</v>
      </c>
      <c r="F61" s="1106" t="e">
        <f t="shared" si="15"/>
        <v>#DIV/0!</v>
      </c>
      <c r="G61" s="2710" t="s">
        <v>2756</v>
      </c>
      <c r="H61" s="1107" t="str">
        <f>项目基本情况!C37</f>
        <v>六级</v>
      </c>
      <c r="I61" s="1111">
        <f>SUMIF(修正!A45:A56,H61,修正!F45:F56)</f>
        <v>0.25</v>
      </c>
      <c r="J61" s="1115"/>
      <c r="K61" s="1147"/>
      <c r="L61" s="944"/>
      <c r="M61" s="944"/>
      <c r="N61" s="944"/>
      <c r="O61" s="944"/>
    </row>
    <row r="62" spans="1:15" s="692" customFormat="1">
      <c r="A62" s="693" t="s">
        <v>2757</v>
      </c>
      <c r="B62" s="262" t="e">
        <f t="shared" si="17"/>
        <v>#DIV/0!</v>
      </c>
      <c r="C62" s="200">
        <f t="shared" si="16"/>
        <v>0.25</v>
      </c>
      <c r="D62" s="1167">
        <v>0.25</v>
      </c>
      <c r="E62" s="261">
        <f>'数据-汇总表'!E12</f>
        <v>0</v>
      </c>
      <c r="F62" s="1106" t="e">
        <f t="shared" si="15"/>
        <v>#DIV/0!</v>
      </c>
      <c r="G62" s="1112" t="s">
        <v>2758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2759</v>
      </c>
      <c r="B63" s="262" t="e">
        <f t="shared" si="17"/>
        <v>#DIV/0!</v>
      </c>
      <c r="C63" s="200">
        <f t="shared" si="16"/>
        <v>0</v>
      </c>
      <c r="D63" s="1167">
        <v>0.25</v>
      </c>
      <c r="E63" s="261">
        <f>'数据-汇总表'!E13</f>
        <v>71144</v>
      </c>
      <c r="F63" s="1106" t="e">
        <f t="shared" si="15"/>
        <v>#DIV/0!</v>
      </c>
      <c r="G63" s="1112" t="s">
        <v>2760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2761</v>
      </c>
      <c r="B64" s="262" t="e">
        <f t="shared" si="17"/>
        <v>#DIV/0!</v>
      </c>
      <c r="C64" s="200">
        <f t="shared" si="16"/>
        <v>0.2</v>
      </c>
      <c r="D64" s="1167">
        <v>0.25</v>
      </c>
      <c r="E64" s="261">
        <f>'数据-汇总表'!E14</f>
        <v>0</v>
      </c>
      <c r="F64" s="1106" t="e">
        <f t="shared" si="15"/>
        <v>#DIV/0!</v>
      </c>
      <c r="G64" s="2710" t="s">
        <v>2751</v>
      </c>
      <c r="H64" s="1107" t="str">
        <f>项目基本情况!B37</f>
        <v>六级</v>
      </c>
      <c r="I64" s="1111">
        <f>SUMIF(修正!A45:A56,H64,修正!H45:H56)</f>
        <v>0.2</v>
      </c>
      <c r="J64" s="1115"/>
      <c r="K64" s="1148"/>
      <c r="L64" s="944"/>
      <c r="M64" s="944"/>
      <c r="N64" s="944"/>
      <c r="O64" s="944"/>
    </row>
    <row r="65" spans="1:17" s="692" customFormat="1" ht="13.9" thickBot="1">
      <c r="A65" s="693" t="s">
        <v>2762</v>
      </c>
      <c r="B65" s="262" t="e">
        <f t="shared" si="17"/>
        <v>#DIV/0!</v>
      </c>
      <c r="C65" s="200">
        <f t="shared" si="16"/>
        <v>0.2</v>
      </c>
      <c r="D65" s="1167">
        <v>0.25</v>
      </c>
      <c r="E65" s="261">
        <f>'数据-汇总表'!E15</f>
        <v>0</v>
      </c>
      <c r="F65" s="1106" t="e">
        <f t="shared" si="15"/>
        <v>#DIV/0!</v>
      </c>
      <c r="G65" s="2711" t="s">
        <v>2756</v>
      </c>
      <c r="H65" s="1117" t="str">
        <f>项目基本情况!C37</f>
        <v>六级</v>
      </c>
      <c r="I65" s="1113">
        <f>SUMIF(修正!A45:A56,H65,修正!H45:H56)</f>
        <v>0.2</v>
      </c>
      <c r="J65" s="1116"/>
      <c r="K65" s="1147"/>
      <c r="L65" s="944"/>
      <c r="M65" s="944"/>
      <c r="N65" s="944"/>
      <c r="O65" s="944"/>
    </row>
    <row r="66" spans="1:17" s="692" customFormat="1" ht="13.9" thickBot="1">
      <c r="A66" s="695" t="s">
        <v>2763</v>
      </c>
      <c r="B66" s="696" t="s">
        <v>28</v>
      </c>
      <c r="C66" s="696" t="s">
        <v>29</v>
      </c>
      <c r="D66" s="696" t="s">
        <v>1029</v>
      </c>
      <c r="E66" s="696">
        <f>IF(B46="楼面地价",SUM(E56:E65),'数据-汇总表'!D3)</f>
        <v>166960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2656</v>
      </c>
      <c r="B69" s="759"/>
      <c r="C69" s="764"/>
      <c r="D69" s="764"/>
      <c r="E69" s="764"/>
      <c r="F69" s="765"/>
      <c r="G69" s="765"/>
      <c r="H69" s="764"/>
      <c r="I69" s="764"/>
      <c r="J69" s="1162"/>
      <c r="K69" s="1163"/>
      <c r="L69" s="1164"/>
      <c r="M69" s="1162"/>
      <c r="N69" s="1162"/>
      <c r="O69" s="1162"/>
      <c r="P69" s="503"/>
      <c r="Q69" s="504"/>
    </row>
    <row r="70" spans="1:17" s="508" customFormat="1" ht="13.9">
      <c r="A70" s="2712" t="s">
        <v>2764</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2765</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4.25" thickBot="1">
      <c r="A72" s="515" t="s">
        <v>2567</v>
      </c>
      <c r="B72" s="516"/>
      <c r="C72" s="517"/>
      <c r="D72" s="518"/>
      <c r="E72" s="518"/>
      <c r="F72" s="518"/>
      <c r="G72" s="518"/>
      <c r="H72" s="518"/>
      <c r="I72" s="518"/>
      <c r="J72" s="518"/>
      <c r="K72" s="518"/>
      <c r="L72" s="518"/>
      <c r="M72" s="519"/>
      <c r="N72" s="518"/>
      <c r="O72" s="1165"/>
      <c r="P72" s="504"/>
      <c r="Q72" s="504"/>
    </row>
    <row r="73" spans="1:17" s="117" customFormat="1" ht="13.9">
      <c r="A73" s="521" t="s">
        <v>2532</v>
      </c>
      <c r="B73" s="510"/>
      <c r="C73" s="522" t="s">
        <v>2634</v>
      </c>
      <c r="D73" s="523"/>
      <c r="E73" s="523"/>
      <c r="F73" s="523"/>
      <c r="G73" s="523"/>
      <c r="H73" s="523"/>
      <c r="I73" s="523"/>
      <c r="J73" s="523"/>
      <c r="K73" s="523"/>
      <c r="L73" s="524"/>
      <c r="M73" s="525"/>
      <c r="N73" s="1154"/>
      <c r="O73" s="1154"/>
      <c r="P73" s="526"/>
      <c r="Q73" s="504"/>
    </row>
    <row r="74" spans="1:17" s="117" customFormat="1" ht="14.25" thickBot="1">
      <c r="A74" s="521"/>
      <c r="B74" s="510"/>
      <c r="C74" s="639">
        <v>100</v>
      </c>
      <c r="D74" s="512"/>
      <c r="E74" s="512"/>
      <c r="F74" s="512"/>
      <c r="G74" s="512"/>
      <c r="H74" s="512"/>
      <c r="I74" s="512"/>
      <c r="J74" s="512"/>
      <c r="K74" s="512"/>
      <c r="L74" s="512"/>
      <c r="M74" s="514"/>
      <c r="N74" s="1154"/>
      <c r="O74" s="1154"/>
      <c r="P74" s="504"/>
      <c r="Q74" s="504"/>
    </row>
    <row r="75" spans="1:17">
      <c r="A75" s="527" t="s">
        <v>2570</v>
      </c>
      <c r="B75" s="528" t="s">
        <v>2536</v>
      </c>
      <c r="C75" s="530"/>
      <c r="D75" s="530"/>
      <c r="E75" s="530"/>
      <c r="F75" s="530"/>
      <c r="G75" s="530"/>
      <c r="H75" s="530"/>
      <c r="I75" s="530"/>
      <c r="J75" s="530"/>
      <c r="K75" s="531"/>
      <c r="L75" s="532"/>
      <c r="M75" s="533"/>
      <c r="N75" s="1155"/>
      <c r="O75" s="1155"/>
      <c r="P75" s="45"/>
      <c r="Q75" s="504"/>
    </row>
    <row r="76" spans="1:17" ht="14.25" thickBot="1">
      <c r="A76" s="534"/>
      <c r="B76" s="535"/>
      <c r="C76" s="536"/>
      <c r="D76" s="536"/>
      <c r="E76" s="536"/>
      <c r="F76" s="536"/>
      <c r="G76" s="536"/>
      <c r="H76" s="536"/>
      <c r="I76" s="536"/>
      <c r="J76" s="536"/>
      <c r="K76" s="536"/>
      <c r="L76" s="536"/>
      <c r="M76" s="537"/>
      <c r="N76" s="1156"/>
      <c r="O76" s="1156"/>
      <c r="P76" s="45"/>
      <c r="Q76" s="504"/>
    </row>
    <row r="77" spans="1:17" ht="27.4" thickTop="1">
      <c r="A77" s="534"/>
      <c r="B77" s="538" t="s">
        <v>2539</v>
      </c>
      <c r="C77" s="539"/>
      <c r="D77" s="539"/>
      <c r="E77" s="539"/>
      <c r="F77" s="539"/>
      <c r="G77" s="539"/>
      <c r="H77" s="539"/>
      <c r="I77" s="539"/>
      <c r="J77" s="539"/>
      <c r="K77" s="540"/>
      <c r="L77" s="541"/>
      <c r="M77" s="542"/>
      <c r="N77" s="1155"/>
      <c r="O77" s="1155"/>
      <c r="P77" s="45"/>
      <c r="Q77" s="504"/>
    </row>
    <row r="78" spans="1:17" ht="14.25" thickBot="1">
      <c r="A78" s="534"/>
      <c r="B78" s="543"/>
      <c r="C78" s="544"/>
      <c r="D78" s="544"/>
      <c r="E78" s="544"/>
      <c r="F78" s="544"/>
      <c r="G78" s="544"/>
      <c r="H78" s="544"/>
      <c r="I78" s="544"/>
      <c r="J78" s="544"/>
      <c r="K78" s="544"/>
      <c r="L78" s="544"/>
      <c r="M78" s="545"/>
      <c r="N78" s="1156"/>
      <c r="O78" s="1156"/>
      <c r="P78" s="45"/>
      <c r="Q78" s="504"/>
    </row>
    <row r="79" spans="1:17" ht="14.25" thickTop="1">
      <c r="A79" s="534"/>
      <c r="B79" s="546" t="s">
        <v>2540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3.9">
      <c r="A80" s="534"/>
      <c r="B80" s="548"/>
      <c r="C80" s="549"/>
      <c r="D80" s="549"/>
      <c r="E80" s="549"/>
      <c r="F80" s="549"/>
      <c r="G80" s="549"/>
      <c r="H80" s="549"/>
      <c r="I80" s="549"/>
      <c r="J80" s="549"/>
      <c r="K80" s="550"/>
      <c r="L80" s="551"/>
      <c r="M80" s="552"/>
      <c r="N80" s="1155"/>
      <c r="O80" s="1155"/>
      <c r="P80" s="45"/>
      <c r="Q80" s="504"/>
    </row>
    <row r="81" spans="1:17" ht="14.2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2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25" thickBot="1">
      <c r="A83" s="553"/>
      <c r="B83" s="543"/>
      <c r="C83" s="560"/>
      <c r="D83" s="536"/>
      <c r="E83" s="536"/>
      <c r="F83" s="536"/>
      <c r="G83" s="536"/>
      <c r="H83" s="536"/>
      <c r="I83" s="536"/>
      <c r="J83" s="536"/>
      <c r="K83" s="536"/>
      <c r="L83" s="536"/>
      <c r="M83" s="537"/>
      <c r="N83" s="1156"/>
      <c r="O83" s="1156"/>
      <c r="P83" s="558"/>
      <c r="Q83" s="559"/>
    </row>
    <row r="84" spans="1:17" s="471" customFormat="1" ht="14.25" thickTop="1">
      <c r="A84" s="553"/>
      <c r="B84" s="538">
        <f>B13</f>
        <v>111</v>
      </c>
      <c r="C84" s="554"/>
      <c r="D84" s="554"/>
      <c r="E84" s="554"/>
      <c r="F84" s="554"/>
      <c r="G84" s="554"/>
      <c r="H84" s="555"/>
      <c r="I84" s="555"/>
      <c r="J84" s="555"/>
      <c r="K84" s="555"/>
      <c r="L84" s="556"/>
      <c r="M84" s="557"/>
      <c r="N84" s="1157"/>
      <c r="O84" s="1157"/>
      <c r="P84" s="470"/>
      <c r="Q84" s="561"/>
    </row>
    <row r="85" spans="1:17" s="471" customFormat="1" ht="14.25" thickBot="1">
      <c r="A85" s="553"/>
      <c r="B85" s="543"/>
      <c r="C85" s="560"/>
      <c r="D85" s="560"/>
      <c r="E85" s="560"/>
      <c r="F85" s="560"/>
      <c r="G85" s="560"/>
      <c r="H85" s="562"/>
      <c r="I85" s="562"/>
      <c r="J85" s="562"/>
      <c r="K85" s="562"/>
      <c r="L85" s="562"/>
      <c r="M85" s="563"/>
      <c r="N85" s="1157"/>
      <c r="O85" s="1157"/>
      <c r="P85" s="558"/>
      <c r="Q85" s="559"/>
    </row>
    <row r="86" spans="1:17" s="471" customFormat="1" ht="14.25" thickTop="1">
      <c r="A86" s="553"/>
      <c r="B86" s="546">
        <f>B14</f>
        <v>111</v>
      </c>
      <c r="C86" s="523"/>
      <c r="D86" s="523"/>
      <c r="E86" s="523"/>
      <c r="F86" s="523"/>
      <c r="G86" s="523"/>
      <c r="H86" s="564"/>
      <c r="I86" s="564"/>
      <c r="J86" s="564"/>
      <c r="K86" s="564"/>
      <c r="L86" s="565"/>
      <c r="M86" s="566"/>
      <c r="N86" s="1157"/>
      <c r="O86" s="1157"/>
      <c r="P86" s="567"/>
      <c r="Q86" s="559"/>
    </row>
    <row r="87" spans="1:17" s="471" customFormat="1" ht="14.25" thickBot="1">
      <c r="A87" s="568"/>
      <c r="B87" s="569"/>
      <c r="C87" s="570"/>
      <c r="D87" s="570"/>
      <c r="E87" s="570"/>
      <c r="F87" s="570"/>
      <c r="G87" s="570"/>
      <c r="H87" s="571"/>
      <c r="I87" s="571"/>
      <c r="J87" s="571"/>
      <c r="K87" s="571"/>
      <c r="L87" s="571"/>
      <c r="M87" s="572"/>
      <c r="N87" s="1157"/>
      <c r="O87" s="1157"/>
      <c r="P87" s="558"/>
      <c r="Q87" s="559"/>
    </row>
    <row r="88" spans="1:17">
      <c r="A88" s="527" t="s">
        <v>2541</v>
      </c>
      <c r="B88" s="528" t="s">
        <v>2578</v>
      </c>
      <c r="C88" s="573" t="s">
        <v>2579</v>
      </c>
      <c r="D88" s="573" t="s">
        <v>2580</v>
      </c>
      <c r="E88" s="573" t="s">
        <v>2581</v>
      </c>
      <c r="F88" s="573" t="s">
        <v>2582</v>
      </c>
      <c r="G88" s="573" t="s">
        <v>2583</v>
      </c>
      <c r="H88" s="529"/>
      <c r="I88" s="529"/>
      <c r="J88" s="529"/>
      <c r="K88" s="574"/>
      <c r="L88" s="575"/>
      <c r="M88" s="576"/>
      <c r="N88" s="1155"/>
      <c r="O88" s="1155"/>
      <c r="P88" s="577"/>
      <c r="Q88" s="504"/>
    </row>
    <row r="89" spans="1:17" ht="14.2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4.25" thickTop="1">
      <c r="A90" s="534"/>
      <c r="B90" s="538" t="s">
        <v>2766</v>
      </c>
      <c r="C90" s="578" t="s">
        <v>2579</v>
      </c>
      <c r="D90" s="578" t="s">
        <v>2580</v>
      </c>
      <c r="E90" s="578" t="s">
        <v>2581</v>
      </c>
      <c r="F90" s="578" t="s">
        <v>2582</v>
      </c>
      <c r="G90" s="578" t="s">
        <v>2583</v>
      </c>
      <c r="H90" s="539"/>
      <c r="I90" s="539"/>
      <c r="J90" s="539"/>
      <c r="K90" s="540"/>
      <c r="L90" s="541"/>
      <c r="M90" s="542"/>
      <c r="N90" s="1155"/>
      <c r="O90" s="1155"/>
      <c r="P90" s="45"/>
      <c r="Q90" s="504"/>
    </row>
    <row r="91" spans="1:17" ht="14.2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4.25" thickTop="1">
      <c r="A92" s="534"/>
      <c r="B92" s="538" t="s">
        <v>2679</v>
      </c>
      <c r="C92" s="578" t="s">
        <v>2579</v>
      </c>
      <c r="D92" s="578" t="s">
        <v>2580</v>
      </c>
      <c r="E92" s="578" t="s">
        <v>2581</v>
      </c>
      <c r="F92" s="578" t="s">
        <v>2582</v>
      </c>
      <c r="G92" s="578" t="s">
        <v>2583</v>
      </c>
      <c r="H92" s="539"/>
      <c r="I92" s="539"/>
      <c r="J92" s="539"/>
      <c r="K92" s="540"/>
      <c r="L92" s="541"/>
      <c r="M92" s="542"/>
      <c r="N92" s="1155"/>
      <c r="O92" s="1155"/>
      <c r="P92" s="45"/>
      <c r="Q92" s="504"/>
    </row>
    <row r="93" spans="1:17" ht="14.2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4.25" thickTop="1">
      <c r="A94" s="534"/>
      <c r="B94" s="538" t="s">
        <v>2584</v>
      </c>
      <c r="C94" s="578" t="s">
        <v>2579</v>
      </c>
      <c r="D94" s="578" t="s">
        <v>2580</v>
      </c>
      <c r="E94" s="578" t="s">
        <v>2581</v>
      </c>
      <c r="F94" s="578" t="s">
        <v>2582</v>
      </c>
      <c r="G94" s="578" t="s">
        <v>2583</v>
      </c>
      <c r="H94" s="539"/>
      <c r="I94" s="539"/>
      <c r="J94" s="539"/>
      <c r="K94" s="540"/>
      <c r="L94" s="541"/>
      <c r="M94" s="542"/>
      <c r="N94" s="1155"/>
      <c r="O94" s="1155"/>
      <c r="P94" s="45"/>
      <c r="Q94" s="504"/>
    </row>
    <row r="95" spans="1:17" ht="14.2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7.4" thickTop="1">
      <c r="A96" s="579"/>
      <c r="B96" s="538" t="s">
        <v>2767</v>
      </c>
      <c r="C96" s="578" t="s">
        <v>2579</v>
      </c>
      <c r="D96" s="578" t="s">
        <v>2580</v>
      </c>
      <c r="E96" s="578" t="s">
        <v>2581</v>
      </c>
      <c r="F96" s="578" t="s">
        <v>2582</v>
      </c>
      <c r="G96" s="578" t="s">
        <v>2583</v>
      </c>
      <c r="H96" s="578"/>
      <c r="I96" s="578"/>
      <c r="J96" s="578"/>
      <c r="K96" s="578"/>
      <c r="L96" s="698"/>
      <c r="M96" s="622"/>
      <c r="N96" s="1154"/>
      <c r="O96" s="1154"/>
      <c r="P96" s="45"/>
      <c r="Q96" s="504"/>
    </row>
    <row r="97" spans="1:17" s="117" customFormat="1" ht="14.2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4" thickTop="1">
      <c r="A98" s="579"/>
      <c r="B98" s="538" t="s">
        <v>2768</v>
      </c>
      <c r="C98" s="573" t="s">
        <v>2579</v>
      </c>
      <c r="D98" s="573" t="s">
        <v>2580</v>
      </c>
      <c r="E98" s="573" t="s">
        <v>2581</v>
      </c>
      <c r="F98" s="573" t="s">
        <v>2582</v>
      </c>
      <c r="G98" s="573" t="s">
        <v>2583</v>
      </c>
      <c r="H98" s="578"/>
      <c r="I98" s="578"/>
      <c r="J98" s="578"/>
      <c r="K98" s="578"/>
      <c r="L98" s="578"/>
      <c r="M98" s="622"/>
      <c r="N98" s="1154"/>
      <c r="O98" s="1154"/>
      <c r="P98" s="45"/>
      <c r="Q98" s="504"/>
    </row>
    <row r="99" spans="1:17" s="117" customFormat="1" ht="14.2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4.25" thickTop="1">
      <c r="A100" s="553"/>
      <c r="B100" s="538" t="s">
        <v>2636</v>
      </c>
      <c r="C100" s="573" t="s">
        <v>2579</v>
      </c>
      <c r="D100" s="573" t="s">
        <v>2580</v>
      </c>
      <c r="E100" s="573" t="s">
        <v>2581</v>
      </c>
      <c r="F100" s="573" t="s">
        <v>2582</v>
      </c>
      <c r="G100" s="573" t="s">
        <v>2583</v>
      </c>
      <c r="H100" s="600"/>
      <c r="I100" s="600"/>
      <c r="J100" s="600"/>
      <c r="K100" s="600"/>
      <c r="L100" s="601"/>
      <c r="M100" s="602"/>
      <c r="N100" s="1157"/>
      <c r="O100" s="1157"/>
      <c r="P100" s="558"/>
      <c r="Q100" s="559"/>
    </row>
    <row r="101" spans="1:17" s="471" customFormat="1" ht="14.2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4.25" thickTop="1">
      <c r="A102" s="553"/>
      <c r="B102" s="546" t="s">
        <v>2637</v>
      </c>
      <c r="C102" s="660" t="s">
        <v>2657</v>
      </c>
      <c r="D102" s="660" t="s">
        <v>2658</v>
      </c>
      <c r="E102" s="660" t="s">
        <v>2659</v>
      </c>
      <c r="F102" s="660" t="s">
        <v>2660</v>
      </c>
      <c r="G102" s="660" t="s">
        <v>2661</v>
      </c>
      <c r="H102" s="600"/>
      <c r="I102" s="600"/>
      <c r="J102" s="600"/>
      <c r="K102" s="600"/>
      <c r="L102" s="600"/>
      <c r="M102" s="1388"/>
      <c r="N102" s="1157"/>
      <c r="O102" s="1157"/>
      <c r="P102" s="558"/>
      <c r="Q102" s="559"/>
    </row>
    <row r="103" spans="1:17" s="471" customFormat="1" ht="14.2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4.25" thickTop="1">
      <c r="A104" s="534"/>
      <c r="B104" s="538" t="str">
        <f>B31</f>
        <v>临街状况</v>
      </c>
      <c r="C104" s="539" t="s">
        <v>2769</v>
      </c>
      <c r="D104" s="539" t="s">
        <v>2770</v>
      </c>
      <c r="E104" s="539" t="s">
        <v>2771</v>
      </c>
      <c r="F104" s="539" t="s">
        <v>2772</v>
      </c>
      <c r="G104" s="539"/>
      <c r="H104" s="539"/>
      <c r="I104" s="539"/>
      <c r="J104" s="539"/>
      <c r="K104" s="540"/>
      <c r="L104" s="541"/>
      <c r="M104" s="542"/>
      <c r="N104" s="1155"/>
      <c r="O104" s="1155"/>
      <c r="P104" s="45"/>
      <c r="Q104" s="504"/>
    </row>
    <row r="105" spans="1:17" ht="14.2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4" thickTop="1">
      <c r="A106" s="534"/>
      <c r="B106" s="538" t="s">
        <v>2673</v>
      </c>
      <c r="C106" s="554"/>
      <c r="D106" s="554"/>
      <c r="E106" s="554"/>
      <c r="F106" s="554"/>
      <c r="G106" s="554"/>
      <c r="H106" s="583"/>
      <c r="I106" s="583"/>
      <c r="J106" s="583"/>
      <c r="K106" s="584"/>
      <c r="L106" s="585"/>
      <c r="M106" s="586"/>
      <c r="N106" s="1155"/>
      <c r="O106" s="1155"/>
      <c r="P106" s="45"/>
      <c r="Q106" s="504"/>
    </row>
    <row r="107" spans="1:17" ht="14.2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4.25" thickTop="1">
      <c r="A108" s="534"/>
      <c r="B108" s="538" t="s">
        <v>2732</v>
      </c>
      <c r="C108" s="583"/>
      <c r="D108" s="583"/>
      <c r="E108" s="583"/>
      <c r="F108" s="583"/>
      <c r="G108" s="583"/>
      <c r="H108" s="583"/>
      <c r="I108" s="583"/>
      <c r="J108" s="583"/>
      <c r="K108" s="584"/>
      <c r="L108" s="585"/>
      <c r="M108" s="586"/>
      <c r="N108" s="1155"/>
      <c r="O108" s="1155"/>
      <c r="P108" s="45"/>
      <c r="Q108" s="504"/>
    </row>
    <row r="109" spans="1:17" ht="14.2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25" thickTop="1">
      <c r="A110" s="534"/>
      <c r="B110" s="546">
        <f>B35</f>
        <v>111</v>
      </c>
      <c r="C110" s="554"/>
      <c r="D110" s="554"/>
      <c r="E110" s="554"/>
      <c r="F110" s="554"/>
      <c r="G110" s="587"/>
      <c r="H110" s="587"/>
      <c r="I110" s="587"/>
      <c r="J110" s="587"/>
      <c r="K110" s="588"/>
      <c r="L110" s="589"/>
      <c r="M110" s="590"/>
      <c r="N110" s="1155"/>
      <c r="O110" s="1155"/>
      <c r="P110" s="45"/>
      <c r="Q110" s="504"/>
    </row>
    <row r="111" spans="1:17" ht="14.25" thickBot="1">
      <c r="A111" s="534"/>
      <c r="B111" s="569"/>
      <c r="C111" s="560"/>
      <c r="D111" s="560"/>
      <c r="E111" s="560"/>
      <c r="F111" s="560"/>
      <c r="G111" s="591"/>
      <c r="H111" s="591"/>
      <c r="I111" s="591"/>
      <c r="J111" s="591"/>
      <c r="K111" s="591"/>
      <c r="L111" s="591"/>
      <c r="M111" s="592"/>
      <c r="N111" s="1156"/>
      <c r="O111" s="1156"/>
      <c r="P111" s="45"/>
      <c r="Q111" s="504"/>
    </row>
    <row r="112" spans="1:17" ht="13.9" thickTop="1">
      <c r="A112" s="675"/>
      <c r="B112" s="538">
        <f>B36</f>
        <v>111</v>
      </c>
      <c r="C112" s="523"/>
      <c r="D112" s="523"/>
      <c r="E112" s="523"/>
      <c r="F112" s="523"/>
      <c r="G112" s="583"/>
      <c r="H112" s="583"/>
      <c r="I112" s="583"/>
      <c r="J112" s="583"/>
      <c r="K112" s="584"/>
      <c r="L112" s="585"/>
      <c r="M112" s="586"/>
      <c r="N112" s="1155"/>
      <c r="O112" s="1155"/>
      <c r="P112" s="45"/>
      <c r="Q112" s="504"/>
    </row>
    <row r="113" spans="1:17" ht="14.25" thickBot="1">
      <c r="A113" s="534"/>
      <c r="B113" s="543"/>
      <c r="C113" s="570"/>
      <c r="D113" s="570"/>
      <c r="E113" s="570"/>
      <c r="F113" s="570"/>
      <c r="G113" s="536"/>
      <c r="H113" s="536"/>
      <c r="I113" s="536"/>
      <c r="J113" s="536"/>
      <c r="K113" s="536"/>
      <c r="L113" s="536"/>
      <c r="M113" s="537"/>
      <c r="N113" s="1156"/>
      <c r="O113" s="1156"/>
      <c r="P113" s="45"/>
      <c r="Q113" s="504"/>
    </row>
    <row r="114" spans="1:17" s="471" customFormat="1" ht="13.9"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25" thickBot="1">
      <c r="A115" s="553"/>
      <c r="B115" s="546"/>
      <c r="C115" s="512"/>
      <c r="D115" s="677"/>
      <c r="E115" s="677"/>
      <c r="F115" s="677"/>
      <c r="G115" s="677"/>
      <c r="H115" s="677"/>
      <c r="I115" s="677"/>
      <c r="J115" s="677"/>
      <c r="K115" s="677"/>
      <c r="L115" s="677"/>
      <c r="M115" s="699"/>
      <c r="N115" s="1156"/>
      <c r="O115" s="1156"/>
      <c r="P115" s="558"/>
      <c r="Q115" s="559"/>
    </row>
    <row r="116" spans="1:17">
      <c r="A116" s="527" t="s">
        <v>2545</v>
      </c>
      <c r="B116" s="528" t="s">
        <v>2773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3.9">
      <c r="A117" s="534"/>
      <c r="B117" s="546"/>
      <c r="C117" s="595"/>
      <c r="D117" s="595"/>
      <c r="E117" s="595"/>
      <c r="F117" s="595"/>
      <c r="G117" s="595"/>
      <c r="H117" s="595"/>
      <c r="I117" s="595"/>
      <c r="J117" s="596"/>
      <c r="K117" s="596"/>
      <c r="L117" s="597"/>
      <c r="M117" s="598"/>
      <c r="N117" s="1155"/>
      <c r="O117" s="1155"/>
      <c r="P117" s="45"/>
      <c r="Q117" s="504"/>
    </row>
    <row r="118" spans="1:17" ht="14.25" thickBot="1">
      <c r="A118" s="534"/>
      <c r="B118" s="543"/>
      <c r="C118" s="570"/>
      <c r="D118" s="591"/>
      <c r="E118" s="591"/>
      <c r="F118" s="591"/>
      <c r="G118" s="591"/>
      <c r="H118" s="591"/>
      <c r="I118" s="591"/>
      <c r="J118" s="591"/>
      <c r="K118" s="591"/>
      <c r="L118" s="591"/>
      <c r="M118" s="592"/>
      <c r="N118" s="1156"/>
      <c r="O118" s="1156"/>
      <c r="P118" s="45"/>
      <c r="Q118" s="504"/>
    </row>
    <row r="119" spans="1:17" ht="13.9" thickTop="1">
      <c r="A119" s="599"/>
      <c r="B119" s="538" t="s">
        <v>2774</v>
      </c>
      <c r="C119" s="583"/>
      <c r="D119" s="583"/>
      <c r="E119" s="583"/>
      <c r="F119" s="583"/>
      <c r="G119" s="583"/>
      <c r="H119" s="583"/>
      <c r="I119" s="583"/>
      <c r="J119" s="583"/>
      <c r="K119" s="584"/>
      <c r="L119" s="585"/>
      <c r="M119" s="586"/>
      <c r="N119" s="1155"/>
      <c r="O119" s="1155"/>
      <c r="P119" s="45"/>
      <c r="Q119" s="504"/>
    </row>
    <row r="120" spans="1:17" ht="14.2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3.9" thickTop="1">
      <c r="A121" s="599"/>
      <c r="B121" s="538" t="s">
        <v>2775</v>
      </c>
      <c r="C121" s="554"/>
      <c r="D121" s="554"/>
      <c r="E121" s="554"/>
      <c r="F121" s="583"/>
      <c r="G121" s="583"/>
      <c r="H121" s="583"/>
      <c r="I121" s="583"/>
      <c r="J121" s="583"/>
      <c r="K121" s="584"/>
      <c r="L121" s="585"/>
      <c r="M121" s="586"/>
      <c r="N121" s="1155"/>
      <c r="O121" s="1155"/>
      <c r="P121" s="45"/>
      <c r="Q121" s="504"/>
    </row>
    <row r="122" spans="1:17" ht="14.2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3.9" thickTop="1">
      <c r="A123" s="593"/>
      <c r="B123" s="538" t="s">
        <v>2776</v>
      </c>
      <c r="C123" s="554"/>
      <c r="D123" s="554"/>
      <c r="E123" s="554"/>
      <c r="F123" s="554"/>
      <c r="G123" s="554"/>
      <c r="H123" s="583"/>
      <c r="I123" s="583"/>
      <c r="J123" s="583"/>
      <c r="K123" s="584"/>
      <c r="L123" s="585"/>
      <c r="M123" s="586"/>
      <c r="N123" s="1157"/>
      <c r="O123" s="1157"/>
      <c r="P123" s="558"/>
      <c r="Q123" s="559"/>
    </row>
    <row r="124" spans="1:17" s="471" customFormat="1" ht="14.2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3.9" thickTop="1">
      <c r="A125" s="599"/>
      <c r="B125" s="538" t="s">
        <v>2777</v>
      </c>
      <c r="C125" s="554"/>
      <c r="D125" s="554"/>
      <c r="E125" s="583"/>
      <c r="F125" s="583"/>
      <c r="G125" s="583"/>
      <c r="H125" s="583"/>
      <c r="I125" s="583"/>
      <c r="J125" s="583"/>
      <c r="K125" s="584"/>
      <c r="L125" s="585"/>
      <c r="M125" s="586"/>
      <c r="N125" s="1155"/>
      <c r="O125" s="1155"/>
      <c r="P125" s="45"/>
      <c r="Q125" s="504"/>
    </row>
    <row r="126" spans="1:17" ht="14.2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3.9" thickTop="1">
      <c r="A127" s="599"/>
      <c r="B127" s="538">
        <f>B43</f>
        <v>111</v>
      </c>
      <c r="C127" s="554"/>
      <c r="D127" s="554"/>
      <c r="E127" s="554"/>
      <c r="F127" s="554"/>
      <c r="G127" s="554"/>
      <c r="H127" s="583"/>
      <c r="I127" s="583"/>
      <c r="J127" s="583"/>
      <c r="K127" s="584"/>
      <c r="L127" s="585"/>
      <c r="M127" s="586"/>
      <c r="N127" s="1155"/>
      <c r="O127" s="1155"/>
      <c r="P127" s="45"/>
      <c r="Q127" s="504"/>
    </row>
    <row r="128" spans="1:17" ht="14.25" thickBot="1">
      <c r="A128" s="534"/>
      <c r="B128" s="543"/>
      <c r="C128" s="560"/>
      <c r="D128" s="560"/>
      <c r="E128" s="560"/>
      <c r="F128" s="560"/>
      <c r="G128" s="536"/>
      <c r="H128" s="536"/>
      <c r="I128" s="536"/>
      <c r="J128" s="536"/>
      <c r="K128" s="536"/>
      <c r="L128" s="536"/>
      <c r="M128" s="537"/>
      <c r="N128" s="1156"/>
      <c r="O128" s="1156"/>
      <c r="P128" s="45"/>
      <c r="Q128" s="504"/>
    </row>
    <row r="129" spans="1:17" ht="13.9" thickTop="1">
      <c r="A129" s="599"/>
      <c r="B129" s="538">
        <f>B44</f>
        <v>111</v>
      </c>
      <c r="C129" s="523"/>
      <c r="D129" s="523"/>
      <c r="E129" s="523"/>
      <c r="F129" s="523"/>
      <c r="G129" s="583"/>
      <c r="H129" s="583"/>
      <c r="I129" s="583"/>
      <c r="J129" s="583"/>
      <c r="K129" s="584"/>
      <c r="L129" s="585"/>
      <c r="M129" s="586"/>
      <c r="N129" s="1155"/>
      <c r="O129" s="1155"/>
      <c r="P129" s="45"/>
      <c r="Q129" s="504"/>
    </row>
    <row r="130" spans="1:17" ht="14.25" thickBot="1">
      <c r="A130" s="534"/>
      <c r="B130" s="543"/>
      <c r="C130" s="570"/>
      <c r="D130" s="570"/>
      <c r="E130" s="570"/>
      <c r="F130" s="570"/>
      <c r="G130" s="536"/>
      <c r="H130" s="536"/>
      <c r="I130" s="536"/>
      <c r="J130" s="536"/>
      <c r="K130" s="536"/>
      <c r="L130" s="536"/>
      <c r="M130" s="537"/>
      <c r="N130" s="1156"/>
      <c r="O130" s="1156"/>
      <c r="P130" s="45"/>
      <c r="Q130" s="504"/>
    </row>
    <row r="131" spans="1:17" s="471" customFormat="1" ht="13.9"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2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3.5"/>
  <cols>
    <col min="1" max="1" width="14.3984375" style="403" customWidth="1"/>
    <col min="2" max="2" width="15.73046875" style="403" customWidth="1"/>
    <col min="3" max="3" width="14.3984375" style="403" customWidth="1"/>
    <col min="4" max="4" width="12.265625" style="403" customWidth="1"/>
    <col min="5" max="5" width="14.3984375" style="403" customWidth="1"/>
    <col min="6" max="6" width="12.265625" style="403" customWidth="1"/>
    <col min="7" max="7" width="14.46484375" style="403" customWidth="1"/>
    <col min="8" max="8" width="12.265625" style="403" customWidth="1"/>
    <col min="9" max="9" width="14.46484375" style="403" customWidth="1"/>
    <col min="10" max="10" width="12.265625" style="403" customWidth="1"/>
    <col min="11" max="11" width="12.265625" style="495" customWidth="1"/>
    <col min="12" max="12" width="12.265625" style="496" customWidth="1"/>
    <col min="13" max="15" width="12.265625" style="403" customWidth="1"/>
    <col min="16" max="16" width="4.73046875" style="403" customWidth="1"/>
    <col min="17" max="17" width="19.46484375" style="403" customWidth="1"/>
    <col min="18" max="22" width="6.1328125" style="403" customWidth="1"/>
    <col min="23" max="23" width="5.73046875" style="403" customWidth="1"/>
    <col min="24" max="24" width="4.265625" style="403" customWidth="1"/>
    <col min="25" max="25" width="3.46484375" style="403" customWidth="1"/>
    <col min="26" max="26" width="19.73046875" style="403" customWidth="1"/>
    <col min="27" max="28" width="9.3984375" style="403" customWidth="1"/>
    <col min="29" max="16384" width="9" style="403"/>
  </cols>
  <sheetData>
    <row r="1" spans="1:29" s="398" customFormat="1" ht="28.5" customHeight="1">
      <c r="A1" s="394" t="s">
        <v>2726</v>
      </c>
      <c r="B1" s="395"/>
      <c r="C1" s="396" t="s">
        <v>2778</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2314</v>
      </c>
      <c r="B3" s="609" t="e">
        <f>ROUND(IF(D3="",B2*10000/'数据-汇总表'!E3,B2*10000/D3),0)</f>
        <v>#DIV/0!</v>
      </c>
      <c r="C3" s="247" t="s">
        <v>2728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3.9">
      <c r="A4" s="401" t="s">
        <v>2627</v>
      </c>
      <c r="B4" s="402"/>
      <c r="C4" s="3259" t="s">
        <v>2628</v>
      </c>
      <c r="D4" s="3260"/>
      <c r="E4" s="3261" t="s">
        <v>2629</v>
      </c>
      <c r="F4" s="3262"/>
      <c r="G4" s="3259" t="s">
        <v>2630</v>
      </c>
      <c r="H4" s="3260"/>
      <c r="I4" s="3259" t="s">
        <v>2631</v>
      </c>
      <c r="J4" s="3260"/>
      <c r="K4" s="610" t="s">
        <v>2632</v>
      </c>
      <c r="L4" s="1133"/>
      <c r="M4" s="1134"/>
      <c r="N4" s="1134"/>
      <c r="O4" s="1134"/>
      <c r="P4" s="3263" t="s">
        <v>2633</v>
      </c>
      <c r="Q4" s="3264"/>
      <c r="R4" s="3246" t="s">
        <v>2629</v>
      </c>
      <c r="S4" s="3247"/>
      <c r="T4" s="3246" t="s">
        <v>2630</v>
      </c>
      <c r="U4" s="3247"/>
      <c r="V4" s="3271" t="s">
        <v>2631</v>
      </c>
      <c r="W4" s="3271"/>
      <c r="X4" s="1816"/>
      <c r="Y4" s="3246" t="s">
        <v>2633</v>
      </c>
      <c r="Z4" s="3247"/>
      <c r="AA4" s="3241" t="s">
        <v>2629</v>
      </c>
      <c r="AB4" s="3242" t="s">
        <v>2630</v>
      </c>
      <c r="AC4" s="3241" t="s">
        <v>2631</v>
      </c>
    </row>
    <row r="5" spans="1:29" ht="13.9">
      <c r="A5" s="404"/>
      <c r="B5" s="405"/>
      <c r="C5" s="3252" t="s">
        <v>2524</v>
      </c>
      <c r="D5" s="3253"/>
      <c r="E5" s="3250" t="s">
        <v>2525</v>
      </c>
      <c r="F5" s="3251"/>
      <c r="G5" s="3252" t="s">
        <v>2526</v>
      </c>
      <c r="H5" s="3253"/>
      <c r="I5" s="3252" t="s">
        <v>2527</v>
      </c>
      <c r="J5" s="3253"/>
      <c r="K5" s="610"/>
      <c r="L5" s="1133"/>
      <c r="M5" s="1134"/>
      <c r="N5" s="1134"/>
      <c r="O5" s="1134"/>
      <c r="P5" s="3265"/>
      <c r="Q5" s="3266"/>
      <c r="R5" s="3248"/>
      <c r="S5" s="3249"/>
      <c r="T5" s="3248"/>
      <c r="U5" s="3249"/>
      <c r="V5" s="3271"/>
      <c r="W5" s="3271"/>
      <c r="X5" s="1816"/>
      <c r="Y5" s="3248"/>
      <c r="Z5" s="3249"/>
      <c r="AA5" s="3242"/>
      <c r="AB5" s="3242"/>
      <c r="AC5" s="3242"/>
    </row>
    <row r="6" spans="1:29" ht="14.25" thickBot="1">
      <c r="A6" s="406"/>
      <c r="B6" s="407"/>
      <c r="C6" s="3307" t="s">
        <v>2779</v>
      </c>
      <c r="D6" s="3308"/>
      <c r="E6" s="3309" t="s">
        <v>2779</v>
      </c>
      <c r="F6" s="3310"/>
      <c r="G6" s="3307" t="s">
        <v>2779</v>
      </c>
      <c r="H6" s="3308"/>
      <c r="I6" s="3307" t="s">
        <v>2779</v>
      </c>
      <c r="J6" s="3308"/>
      <c r="K6" s="610" t="s">
        <v>2529</v>
      </c>
      <c r="L6" s="1133"/>
      <c r="M6" s="1134"/>
      <c r="N6" s="1134"/>
      <c r="O6" s="1134"/>
      <c r="P6" s="3267"/>
      <c r="Q6" s="3268"/>
      <c r="R6" s="3248"/>
      <c r="S6" s="3249"/>
      <c r="T6" s="3269"/>
      <c r="U6" s="3270"/>
      <c r="V6" s="3271"/>
      <c r="W6" s="3271"/>
      <c r="X6" s="1816"/>
      <c r="Y6" s="3269"/>
      <c r="Z6" s="3270"/>
      <c r="AA6" s="3243"/>
      <c r="AB6" s="3243"/>
      <c r="AC6" s="3243"/>
    </row>
    <row r="7" spans="1:29" s="117" customFormat="1" ht="14.25" thickBot="1">
      <c r="A7" s="408" t="s">
        <v>2530</v>
      </c>
      <c r="B7" s="409"/>
      <c r="C7" s="410">
        <f>'数据-取费表'!B2</f>
        <v>43215</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44" t="s">
        <v>2531</v>
      </c>
      <c r="Q7" s="3272"/>
      <c r="R7" s="770" t="s">
        <v>17</v>
      </c>
      <c r="S7" s="771">
        <f t="shared" ref="S7:S15" si="0">F7</f>
        <v>0</v>
      </c>
      <c r="T7" s="770" t="s">
        <v>17</v>
      </c>
      <c r="U7" s="771">
        <f t="shared" ref="U7:U15" si="1">H7</f>
        <v>0</v>
      </c>
      <c r="V7" s="770" t="s">
        <v>17</v>
      </c>
      <c r="W7" s="771">
        <f t="shared" ref="W7:W15" si="2">J7</f>
        <v>0</v>
      </c>
      <c r="X7" s="772"/>
      <c r="Y7" s="3244" t="s">
        <v>2531</v>
      </c>
      <c r="Z7" s="3245"/>
      <c r="AA7" s="773" t="e">
        <f>D7/F7</f>
        <v>#DIV/0!</v>
      </c>
      <c r="AB7" s="773" t="e">
        <f>D7/H7</f>
        <v>#DIV/0!</v>
      </c>
      <c r="AC7" s="773" t="e">
        <f>D7/J7</f>
        <v>#DIV/0!</v>
      </c>
    </row>
    <row r="8" spans="1:29" s="117" customFormat="1" ht="14.25" thickBot="1">
      <c r="A8" s="408" t="s">
        <v>2532</v>
      </c>
      <c r="B8" s="409"/>
      <c r="C8" s="414" t="s">
        <v>2533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4" t="s">
        <v>2534</v>
      </c>
      <c r="Q8" s="3245"/>
      <c r="R8" s="770" t="s">
        <v>17</v>
      </c>
      <c r="S8" s="771">
        <f t="shared" si="0"/>
        <v>0</v>
      </c>
      <c r="T8" s="770" t="s">
        <v>17</v>
      </c>
      <c r="U8" s="771">
        <f t="shared" si="1"/>
        <v>0</v>
      </c>
      <c r="V8" s="770" t="s">
        <v>17</v>
      </c>
      <c r="W8" s="771">
        <f t="shared" si="2"/>
        <v>0</v>
      </c>
      <c r="X8" s="772"/>
      <c r="Y8" s="3244" t="s">
        <v>2534</v>
      </c>
      <c r="Z8" s="3245"/>
      <c r="AA8" s="773" t="e">
        <f t="shared" ref="AA8:AA40" si="3">D8/F8</f>
        <v>#DIV/0!</v>
      </c>
      <c r="AB8" s="773" t="e">
        <f t="shared" ref="AB8:AB40" si="4">D8/H8</f>
        <v>#DIV/0!</v>
      </c>
      <c r="AC8" s="773" t="e">
        <f t="shared" ref="AC8:AC40" si="5">D8/J8</f>
        <v>#DIV/0!</v>
      </c>
    </row>
    <row r="9" spans="1:29" s="117" customFormat="1">
      <c r="A9" s="415" t="s">
        <v>2535</v>
      </c>
      <c r="B9" s="71" t="s">
        <v>2536</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76" t="s">
        <v>2537</v>
      </c>
      <c r="Q9" s="1798" t="str">
        <f t="shared" ref="Q9:Q15" si="6">B9</f>
        <v>用途</v>
      </c>
      <c r="R9" s="770" t="s">
        <v>17</v>
      </c>
      <c r="S9" s="771">
        <f t="shared" si="0"/>
        <v>100</v>
      </c>
      <c r="T9" s="770" t="s">
        <v>17</v>
      </c>
      <c r="U9" s="771">
        <f t="shared" si="1"/>
        <v>100</v>
      </c>
      <c r="V9" s="770" t="s">
        <v>17</v>
      </c>
      <c r="W9" s="771">
        <f t="shared" si="2"/>
        <v>100</v>
      </c>
      <c r="X9" s="772"/>
      <c r="Y9" s="3066" t="s">
        <v>2538</v>
      </c>
      <c r="Z9" s="55" t="str">
        <f t="shared" ref="Z9:Z15" si="7">Q9</f>
        <v>用途</v>
      </c>
      <c r="AA9" s="773">
        <f t="shared" si="3"/>
        <v>1</v>
      </c>
      <c r="AB9" s="773">
        <f t="shared" si="4"/>
        <v>1</v>
      </c>
      <c r="AC9" s="773">
        <f t="shared" si="5"/>
        <v>1</v>
      </c>
    </row>
    <row r="10" spans="1:29" s="427" customFormat="1" ht="27">
      <c r="A10" s="421"/>
      <c r="B10" s="422" t="s">
        <v>2539</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276"/>
      <c r="Q10" s="1798" t="str">
        <f t="shared" si="6"/>
        <v>土地使用年限（年）</v>
      </c>
      <c r="R10" s="770" t="s">
        <v>17</v>
      </c>
      <c r="S10" s="771">
        <f t="shared" si="0"/>
        <v>107</v>
      </c>
      <c r="T10" s="770" t="s">
        <v>17</v>
      </c>
      <c r="U10" s="771">
        <f t="shared" si="1"/>
        <v>107</v>
      </c>
      <c r="V10" s="770" t="s">
        <v>17</v>
      </c>
      <c r="W10" s="771">
        <f t="shared" si="2"/>
        <v>107</v>
      </c>
      <c r="X10" s="772"/>
      <c r="Y10" s="3066"/>
      <c r="Z10" s="55" t="str">
        <f t="shared" si="7"/>
        <v>土地使用年限（年）</v>
      </c>
      <c r="AA10" s="773">
        <f t="shared" si="3"/>
        <v>0.93457943925233644</v>
      </c>
      <c r="AB10" s="773">
        <f t="shared" si="4"/>
        <v>0.93457943925233644</v>
      </c>
      <c r="AC10" s="773">
        <f t="shared" si="5"/>
        <v>0.93457943925233644</v>
      </c>
    </row>
    <row r="11" spans="1:29" ht="15">
      <c r="A11" s="428"/>
      <c r="B11" s="422" t="s">
        <v>2540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76"/>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76"/>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76"/>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4"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76"/>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15">
      <c r="A15" s="440" t="s">
        <v>2541</v>
      </c>
      <c r="B15" s="629" t="s">
        <v>2780</v>
      </c>
      <c r="C15" s="2694">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8" t="s">
        <v>2542</v>
      </c>
      <c r="Q15" s="1813" t="str">
        <f t="shared" si="6"/>
        <v>产业集聚程度</v>
      </c>
      <c r="R15" s="774" t="s">
        <v>17</v>
      </c>
      <c r="S15" s="775">
        <f t="shared" si="0"/>
        <v>100</v>
      </c>
      <c r="T15" s="774" t="s">
        <v>17</v>
      </c>
      <c r="U15" s="775">
        <f t="shared" si="1"/>
        <v>100</v>
      </c>
      <c r="V15" s="774" t="s">
        <v>17</v>
      </c>
      <c r="W15" s="775">
        <f t="shared" si="2"/>
        <v>100</v>
      </c>
      <c r="X15" s="1816"/>
      <c r="Y15" s="3278" t="s">
        <v>2542</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79"/>
      <c r="Q16" s="1813"/>
      <c r="R16" s="774"/>
      <c r="S16" s="775"/>
      <c r="T16" s="774"/>
      <c r="U16" s="775"/>
      <c r="V16" s="774"/>
      <c r="W16" s="775"/>
      <c r="X16" s="1816"/>
      <c r="Y16" s="3279"/>
      <c r="Z16" s="1817"/>
      <c r="AA16" s="1814">
        <v>1</v>
      </c>
      <c r="AB16" s="1814">
        <v>1</v>
      </c>
      <c r="AC16" s="1814">
        <v>1</v>
      </c>
    </row>
    <row r="17" spans="1:29" ht="15">
      <c r="A17" s="428"/>
      <c r="B17" s="631" t="s">
        <v>2691</v>
      </c>
      <c r="C17" s="2608">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9"/>
      <c r="Q17" s="1813" t="str">
        <f>B17</f>
        <v>交通便捷度</v>
      </c>
      <c r="R17" s="774" t="s">
        <v>17</v>
      </c>
      <c r="S17" s="775">
        <f>F17</f>
        <v>100</v>
      </c>
      <c r="T17" s="774" t="s">
        <v>17</v>
      </c>
      <c r="U17" s="775">
        <f>H17</f>
        <v>100</v>
      </c>
      <c r="V17" s="774" t="s">
        <v>17</v>
      </c>
      <c r="W17" s="775">
        <f>J17</f>
        <v>100</v>
      </c>
      <c r="X17" s="1816"/>
      <c r="Y17" s="3279"/>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79"/>
      <c r="Q18" s="1813"/>
      <c r="R18" s="774"/>
      <c r="S18" s="775"/>
      <c r="T18" s="774"/>
      <c r="U18" s="775"/>
      <c r="V18" s="774"/>
      <c r="W18" s="775"/>
      <c r="X18" s="1816"/>
      <c r="Y18" s="3279"/>
      <c r="Z18" s="1817"/>
      <c r="AA18" s="1814">
        <v>1</v>
      </c>
      <c r="AB18" s="1814">
        <v>1</v>
      </c>
      <c r="AC18" s="1814">
        <v>1</v>
      </c>
    </row>
    <row r="19" spans="1:29" ht="27">
      <c r="A19" s="428"/>
      <c r="B19" s="631" t="s">
        <v>2730</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9"/>
      <c r="Q19" s="1813" t="str">
        <f t="shared" ref="Q19:Q33" si="8">B19</f>
        <v>区域土地利用方向</v>
      </c>
      <c r="R19" s="774" t="s">
        <v>17</v>
      </c>
      <c r="S19" s="775">
        <f>F19</f>
        <v>100</v>
      </c>
      <c r="T19" s="774" t="s">
        <v>17</v>
      </c>
      <c r="U19" s="775">
        <f>H19</f>
        <v>100</v>
      </c>
      <c r="V19" s="774" t="s">
        <v>17</v>
      </c>
      <c r="W19" s="775">
        <f>J19</f>
        <v>100</v>
      </c>
      <c r="X19" s="1816"/>
      <c r="Y19" s="3279"/>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79"/>
      <c r="Q20" s="1813"/>
      <c r="R20" s="774"/>
      <c r="S20" s="775"/>
      <c r="T20" s="774"/>
      <c r="U20" s="775"/>
      <c r="V20" s="774"/>
      <c r="W20" s="775"/>
      <c r="X20" s="1816"/>
      <c r="Y20" s="3279"/>
      <c r="Z20" s="1817"/>
      <c r="AA20" s="1814"/>
      <c r="AB20" s="1814"/>
      <c r="AC20" s="1814"/>
    </row>
    <row r="21" spans="1:29" ht="15">
      <c r="A21" s="404"/>
      <c r="B21" s="631" t="s">
        <v>2781</v>
      </c>
      <c r="C21" s="2608">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9"/>
      <c r="Q21" s="1813" t="str">
        <f t="shared" si="8"/>
        <v>环境状况</v>
      </c>
      <c r="R21" s="774" t="s">
        <v>17</v>
      </c>
      <c r="S21" s="775">
        <f>F21</f>
        <v>100</v>
      </c>
      <c r="T21" s="774" t="s">
        <v>17</v>
      </c>
      <c r="U21" s="775">
        <f>H21</f>
        <v>100</v>
      </c>
      <c r="V21" s="774" t="s">
        <v>17</v>
      </c>
      <c r="W21" s="775">
        <f>J21</f>
        <v>100</v>
      </c>
      <c r="X21" s="1816"/>
      <c r="Y21" s="3279"/>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79"/>
      <c r="Q22" s="1813"/>
      <c r="R22" s="774"/>
      <c r="S22" s="775"/>
      <c r="T22" s="774"/>
      <c r="U22" s="775"/>
      <c r="V22" s="774"/>
      <c r="W22" s="775"/>
      <c r="X22" s="1816"/>
      <c r="Y22" s="3279"/>
      <c r="Z22" s="1817"/>
      <c r="AA22" s="1814">
        <v>1</v>
      </c>
      <c r="AB22" s="1814">
        <v>1</v>
      </c>
      <c r="AC22" s="1814">
        <v>1</v>
      </c>
    </row>
    <row r="23" spans="1:29" s="117" customFormat="1" ht="15">
      <c r="A23" s="649"/>
      <c r="B23" s="633" t="s">
        <v>2636</v>
      </c>
      <c r="C23" s="2608">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9"/>
      <c r="Q23" s="1798" t="str">
        <f t="shared" si="8"/>
        <v>公共配套设施</v>
      </c>
      <c r="R23" s="770" t="s">
        <v>17</v>
      </c>
      <c r="S23" s="771">
        <f>F23</f>
        <v>100</v>
      </c>
      <c r="T23" s="770" t="s">
        <v>17</v>
      </c>
      <c r="U23" s="771">
        <f>H23</f>
        <v>100</v>
      </c>
      <c r="V23" s="770" t="s">
        <v>17</v>
      </c>
      <c r="W23" s="771">
        <f>J23</f>
        <v>100</v>
      </c>
      <c r="X23" s="772"/>
      <c r="Y23" s="3279"/>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79"/>
      <c r="Q24" s="1798"/>
      <c r="R24" s="770"/>
      <c r="S24" s="771"/>
      <c r="T24" s="770"/>
      <c r="U24" s="771"/>
      <c r="V24" s="770"/>
      <c r="W24" s="771"/>
      <c r="X24" s="772"/>
      <c r="Y24" s="3279"/>
      <c r="Z24" s="55"/>
      <c r="AA24" s="773">
        <v>1</v>
      </c>
      <c r="AB24" s="773">
        <v>1</v>
      </c>
      <c r="AC24" s="773">
        <v>1</v>
      </c>
    </row>
    <row r="25" spans="1:29" s="117" customFormat="1" ht="15">
      <c r="A25" s="649"/>
      <c r="B25" s="633" t="s">
        <v>2637</v>
      </c>
      <c r="C25" s="2608">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9"/>
      <c r="Q25" s="1798" t="str">
        <f t="shared" ref="Q25" si="9">B25</f>
        <v>基础设施水平</v>
      </c>
      <c r="R25" s="770" t="s">
        <v>17</v>
      </c>
      <c r="S25" s="771">
        <f>F25</f>
        <v>100</v>
      </c>
      <c r="T25" s="770" t="s">
        <v>17</v>
      </c>
      <c r="U25" s="771">
        <f>H25</f>
        <v>100</v>
      </c>
      <c r="V25" s="770" t="s">
        <v>17</v>
      </c>
      <c r="W25" s="771">
        <f>J25</f>
        <v>100</v>
      </c>
      <c r="X25" s="772"/>
      <c r="Y25" s="3279"/>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279"/>
      <c r="Q26" s="1798"/>
      <c r="R26" s="770"/>
      <c r="S26" s="771"/>
      <c r="T26" s="770"/>
      <c r="U26" s="771"/>
      <c r="V26" s="770"/>
      <c r="W26" s="771"/>
      <c r="X26" s="772"/>
      <c r="Y26" s="3279"/>
      <c r="Z26" s="55"/>
      <c r="AA26" s="773">
        <v>1</v>
      </c>
      <c r="AB26" s="773">
        <v>1</v>
      </c>
      <c r="AC26" s="773">
        <v>1</v>
      </c>
    </row>
    <row r="27" spans="1:29" ht="15">
      <c r="A27" s="428"/>
      <c r="B27" s="632" t="s">
        <v>2638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79"/>
      <c r="Z27" s="1817" t="str">
        <f t="shared" ref="Z27:Z40" si="13">Q27</f>
        <v>临街状况</v>
      </c>
      <c r="AA27" s="1814">
        <f t="shared" si="3"/>
        <v>1</v>
      </c>
      <c r="AB27" s="1814">
        <f t="shared" si="4"/>
        <v>1</v>
      </c>
      <c r="AC27" s="1814">
        <f t="shared" si="5"/>
        <v>1</v>
      </c>
    </row>
    <row r="28" spans="1:29" ht="27">
      <c r="A28" s="428"/>
      <c r="B28" s="633" t="s">
        <v>2673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9"/>
      <c r="Q28" s="1813" t="str">
        <f t="shared" si="8"/>
        <v>毗邻道路的类型与等级</v>
      </c>
      <c r="R28" s="774" t="s">
        <v>17</v>
      </c>
      <c r="S28" s="775">
        <f t="shared" si="10"/>
        <v>100</v>
      </c>
      <c r="T28" s="774" t="s">
        <v>17</v>
      </c>
      <c r="U28" s="775">
        <f t="shared" si="11"/>
        <v>100</v>
      </c>
      <c r="V28" s="774" t="s">
        <v>17</v>
      </c>
      <c r="W28" s="775">
        <f t="shared" si="12"/>
        <v>100</v>
      </c>
      <c r="X28" s="1816"/>
      <c r="Y28" s="3279"/>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79"/>
      <c r="Q29" s="1813"/>
      <c r="R29" s="774"/>
      <c r="S29" s="775"/>
      <c r="T29" s="774"/>
      <c r="U29" s="775"/>
      <c r="V29" s="774"/>
      <c r="W29" s="775"/>
      <c r="X29" s="1816"/>
      <c r="Y29" s="3279"/>
      <c r="Z29" s="1817"/>
      <c r="AA29" s="1814">
        <v>1</v>
      </c>
      <c r="AB29" s="1814">
        <v>1</v>
      </c>
      <c r="AC29" s="1814">
        <v>1</v>
      </c>
    </row>
    <row r="30" spans="1:29" ht="15">
      <c r="A30" s="428"/>
      <c r="B30" s="654" t="s">
        <v>2732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9"/>
      <c r="Q30" s="1813" t="str">
        <f t="shared" si="8"/>
        <v>土地级别</v>
      </c>
      <c r="R30" s="774" t="s">
        <v>17</v>
      </c>
      <c r="S30" s="775">
        <f t="shared" si="10"/>
        <v>100</v>
      </c>
      <c r="T30" s="774" t="s">
        <v>17</v>
      </c>
      <c r="U30" s="775">
        <f t="shared" si="11"/>
        <v>100</v>
      </c>
      <c r="V30" s="774" t="s">
        <v>17</v>
      </c>
      <c r="W30" s="775">
        <f t="shared" si="12"/>
        <v>100</v>
      </c>
      <c r="X30" s="1816"/>
      <c r="Y30" s="3279"/>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9"/>
      <c r="Q31" s="1813">
        <f t="shared" si="8"/>
        <v>111</v>
      </c>
      <c r="R31" s="774" t="s">
        <v>17</v>
      </c>
      <c r="S31" s="775">
        <f t="shared" si="10"/>
        <v>100</v>
      </c>
      <c r="T31" s="774" t="s">
        <v>17</v>
      </c>
      <c r="U31" s="775">
        <f t="shared" si="11"/>
        <v>100</v>
      </c>
      <c r="V31" s="774" t="s">
        <v>17</v>
      </c>
      <c r="W31" s="775">
        <f t="shared" si="12"/>
        <v>100</v>
      </c>
      <c r="X31" s="1816"/>
      <c r="Y31" s="3279"/>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2" t="s">
        <v>2547</v>
      </c>
      <c r="Q32" s="1813">
        <f t="shared" si="8"/>
        <v>111</v>
      </c>
      <c r="R32" s="774" t="s">
        <v>17</v>
      </c>
      <c r="S32" s="775">
        <f t="shared" si="10"/>
        <v>100</v>
      </c>
      <c r="T32" s="774" t="s">
        <v>17</v>
      </c>
      <c r="U32" s="775">
        <f t="shared" si="11"/>
        <v>100</v>
      </c>
      <c r="V32" s="774" t="s">
        <v>17</v>
      </c>
      <c r="W32" s="775">
        <f t="shared" si="12"/>
        <v>100</v>
      </c>
      <c r="X32" s="1816"/>
      <c r="Y32" s="3283" t="s">
        <v>2547</v>
      </c>
      <c r="Z32" s="1817">
        <f t="shared" si="13"/>
        <v>111</v>
      </c>
      <c r="AA32" s="1814">
        <f t="shared" si="3"/>
        <v>1</v>
      </c>
      <c r="AB32" s="1814">
        <f t="shared" si="4"/>
        <v>1</v>
      </c>
      <c r="AC32" s="1814">
        <f t="shared" si="5"/>
        <v>1</v>
      </c>
    </row>
    <row r="33" spans="1:29" s="471" customFormat="1" ht="15.4"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3"/>
      <c r="Q33" s="1813">
        <f t="shared" si="8"/>
        <v>111</v>
      </c>
      <c r="R33" s="777" t="s">
        <v>17</v>
      </c>
      <c r="S33" s="778">
        <f t="shared" si="10"/>
        <v>100</v>
      </c>
      <c r="T33" s="777" t="s">
        <v>17</v>
      </c>
      <c r="U33" s="778">
        <f t="shared" si="11"/>
        <v>100</v>
      </c>
      <c r="V33" s="777" t="s">
        <v>17</v>
      </c>
      <c r="W33" s="778">
        <f t="shared" si="12"/>
        <v>100</v>
      </c>
      <c r="X33" s="779"/>
      <c r="Y33" s="3283"/>
      <c r="Z33" s="780">
        <f t="shared" si="13"/>
        <v>111</v>
      </c>
      <c r="AA33" s="1814">
        <f t="shared" si="3"/>
        <v>1</v>
      </c>
      <c r="AB33" s="1814">
        <f t="shared" si="4"/>
        <v>1</v>
      </c>
      <c r="AC33" s="1814">
        <f t="shared" si="5"/>
        <v>1</v>
      </c>
    </row>
    <row r="34" spans="1:29" ht="15">
      <c r="A34" s="440" t="s">
        <v>2545</v>
      </c>
      <c r="B34" s="456" t="s">
        <v>2733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3"/>
      <c r="Q34" s="1813" t="str">
        <f>B34</f>
        <v>宗地面积</v>
      </c>
      <c r="R34" s="774" t="s">
        <v>17</v>
      </c>
      <c r="S34" s="775" t="e">
        <f t="shared" si="10"/>
        <v>#N/A</v>
      </c>
      <c r="T34" s="774" t="s">
        <v>17</v>
      </c>
      <c r="U34" s="775" t="e">
        <f t="shared" si="11"/>
        <v>#N/A</v>
      </c>
      <c r="V34" s="774" t="s">
        <v>17</v>
      </c>
      <c r="W34" s="775" t="e">
        <f t="shared" si="12"/>
        <v>#N/A</v>
      </c>
      <c r="X34" s="1816"/>
      <c r="Y34" s="3283"/>
      <c r="Z34" s="1817" t="str">
        <f t="shared" si="13"/>
        <v>宗地面积</v>
      </c>
      <c r="AA34" s="1814" t="e">
        <f t="shared" si="3"/>
        <v>#N/A</v>
      </c>
      <c r="AB34" s="1814" t="e">
        <f t="shared" si="4"/>
        <v>#N/A</v>
      </c>
      <c r="AC34" s="1814" t="e">
        <f t="shared" si="5"/>
        <v>#N/A</v>
      </c>
    </row>
    <row r="35" spans="1:29" ht="15">
      <c r="A35" s="472"/>
      <c r="B35" s="422" t="s">
        <v>2734</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83"/>
      <c r="Q35" s="1813" t="str">
        <f t="shared" ref="Q35:Q40" si="14">B35</f>
        <v>宗地形状</v>
      </c>
      <c r="R35" s="774" t="s">
        <v>17</v>
      </c>
      <c r="S35" s="775">
        <f t="shared" si="10"/>
        <v>100</v>
      </c>
      <c r="T35" s="774" t="s">
        <v>17</v>
      </c>
      <c r="U35" s="775">
        <f t="shared" si="11"/>
        <v>100</v>
      </c>
      <c r="V35" s="774" t="s">
        <v>17</v>
      </c>
      <c r="W35" s="775">
        <f t="shared" si="12"/>
        <v>100</v>
      </c>
      <c r="X35" s="1816"/>
      <c r="Y35" s="3283"/>
      <c r="Z35" s="1817" t="str">
        <f t="shared" si="13"/>
        <v>宗地形状</v>
      </c>
      <c r="AA35" s="1814">
        <f t="shared" si="3"/>
        <v>1</v>
      </c>
      <c r="AB35" s="1814">
        <f t="shared" si="4"/>
        <v>1</v>
      </c>
      <c r="AC35" s="1814">
        <f t="shared" si="5"/>
        <v>1</v>
      </c>
    </row>
    <row r="36" spans="1:29" s="117" customFormat="1" ht="15">
      <c r="A36" s="473"/>
      <c r="B36" s="422" t="s">
        <v>2736</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83"/>
      <c r="Q36" s="1813" t="str">
        <f t="shared" si="14"/>
        <v>宗地开发程度</v>
      </c>
      <c r="R36" s="770" t="s">
        <v>17</v>
      </c>
      <c r="S36" s="771">
        <f t="shared" si="10"/>
        <v>100</v>
      </c>
      <c r="T36" s="770" t="s">
        <v>17</v>
      </c>
      <c r="U36" s="771">
        <f t="shared" si="11"/>
        <v>100</v>
      </c>
      <c r="V36" s="770" t="s">
        <v>17</v>
      </c>
      <c r="W36" s="771">
        <f t="shared" si="12"/>
        <v>100</v>
      </c>
      <c r="X36" s="772"/>
      <c r="Y36" s="3283"/>
      <c r="Z36" s="55" t="str">
        <f t="shared" si="13"/>
        <v>宗地开发程度</v>
      </c>
      <c r="AA36" s="773">
        <f t="shared" si="3"/>
        <v>1</v>
      </c>
      <c r="AB36" s="773">
        <f t="shared" si="4"/>
        <v>1</v>
      </c>
      <c r="AC36" s="773">
        <f t="shared" si="5"/>
        <v>1</v>
      </c>
    </row>
    <row r="37" spans="1:29" ht="15">
      <c r="A37" s="472"/>
      <c r="B37" s="422" t="s">
        <v>2737</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83" t="s">
        <v>2547</v>
      </c>
      <c r="Q37" s="1813" t="str">
        <f t="shared" si="14"/>
        <v>工程地质条件</v>
      </c>
      <c r="R37" s="774" t="s">
        <v>17</v>
      </c>
      <c r="S37" s="775">
        <f t="shared" si="10"/>
        <v>100</v>
      </c>
      <c r="T37" s="774" t="s">
        <v>17</v>
      </c>
      <c r="U37" s="775">
        <f t="shared" si="11"/>
        <v>100</v>
      </c>
      <c r="V37" s="774" t="s">
        <v>17</v>
      </c>
      <c r="W37" s="775">
        <f t="shared" si="12"/>
        <v>100</v>
      </c>
      <c r="X37" s="1816"/>
      <c r="Y37" s="3283" t="s">
        <v>2547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3"/>
      <c r="Q38" s="1813">
        <f t="shared" si="14"/>
        <v>111</v>
      </c>
      <c r="R38" s="774" t="s">
        <v>17</v>
      </c>
      <c r="S38" s="775">
        <f t="shared" si="10"/>
        <v>100</v>
      </c>
      <c r="T38" s="774" t="s">
        <v>17</v>
      </c>
      <c r="U38" s="775">
        <f t="shared" si="11"/>
        <v>100</v>
      </c>
      <c r="V38" s="774" t="s">
        <v>17</v>
      </c>
      <c r="W38" s="775">
        <f t="shared" si="12"/>
        <v>100</v>
      </c>
      <c r="X38" s="1816"/>
      <c r="Y38" s="328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3"/>
      <c r="Q39" s="1813">
        <f t="shared" si="14"/>
        <v>111</v>
      </c>
      <c r="R39" s="774" t="s">
        <v>17</v>
      </c>
      <c r="S39" s="775">
        <f t="shared" si="10"/>
        <v>100</v>
      </c>
      <c r="T39" s="774" t="s">
        <v>17</v>
      </c>
      <c r="U39" s="775">
        <f t="shared" si="11"/>
        <v>100</v>
      </c>
      <c r="V39" s="774" t="s">
        <v>17</v>
      </c>
      <c r="W39" s="775">
        <f t="shared" si="12"/>
        <v>100</v>
      </c>
      <c r="X39" s="1816"/>
      <c r="Y39" s="3283"/>
      <c r="Z39" s="1817">
        <f t="shared" si="13"/>
        <v>111</v>
      </c>
      <c r="AA39" s="1814">
        <f t="shared" si="3"/>
        <v>1</v>
      </c>
      <c r="AB39" s="1814">
        <f t="shared" si="4"/>
        <v>1</v>
      </c>
      <c r="AC39" s="1814">
        <f t="shared" si="5"/>
        <v>1</v>
      </c>
    </row>
    <row r="40" spans="1:29" s="471" customFormat="1" ht="15.4"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3"/>
      <c r="Q40" s="1813">
        <f t="shared" si="14"/>
        <v>111</v>
      </c>
      <c r="R40" s="777" t="s">
        <v>17</v>
      </c>
      <c r="S40" s="778">
        <f t="shared" si="10"/>
        <v>100</v>
      </c>
      <c r="T40" s="777" t="s">
        <v>17</v>
      </c>
      <c r="U40" s="778">
        <f t="shared" si="11"/>
        <v>100</v>
      </c>
      <c r="V40" s="777" t="s">
        <v>17</v>
      </c>
      <c r="W40" s="778">
        <f t="shared" si="12"/>
        <v>100</v>
      </c>
      <c r="X40" s="779"/>
      <c r="Y40" s="3283"/>
      <c r="Z40" s="780">
        <f t="shared" si="13"/>
        <v>111</v>
      </c>
      <c r="AA40" s="1814">
        <f t="shared" si="3"/>
        <v>1</v>
      </c>
      <c r="AB40" s="1814">
        <f t="shared" si="4"/>
        <v>1</v>
      </c>
      <c r="AC40" s="1814">
        <f t="shared" si="5"/>
        <v>1</v>
      </c>
    </row>
    <row r="41" spans="1:29" ht="13.9">
      <c r="A41" s="479" t="s">
        <v>2702</v>
      </c>
      <c r="B41" s="2705" t="s">
        <v>2782</v>
      </c>
      <c r="C41" s="682" t="s">
        <v>1</v>
      </c>
      <c r="D41" s="481"/>
      <c r="E41" s="482"/>
      <c r="F41" s="483"/>
      <c r="G41" s="484"/>
      <c r="H41" s="485"/>
      <c r="I41" s="482"/>
      <c r="J41" s="485"/>
      <c r="K41" s="783"/>
      <c r="L41" s="1146"/>
      <c r="M41" s="1134"/>
      <c r="N41" s="1134"/>
      <c r="O41" s="1147"/>
      <c r="P41" s="3276" t="str">
        <f>A41</f>
        <v>成交单价</v>
      </c>
      <c r="Q41" s="3276"/>
      <c r="R41" s="3271">
        <f>E41</f>
        <v>0</v>
      </c>
      <c r="S41" s="3271"/>
      <c r="T41" s="3271">
        <f>G41</f>
        <v>0</v>
      </c>
      <c r="U41" s="3271"/>
      <c r="V41" s="3271">
        <f>I41</f>
        <v>0</v>
      </c>
      <c r="W41" s="3271"/>
      <c r="X41" s="759"/>
      <c r="Y41" s="781"/>
      <c r="Z41" s="759"/>
      <c r="AA41" s="759"/>
      <c r="AB41" s="759"/>
      <c r="AC41" s="759"/>
    </row>
    <row r="42" spans="1:29" ht="14.25" thickBot="1">
      <c r="A42" s="486" t="s">
        <v>2651</v>
      </c>
      <c r="B42" s="683"/>
      <c r="C42" s="490" t="e">
        <f>R43</f>
        <v>#DIV/0!</v>
      </c>
      <c r="D42" s="489"/>
      <c r="E42" s="490" t="e">
        <f>R42</f>
        <v>#DIV/0!</v>
      </c>
      <c r="F42" s="491"/>
      <c r="G42" s="488" t="e">
        <f>T42</f>
        <v>#DIV/0!</v>
      </c>
      <c r="H42" s="489"/>
      <c r="I42" s="490" t="e">
        <f>V42</f>
        <v>#DIV/0!</v>
      </c>
      <c r="J42" s="489"/>
      <c r="K42" s="784"/>
      <c r="L42" s="1146"/>
      <c r="M42" s="1134"/>
      <c r="N42" s="1134"/>
      <c r="O42" s="1147"/>
      <c r="P42" s="3276" t="str">
        <f>A42</f>
        <v>比较价值（元/平方米）</v>
      </c>
      <c r="Q42" s="3276"/>
      <c r="R42" s="3303" t="e">
        <f>ROUND(PRODUCT(R41,AA7:AA40),0)</f>
        <v>#DIV/0!</v>
      </c>
      <c r="S42" s="3303"/>
      <c r="T42" s="3303" t="e">
        <f>ROUND(PRODUCT(T41,AB7:AB40),0)</f>
        <v>#DIV/0!</v>
      </c>
      <c r="U42" s="3303"/>
      <c r="V42" s="3303" t="e">
        <f>ROUND(PRODUCT(V41,AC7:AC40),0)</f>
        <v>#DIV/0!</v>
      </c>
      <c r="W42" s="3303"/>
      <c r="X42" s="759"/>
      <c r="Y42" s="759"/>
      <c r="Z42" s="759"/>
      <c r="AA42" s="759"/>
      <c r="AB42" s="759"/>
      <c r="AC42" s="759"/>
    </row>
    <row r="43" spans="1:29" ht="14.25" thickBot="1">
      <c r="A43" s="492" t="s">
        <v>2652</v>
      </c>
      <c r="B43" s="493"/>
      <c r="C43" s="494" t="e">
        <f>R43</f>
        <v>#DIV/0!</v>
      </c>
      <c r="D43" s="494"/>
      <c r="E43" s="494"/>
      <c r="F43" s="494"/>
      <c r="G43" s="494"/>
      <c r="H43" s="494"/>
      <c r="I43" s="494"/>
      <c r="J43" s="494"/>
      <c r="K43" s="785"/>
      <c r="L43" s="1146"/>
      <c r="M43" s="1134"/>
      <c r="N43" s="1134"/>
      <c r="O43" s="1147"/>
      <c r="P43" s="3273" t="str">
        <f>A43</f>
        <v>估价对象XX用房的比较价值（楼面单价，元/平方米）</v>
      </c>
      <c r="Q43" s="3274"/>
      <c r="R43" s="3304" t="e">
        <f>ROUND(AVERAGE(R42:V42),0)</f>
        <v>#DIV/0!</v>
      </c>
      <c r="S43" s="3304"/>
      <c r="T43" s="3304"/>
      <c r="U43" s="3304"/>
      <c r="V43" s="3304"/>
      <c r="W43" s="330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3.9" thickBot="1">
      <c r="A49" s="1148"/>
      <c r="B49" s="1149"/>
      <c r="C49" s="762"/>
      <c r="D49" s="760"/>
      <c r="E49" s="760"/>
      <c r="F49" s="760"/>
      <c r="G49" s="760"/>
      <c r="H49" s="760"/>
      <c r="I49" s="760"/>
      <c r="J49" s="760"/>
      <c r="K49" s="1151"/>
      <c r="L49" s="1152"/>
      <c r="M49" s="1148"/>
      <c r="N49" s="1148"/>
      <c r="O49" s="1148"/>
    </row>
    <row r="50" spans="1:17" ht="27">
      <c r="A50" s="684" t="s">
        <v>2740</v>
      </c>
      <c r="B50" s="685" t="s">
        <v>2741</v>
      </c>
      <c r="C50" s="2706" t="s">
        <v>2742</v>
      </c>
      <c r="D50" s="2707" t="s">
        <v>2743</v>
      </c>
      <c r="E50" s="686" t="s">
        <v>2744</v>
      </c>
      <c r="F50" s="687" t="s">
        <v>2745</v>
      </c>
      <c r="G50" s="3259" t="s">
        <v>2746</v>
      </c>
      <c r="H50" s="3305"/>
      <c r="I50" s="1817" t="s">
        <v>2783</v>
      </c>
      <c r="J50" s="1817">
        <f>项目基本情况!F35</f>
        <v>0</v>
      </c>
      <c r="K50" s="2709" t="s">
        <v>2748</v>
      </c>
      <c r="L50" s="1109"/>
      <c r="M50" s="1147"/>
      <c r="N50" s="1147"/>
      <c r="O50" s="1147"/>
    </row>
    <row r="51" spans="1:17" s="692" customFormat="1">
      <c r="A51" s="688" t="s">
        <v>2749</v>
      </c>
      <c r="B51" s="689" t="e">
        <f>C43</f>
        <v>#DIV/0!</v>
      </c>
      <c r="C51" s="690">
        <v>1</v>
      </c>
      <c r="D51" s="1166">
        <v>1</v>
      </c>
      <c r="E51" s="690">
        <f>'数据-汇总表'!E8+'数据-汇总表'!E9</f>
        <v>95816</v>
      </c>
      <c r="F51" s="691" t="e">
        <f t="shared" ref="F51:F60" si="15">ROUND(B51*E51/10000,0)</f>
        <v>#DIV/0!</v>
      </c>
      <c r="G51" s="3258"/>
      <c r="H51" s="3276"/>
      <c r="I51" s="945">
        <v>1</v>
      </c>
      <c r="J51" s="945">
        <v>1</v>
      </c>
      <c r="K51" s="1148"/>
      <c r="L51" s="944"/>
      <c r="M51" s="944"/>
      <c r="N51" s="944"/>
      <c r="O51" s="944"/>
    </row>
    <row r="52" spans="1:17" s="692" customFormat="1">
      <c r="A52" s="693" t="s">
        <v>2750</v>
      </c>
      <c r="B52" s="262" t="e">
        <f>ROUND($C$43*C52*D52,0)</f>
        <v>#DIV/0!</v>
      </c>
      <c r="C52" s="200">
        <f t="shared" ref="C52:C60" si="16">IF($C$50="北京市系数",I52,J52)</f>
        <v>0.7</v>
      </c>
      <c r="D52" s="1167">
        <v>0.25</v>
      </c>
      <c r="E52" s="694"/>
      <c r="F52" s="691" t="e">
        <f t="shared" si="15"/>
        <v>#DIV/0!</v>
      </c>
      <c r="G52" s="3306" t="s">
        <v>2751</v>
      </c>
      <c r="H52" s="1107" t="str">
        <f>项目基本情况!B37</f>
        <v>六级</v>
      </c>
      <c r="I52" s="945">
        <f>SUMIF(修正!A45:A56,H52,修正!B45:B56)</f>
        <v>0.7</v>
      </c>
      <c r="J52" s="946"/>
      <c r="K52" s="1147"/>
      <c r="L52" s="944"/>
      <c r="M52" s="944"/>
      <c r="N52" s="944"/>
      <c r="O52" s="944"/>
    </row>
    <row r="53" spans="1:17" s="692" customFormat="1">
      <c r="A53" s="693" t="s">
        <v>2752</v>
      </c>
      <c r="B53" s="262" t="e">
        <f t="shared" ref="B53:B60" si="17">ROUND($C$43*C53*D53,0)</f>
        <v>#DIV/0!</v>
      </c>
      <c r="C53" s="200">
        <f t="shared" si="16"/>
        <v>0.4</v>
      </c>
      <c r="D53" s="1167">
        <v>0.25</v>
      </c>
      <c r="E53" s="694"/>
      <c r="F53" s="691" t="e">
        <f t="shared" si="15"/>
        <v>#DIV/0!</v>
      </c>
      <c r="G53" s="3306"/>
      <c r="H53" s="1107" t="str">
        <f>项目基本情况!B37</f>
        <v>六级</v>
      </c>
      <c r="I53" s="945">
        <f>SUMIF(修正!A45:A56,H53,修正!C45:C56)</f>
        <v>0.4</v>
      </c>
      <c r="J53" s="946"/>
      <c r="K53" s="1148"/>
      <c r="L53" s="944"/>
      <c r="M53" s="944"/>
      <c r="N53" s="944"/>
      <c r="O53" s="944"/>
    </row>
    <row r="54" spans="1:17" s="692" customFormat="1">
      <c r="A54" s="693" t="s">
        <v>2753</v>
      </c>
      <c r="B54" s="262" t="e">
        <f t="shared" si="17"/>
        <v>#DIV/0!</v>
      </c>
      <c r="C54" s="200">
        <f t="shared" si="16"/>
        <v>0.28000000000000003</v>
      </c>
      <c r="D54" s="1167">
        <v>0.25</v>
      </c>
      <c r="E54" s="694"/>
      <c r="F54" s="691" t="e">
        <f t="shared" si="15"/>
        <v>#DIV/0!</v>
      </c>
      <c r="G54" s="3306"/>
      <c r="H54" s="1107" t="str">
        <f>项目基本情况!B37</f>
        <v>六级</v>
      </c>
      <c r="I54" s="945">
        <f>SUMIF(修正!A45:A56,H54,修正!D45:D56)</f>
        <v>0.28000000000000003</v>
      </c>
      <c r="J54" s="946"/>
      <c r="K54" s="1147"/>
      <c r="L54" s="944"/>
      <c r="M54" s="944"/>
      <c r="N54" s="944"/>
      <c r="O54" s="944"/>
    </row>
    <row r="55" spans="1:17" s="692" customFormat="1">
      <c r="A55" s="693" t="s">
        <v>2754</v>
      </c>
      <c r="B55" s="262" t="e">
        <f t="shared" si="17"/>
        <v>#DIV/0!</v>
      </c>
      <c r="C55" s="200">
        <f t="shared" si="16"/>
        <v>0.25</v>
      </c>
      <c r="D55" s="1167">
        <v>0.25</v>
      </c>
      <c r="E55" s="694"/>
      <c r="F55" s="691" t="e">
        <f t="shared" si="15"/>
        <v>#DIV/0!</v>
      </c>
      <c r="G55" s="3306"/>
      <c r="H55" s="1107" t="str">
        <f>项目基本情况!B37</f>
        <v>六级</v>
      </c>
      <c r="I55" s="945">
        <f>SUMIF(修正!A45:A56,H55,修正!E45:E56)</f>
        <v>0.25</v>
      </c>
      <c r="J55" s="946"/>
      <c r="K55" s="1148"/>
      <c r="L55" s="944"/>
      <c r="M55" s="944"/>
      <c r="N55" s="944"/>
      <c r="O55" s="944"/>
    </row>
    <row r="56" spans="1:17" s="692" customFormat="1">
      <c r="A56" s="693" t="s">
        <v>2755</v>
      </c>
      <c r="B56" s="262" t="e">
        <f t="shared" si="17"/>
        <v>#DIV/0!</v>
      </c>
      <c r="C56" s="200">
        <f t="shared" si="16"/>
        <v>0.25</v>
      </c>
      <c r="D56" s="1167">
        <v>0.25</v>
      </c>
      <c r="E56" s="261">
        <f>'数据-汇总表'!E11</f>
        <v>0</v>
      </c>
      <c r="F56" s="691" t="e">
        <f t="shared" si="15"/>
        <v>#DIV/0!</v>
      </c>
      <c r="G56" s="2710" t="s">
        <v>2756</v>
      </c>
      <c r="H56" s="1107" t="str">
        <f>项目基本情况!C37</f>
        <v>六级</v>
      </c>
      <c r="I56" s="945">
        <f>SUMIF(修正!A45:A56,H56,修正!F45:F56)</f>
        <v>0.25</v>
      </c>
      <c r="J56" s="946"/>
      <c r="K56" s="1147"/>
      <c r="L56" s="944"/>
      <c r="M56" s="944"/>
      <c r="N56" s="944"/>
      <c r="O56" s="944"/>
    </row>
    <row r="57" spans="1:17" s="692" customFormat="1">
      <c r="A57" s="693" t="s">
        <v>2757</v>
      </c>
      <c r="B57" s="262" t="e">
        <f t="shared" si="17"/>
        <v>#DIV/0!</v>
      </c>
      <c r="C57" s="200">
        <f t="shared" si="16"/>
        <v>0.25</v>
      </c>
      <c r="D57" s="1167">
        <v>0.25</v>
      </c>
      <c r="E57" s="261">
        <f>'数据-汇总表'!E12</f>
        <v>0</v>
      </c>
      <c r="F57" s="691" t="e">
        <f t="shared" si="15"/>
        <v>#DIV/0!</v>
      </c>
      <c r="G57" s="1112" t="s">
        <v>2758</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2759</v>
      </c>
      <c r="B58" s="262" t="e">
        <f t="shared" si="17"/>
        <v>#DIV/0!</v>
      </c>
      <c r="C58" s="200">
        <f t="shared" si="16"/>
        <v>0</v>
      </c>
      <c r="D58" s="1167">
        <v>0.25</v>
      </c>
      <c r="E58" s="261">
        <f>'数据-汇总表'!E13</f>
        <v>71144</v>
      </c>
      <c r="F58" s="691" t="e">
        <f t="shared" si="15"/>
        <v>#DIV/0!</v>
      </c>
      <c r="G58" s="1112" t="s">
        <v>2760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2761</v>
      </c>
      <c r="B59" s="262" t="e">
        <f t="shared" si="17"/>
        <v>#DIV/0!</v>
      </c>
      <c r="C59" s="200">
        <f t="shared" si="16"/>
        <v>0.2</v>
      </c>
      <c r="D59" s="1167">
        <v>0.25</v>
      </c>
      <c r="E59" s="261">
        <f>'数据-汇总表'!E14</f>
        <v>0</v>
      </c>
      <c r="F59" s="691" t="e">
        <f t="shared" si="15"/>
        <v>#DIV/0!</v>
      </c>
      <c r="G59" s="2710" t="s">
        <v>2751</v>
      </c>
      <c r="H59" s="1107" t="str">
        <f>项目基本情况!B37</f>
        <v>六级</v>
      </c>
      <c r="I59" s="945">
        <f>SUMIF(修正!A45:A56,H59,修正!H45:H56)</f>
        <v>0.2</v>
      </c>
      <c r="J59" s="946"/>
      <c r="K59" s="1148"/>
      <c r="L59" s="944"/>
      <c r="M59" s="944"/>
      <c r="N59" s="944"/>
      <c r="O59" s="944"/>
    </row>
    <row r="60" spans="1:17" s="692" customFormat="1" ht="13.9" thickBot="1">
      <c r="A60" s="693" t="s">
        <v>2762</v>
      </c>
      <c r="B60" s="262" t="e">
        <f t="shared" si="17"/>
        <v>#DIV/0!</v>
      </c>
      <c r="C60" s="200">
        <f t="shared" si="16"/>
        <v>0.2</v>
      </c>
      <c r="D60" s="1167">
        <v>0.25</v>
      </c>
      <c r="E60" s="261">
        <f>'数据-汇总表'!E15</f>
        <v>0</v>
      </c>
      <c r="F60" s="691" t="e">
        <f t="shared" si="15"/>
        <v>#DIV/0!</v>
      </c>
      <c r="G60" s="2711" t="s">
        <v>2756</v>
      </c>
      <c r="H60" s="1117" t="str">
        <f>项目基本情况!C37</f>
        <v>六级</v>
      </c>
      <c r="I60" s="945">
        <f>SUMIF(修正!A45:A56,H60,修正!H45:H56)</f>
        <v>0.2</v>
      </c>
      <c r="J60" s="946"/>
      <c r="K60" s="1147"/>
      <c r="L60" s="944"/>
      <c r="M60" s="944"/>
      <c r="N60" s="944"/>
      <c r="O60" s="944"/>
    </row>
    <row r="61" spans="1:17" s="692" customFormat="1" ht="13.9" thickBot="1">
      <c r="A61" s="695" t="s">
        <v>2763</v>
      </c>
      <c r="B61" s="696" t="s">
        <v>28</v>
      </c>
      <c r="C61" s="696" t="s">
        <v>29</v>
      </c>
      <c r="D61" s="696" t="s">
        <v>1029</v>
      </c>
      <c r="E61" s="696">
        <f>IF(B41="楼面地价",SUM(E51:E60),'数据-汇总表'!D3)</f>
        <v>51219.74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2656</v>
      </c>
      <c r="B64" s="759"/>
      <c r="C64" s="764"/>
      <c r="D64" s="764"/>
      <c r="E64" s="764"/>
      <c r="F64" s="765"/>
      <c r="G64" s="765"/>
      <c r="H64" s="764"/>
      <c r="I64" s="764"/>
      <c r="J64" s="764"/>
      <c r="K64" s="766"/>
      <c r="L64" s="767"/>
      <c r="M64" s="764"/>
      <c r="N64" s="764"/>
      <c r="O64" s="1162"/>
      <c r="P64" s="503"/>
      <c r="Q64" s="504"/>
    </row>
    <row r="65" spans="1:17" s="508" customFormat="1" ht="13.9">
      <c r="A65" s="2712" t="s">
        <v>2764</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2784</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4.25" thickBot="1">
      <c r="A67" s="515" t="s">
        <v>2567</v>
      </c>
      <c r="B67" s="516"/>
      <c r="C67" s="517"/>
      <c r="D67" s="518"/>
      <c r="E67" s="518"/>
      <c r="F67" s="518"/>
      <c r="G67" s="518"/>
      <c r="H67" s="518"/>
      <c r="I67" s="518"/>
      <c r="J67" s="518"/>
      <c r="K67" s="518"/>
      <c r="L67" s="518"/>
      <c r="M67" s="519"/>
      <c r="N67" s="519"/>
      <c r="O67" s="520"/>
      <c r="P67" s="504"/>
      <c r="Q67" s="504"/>
    </row>
    <row r="68" spans="1:17" s="117" customFormat="1" ht="13.9">
      <c r="A68" s="521" t="s">
        <v>2532</v>
      </c>
      <c r="B68" s="510"/>
      <c r="C68" s="522" t="s">
        <v>2634</v>
      </c>
      <c r="D68" s="523"/>
      <c r="E68" s="523"/>
      <c r="F68" s="523"/>
      <c r="G68" s="523"/>
      <c r="H68" s="523"/>
      <c r="I68" s="523"/>
      <c r="J68" s="523"/>
      <c r="K68" s="523"/>
      <c r="L68" s="524"/>
      <c r="M68" s="525"/>
      <c r="N68" s="1154"/>
      <c r="O68" s="1154"/>
      <c r="P68" s="526"/>
      <c r="Q68" s="504"/>
    </row>
    <row r="69" spans="1:17" s="117" customFormat="1" ht="14.25" thickBot="1">
      <c r="A69" s="521"/>
      <c r="B69" s="510"/>
      <c r="C69" s="639">
        <v>100</v>
      </c>
      <c r="D69" s="512"/>
      <c r="E69" s="512"/>
      <c r="F69" s="512"/>
      <c r="G69" s="512"/>
      <c r="H69" s="512"/>
      <c r="I69" s="512"/>
      <c r="J69" s="512"/>
      <c r="K69" s="512"/>
      <c r="L69" s="512"/>
      <c r="M69" s="514"/>
      <c r="N69" s="1154"/>
      <c r="O69" s="1154"/>
      <c r="P69" s="504"/>
      <c r="Q69" s="504"/>
    </row>
    <row r="70" spans="1:17">
      <c r="A70" s="527" t="s">
        <v>2570</v>
      </c>
      <c r="B70" s="528" t="s">
        <v>2536</v>
      </c>
      <c r="C70" s="530"/>
      <c r="D70" s="530"/>
      <c r="E70" s="530"/>
      <c r="F70" s="530"/>
      <c r="G70" s="530"/>
      <c r="H70" s="530"/>
      <c r="I70" s="530"/>
      <c r="J70" s="530"/>
      <c r="K70" s="531"/>
      <c r="L70" s="532"/>
      <c r="M70" s="533"/>
      <c r="N70" s="1155"/>
      <c r="O70" s="1155"/>
      <c r="P70" s="45"/>
      <c r="Q70" s="504"/>
    </row>
    <row r="71" spans="1:17" ht="14.25" thickBot="1">
      <c r="A71" s="534"/>
      <c r="B71" s="535"/>
      <c r="C71" s="536"/>
      <c r="D71" s="536"/>
      <c r="E71" s="536"/>
      <c r="F71" s="536"/>
      <c r="G71" s="536"/>
      <c r="H71" s="536"/>
      <c r="I71" s="536"/>
      <c r="J71" s="536"/>
      <c r="K71" s="536"/>
      <c r="L71" s="536"/>
      <c r="M71" s="537"/>
      <c r="N71" s="1156"/>
      <c r="O71" s="1156"/>
      <c r="P71" s="45"/>
      <c r="Q71" s="504"/>
    </row>
    <row r="72" spans="1:17" ht="27.4" thickTop="1">
      <c r="A72" s="534"/>
      <c r="B72" s="538" t="s">
        <v>2539</v>
      </c>
      <c r="C72" s="539"/>
      <c r="D72" s="539"/>
      <c r="E72" s="539"/>
      <c r="F72" s="539"/>
      <c r="G72" s="539"/>
      <c r="H72" s="539"/>
      <c r="I72" s="539"/>
      <c r="J72" s="539"/>
      <c r="K72" s="540"/>
      <c r="L72" s="541"/>
      <c r="M72" s="542"/>
      <c r="N72" s="1155"/>
      <c r="O72" s="1155"/>
      <c r="P72" s="45"/>
      <c r="Q72" s="504"/>
    </row>
    <row r="73" spans="1:17" ht="14.25" thickBot="1">
      <c r="A73" s="534"/>
      <c r="B73" s="543"/>
      <c r="C73" s="544"/>
      <c r="D73" s="544"/>
      <c r="E73" s="544"/>
      <c r="F73" s="544"/>
      <c r="G73" s="544"/>
      <c r="H73" s="544"/>
      <c r="I73" s="544"/>
      <c r="J73" s="544"/>
      <c r="K73" s="544"/>
      <c r="L73" s="544"/>
      <c r="M73" s="545"/>
      <c r="N73" s="1156"/>
      <c r="O73" s="1156"/>
      <c r="P73" s="45"/>
      <c r="Q73" s="504"/>
    </row>
    <row r="74" spans="1:17" ht="14.25" thickTop="1">
      <c r="A74" s="534"/>
      <c r="B74" s="546" t="s">
        <v>2540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3.9">
      <c r="A75" s="534"/>
      <c r="B75" s="548"/>
      <c r="C75" s="549"/>
      <c r="D75" s="549"/>
      <c r="E75" s="549"/>
      <c r="F75" s="549"/>
      <c r="G75" s="549"/>
      <c r="H75" s="549"/>
      <c r="I75" s="549"/>
      <c r="J75" s="549"/>
      <c r="K75" s="550"/>
      <c r="L75" s="551"/>
      <c r="M75" s="552"/>
      <c r="N75" s="1155"/>
      <c r="O75" s="1155"/>
      <c r="P75" s="45"/>
      <c r="Q75" s="504"/>
    </row>
    <row r="76" spans="1:17" ht="14.2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25" thickTop="1">
      <c r="A77" s="553"/>
      <c r="B77" s="538">
        <f>B12</f>
        <v>111</v>
      </c>
      <c r="C77" s="554"/>
      <c r="D77" s="554"/>
      <c r="E77" s="554"/>
      <c r="F77" s="554"/>
      <c r="G77" s="554"/>
      <c r="H77" s="555"/>
      <c r="I77" s="555"/>
      <c r="J77" s="555"/>
      <c r="K77" s="555"/>
      <c r="L77" s="556"/>
      <c r="M77" s="557"/>
      <c r="N77" s="1157"/>
      <c r="O77" s="1157"/>
      <c r="P77" s="558"/>
      <c r="Q77" s="559"/>
    </row>
    <row r="78" spans="1:17" s="471" customFormat="1" ht="14.25" thickBot="1">
      <c r="A78" s="553"/>
      <c r="B78" s="543"/>
      <c r="C78" s="560"/>
      <c r="D78" s="536"/>
      <c r="E78" s="536"/>
      <c r="F78" s="536"/>
      <c r="G78" s="536"/>
      <c r="H78" s="536"/>
      <c r="I78" s="536"/>
      <c r="J78" s="536"/>
      <c r="K78" s="536"/>
      <c r="L78" s="536"/>
      <c r="M78" s="537"/>
      <c r="N78" s="1156"/>
      <c r="O78" s="1156"/>
      <c r="P78" s="558"/>
      <c r="Q78" s="559"/>
    </row>
    <row r="79" spans="1:17" s="471" customFormat="1" ht="14.25" thickTop="1">
      <c r="A79" s="553"/>
      <c r="B79" s="538">
        <f>B13</f>
        <v>111</v>
      </c>
      <c r="C79" s="554"/>
      <c r="D79" s="554"/>
      <c r="E79" s="554"/>
      <c r="F79" s="554"/>
      <c r="G79" s="554"/>
      <c r="H79" s="555"/>
      <c r="I79" s="555"/>
      <c r="J79" s="555"/>
      <c r="K79" s="555"/>
      <c r="L79" s="556"/>
      <c r="M79" s="557"/>
      <c r="N79" s="1157"/>
      <c r="O79" s="1157"/>
      <c r="P79" s="470"/>
      <c r="Q79" s="561"/>
    </row>
    <row r="80" spans="1:17" s="471" customFormat="1" ht="14.25" thickBot="1">
      <c r="A80" s="553"/>
      <c r="B80" s="543"/>
      <c r="C80" s="560"/>
      <c r="D80" s="560"/>
      <c r="E80" s="560"/>
      <c r="F80" s="560"/>
      <c r="G80" s="560"/>
      <c r="H80" s="562"/>
      <c r="I80" s="562"/>
      <c r="J80" s="562"/>
      <c r="K80" s="562"/>
      <c r="L80" s="562"/>
      <c r="M80" s="563"/>
      <c r="N80" s="1157"/>
      <c r="O80" s="1157"/>
      <c r="P80" s="558"/>
      <c r="Q80" s="559"/>
    </row>
    <row r="81" spans="1:17" s="471" customFormat="1" ht="14.25" thickTop="1">
      <c r="A81" s="553"/>
      <c r="B81" s="546">
        <f>B14</f>
        <v>111</v>
      </c>
      <c r="C81" s="523"/>
      <c r="D81" s="523"/>
      <c r="E81" s="523"/>
      <c r="F81" s="523"/>
      <c r="G81" s="523"/>
      <c r="H81" s="564"/>
      <c r="I81" s="564"/>
      <c r="J81" s="564"/>
      <c r="K81" s="564"/>
      <c r="L81" s="565"/>
      <c r="M81" s="566"/>
      <c r="N81" s="1157"/>
      <c r="O81" s="1157"/>
      <c r="P81" s="567"/>
      <c r="Q81" s="559"/>
    </row>
    <row r="82" spans="1:17" s="471" customFormat="1" ht="14.25" thickBot="1">
      <c r="A82" s="568"/>
      <c r="B82" s="569"/>
      <c r="C82" s="570"/>
      <c r="D82" s="570"/>
      <c r="E82" s="570"/>
      <c r="F82" s="570"/>
      <c r="G82" s="570"/>
      <c r="H82" s="571"/>
      <c r="I82" s="571"/>
      <c r="J82" s="571"/>
      <c r="K82" s="571"/>
      <c r="L82" s="571"/>
      <c r="M82" s="572"/>
      <c r="N82" s="1157"/>
      <c r="O82" s="1157"/>
      <c r="P82" s="558"/>
      <c r="Q82" s="559"/>
    </row>
    <row r="83" spans="1:17">
      <c r="A83" s="527" t="s">
        <v>2541</v>
      </c>
      <c r="B83" s="528" t="s">
        <v>2687</v>
      </c>
      <c r="C83" s="573" t="s">
        <v>2579</v>
      </c>
      <c r="D83" s="573" t="s">
        <v>2580</v>
      </c>
      <c r="E83" s="573" t="s">
        <v>2581</v>
      </c>
      <c r="F83" s="573" t="s">
        <v>2582</v>
      </c>
      <c r="G83" s="573" t="s">
        <v>2583</v>
      </c>
      <c r="H83" s="529"/>
      <c r="I83" s="529"/>
      <c r="J83" s="529"/>
      <c r="K83" s="574"/>
      <c r="L83" s="575"/>
      <c r="M83" s="576"/>
      <c r="N83" s="1155"/>
      <c r="O83" s="1155"/>
      <c r="P83" s="577"/>
      <c r="Q83" s="504"/>
    </row>
    <row r="84" spans="1:17" ht="14.2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4.25" thickTop="1">
      <c r="A85" s="534"/>
      <c r="B85" s="538" t="s">
        <v>2584</v>
      </c>
      <c r="C85" s="578" t="s">
        <v>2579</v>
      </c>
      <c r="D85" s="578" t="s">
        <v>2580</v>
      </c>
      <c r="E85" s="578" t="s">
        <v>2581</v>
      </c>
      <c r="F85" s="578" t="s">
        <v>2582</v>
      </c>
      <c r="G85" s="578" t="s">
        <v>2583</v>
      </c>
      <c r="H85" s="539"/>
      <c r="I85" s="539"/>
      <c r="J85" s="539"/>
      <c r="K85" s="540"/>
      <c r="L85" s="541"/>
      <c r="M85" s="542"/>
      <c r="N85" s="1155"/>
      <c r="O85" s="1155"/>
      <c r="P85" s="45"/>
      <c r="Q85" s="504"/>
    </row>
    <row r="86" spans="1:17" ht="14.2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7.4" thickTop="1">
      <c r="A87" s="579"/>
      <c r="B87" s="538" t="s">
        <v>2767</v>
      </c>
      <c r="C87" s="573" t="s">
        <v>2579</v>
      </c>
      <c r="D87" s="573" t="s">
        <v>2580</v>
      </c>
      <c r="E87" s="573" t="s">
        <v>2581</v>
      </c>
      <c r="F87" s="573" t="s">
        <v>2582</v>
      </c>
      <c r="G87" s="573" t="s">
        <v>2583</v>
      </c>
      <c r="H87" s="578"/>
      <c r="I87" s="578"/>
      <c r="J87" s="578"/>
      <c r="K87" s="578"/>
      <c r="L87" s="698"/>
      <c r="M87" s="622"/>
      <c r="N87" s="1154"/>
      <c r="O87" s="1154"/>
      <c r="P87" s="45"/>
      <c r="Q87" s="504"/>
    </row>
    <row r="88" spans="1:17" s="117" customFormat="1" ht="14.2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4" thickTop="1">
      <c r="A89" s="579"/>
      <c r="B89" s="538" t="s">
        <v>2768</v>
      </c>
      <c r="C89" s="573" t="s">
        <v>2579</v>
      </c>
      <c r="D89" s="573" t="s">
        <v>2580</v>
      </c>
      <c r="E89" s="573" t="s">
        <v>2581</v>
      </c>
      <c r="F89" s="573" t="s">
        <v>2582</v>
      </c>
      <c r="G89" s="573" t="s">
        <v>2583</v>
      </c>
      <c r="H89" s="578"/>
      <c r="I89" s="578"/>
      <c r="J89" s="578"/>
      <c r="K89" s="578"/>
      <c r="L89" s="578"/>
      <c r="M89" s="622"/>
      <c r="N89" s="1154"/>
      <c r="O89" s="1154"/>
      <c r="P89" s="45"/>
      <c r="Q89" s="504"/>
    </row>
    <row r="90" spans="1:17" s="117" customFormat="1" ht="14.2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4.25" thickTop="1">
      <c r="A91" s="553"/>
      <c r="B91" s="538" t="s">
        <v>2636</v>
      </c>
      <c r="C91" s="573" t="s">
        <v>2579</v>
      </c>
      <c r="D91" s="573" t="s">
        <v>2580</v>
      </c>
      <c r="E91" s="573" t="s">
        <v>2581</v>
      </c>
      <c r="F91" s="573" t="s">
        <v>2582</v>
      </c>
      <c r="G91" s="573" t="s">
        <v>2583</v>
      </c>
      <c r="H91" s="600"/>
      <c r="I91" s="600"/>
      <c r="J91" s="600"/>
      <c r="K91" s="600"/>
      <c r="L91" s="601"/>
      <c r="M91" s="602"/>
      <c r="N91" s="1157"/>
      <c r="O91" s="1157"/>
      <c r="P91" s="558"/>
      <c r="Q91" s="559"/>
    </row>
    <row r="92" spans="1:17" s="471" customFormat="1" ht="14.2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4.25" thickTop="1">
      <c r="A93" s="553"/>
      <c r="B93" s="546" t="s">
        <v>2785</v>
      </c>
      <c r="C93" s="660" t="s">
        <v>2657</v>
      </c>
      <c r="D93" s="660" t="s">
        <v>2658</v>
      </c>
      <c r="E93" s="660" t="s">
        <v>2659</v>
      </c>
      <c r="F93" s="660" t="s">
        <v>2660</v>
      </c>
      <c r="G93" s="660" t="s">
        <v>2661</v>
      </c>
      <c r="H93" s="600"/>
      <c r="I93" s="600"/>
      <c r="J93" s="600"/>
      <c r="K93" s="600"/>
      <c r="L93" s="600"/>
      <c r="M93" s="602"/>
      <c r="N93" s="1157"/>
      <c r="O93" s="1157"/>
      <c r="P93" s="558"/>
      <c r="Q93" s="559"/>
    </row>
    <row r="94" spans="1:17" s="471" customFormat="1" ht="14.2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4.25" thickTop="1">
      <c r="A95" s="534"/>
      <c r="B95" s="538" t="str">
        <f>B27</f>
        <v>临街状况</v>
      </c>
      <c r="C95" s="539" t="s">
        <v>2769</v>
      </c>
      <c r="D95" s="539" t="s">
        <v>2770</v>
      </c>
      <c r="E95" s="539" t="s">
        <v>2771</v>
      </c>
      <c r="F95" s="539" t="s">
        <v>2772</v>
      </c>
      <c r="G95" s="539"/>
      <c r="H95" s="539"/>
      <c r="I95" s="539"/>
      <c r="J95" s="539"/>
      <c r="K95" s="540"/>
      <c r="L95" s="541"/>
      <c r="M95" s="542"/>
      <c r="N95" s="1155"/>
      <c r="O95" s="1155"/>
      <c r="P95" s="45"/>
      <c r="Q95" s="504"/>
    </row>
    <row r="96" spans="1:17" ht="14.2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4" thickTop="1">
      <c r="A97" s="534"/>
      <c r="B97" s="538" t="s">
        <v>2673</v>
      </c>
      <c r="C97" s="554"/>
      <c r="D97" s="554"/>
      <c r="E97" s="554"/>
      <c r="F97" s="554"/>
      <c r="G97" s="554"/>
      <c r="H97" s="583"/>
      <c r="I97" s="583"/>
      <c r="J97" s="583"/>
      <c r="K97" s="584"/>
      <c r="L97" s="585"/>
      <c r="M97" s="586"/>
      <c r="N97" s="1155"/>
      <c r="O97" s="1155"/>
      <c r="P97" s="45"/>
      <c r="Q97" s="504"/>
    </row>
    <row r="98" spans="1:17" ht="14.2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4.25" thickTop="1">
      <c r="A99" s="534"/>
      <c r="B99" s="538" t="s">
        <v>2732</v>
      </c>
      <c r="C99" s="583"/>
      <c r="D99" s="583"/>
      <c r="E99" s="583"/>
      <c r="F99" s="583"/>
      <c r="G99" s="583"/>
      <c r="H99" s="583"/>
      <c r="I99" s="583"/>
      <c r="J99" s="583"/>
      <c r="K99" s="584"/>
      <c r="L99" s="585"/>
      <c r="M99" s="586"/>
      <c r="N99" s="1155"/>
      <c r="O99" s="1155"/>
      <c r="P99" s="45"/>
      <c r="Q99" s="504"/>
    </row>
    <row r="100" spans="1:17" ht="14.2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25" thickTop="1">
      <c r="A101" s="534"/>
      <c r="B101" s="546">
        <f>B31</f>
        <v>111</v>
      </c>
      <c r="C101" s="554"/>
      <c r="D101" s="554"/>
      <c r="E101" s="554"/>
      <c r="F101" s="554"/>
      <c r="G101" s="587"/>
      <c r="H101" s="587"/>
      <c r="I101" s="587"/>
      <c r="J101" s="587"/>
      <c r="K101" s="588"/>
      <c r="L101" s="589"/>
      <c r="M101" s="590"/>
      <c r="N101" s="1155"/>
      <c r="O101" s="1155"/>
      <c r="P101" s="45"/>
      <c r="Q101" s="504"/>
    </row>
    <row r="102" spans="1:17" ht="14.25" thickBot="1">
      <c r="A102" s="534"/>
      <c r="B102" s="569"/>
      <c r="C102" s="560"/>
      <c r="D102" s="536"/>
      <c r="E102" s="536"/>
      <c r="F102" s="536"/>
      <c r="G102" s="591"/>
      <c r="H102" s="591"/>
      <c r="I102" s="591"/>
      <c r="J102" s="591"/>
      <c r="K102" s="591"/>
      <c r="L102" s="591"/>
      <c r="M102" s="592"/>
      <c r="N102" s="1156"/>
      <c r="O102" s="1156"/>
      <c r="P102" s="45"/>
      <c r="Q102" s="504"/>
    </row>
    <row r="103" spans="1:17" ht="13.9" thickTop="1">
      <c r="A103" s="675"/>
      <c r="B103" s="538">
        <f>B32</f>
        <v>111</v>
      </c>
      <c r="C103" s="554"/>
      <c r="D103" s="554"/>
      <c r="E103" s="554"/>
      <c r="F103" s="554"/>
      <c r="G103" s="583"/>
      <c r="H103" s="583"/>
      <c r="I103" s="583"/>
      <c r="J103" s="583"/>
      <c r="K103" s="584"/>
      <c r="L103" s="585"/>
      <c r="M103" s="586"/>
      <c r="N103" s="1155"/>
      <c r="O103" s="1155"/>
      <c r="P103" s="45"/>
      <c r="Q103" s="504"/>
    </row>
    <row r="104" spans="1:17" ht="14.25" thickBot="1">
      <c r="A104" s="534"/>
      <c r="B104" s="543"/>
      <c r="C104" s="560"/>
      <c r="D104" s="560"/>
      <c r="E104" s="560"/>
      <c r="F104" s="560"/>
      <c r="G104" s="536"/>
      <c r="H104" s="536"/>
      <c r="I104" s="536"/>
      <c r="J104" s="536"/>
      <c r="K104" s="536"/>
      <c r="L104" s="536"/>
      <c r="M104" s="537"/>
      <c r="N104" s="1156"/>
      <c r="O104" s="1156"/>
      <c r="P104" s="45"/>
      <c r="Q104" s="504"/>
    </row>
    <row r="105" spans="1:17" s="471" customFormat="1" ht="13.9"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25" thickBot="1">
      <c r="A106" s="553"/>
      <c r="B106" s="546"/>
      <c r="C106" s="570"/>
      <c r="D106" s="570"/>
      <c r="E106" s="570"/>
      <c r="F106" s="570"/>
      <c r="G106" s="677"/>
      <c r="H106" s="677"/>
      <c r="I106" s="677"/>
      <c r="J106" s="677"/>
      <c r="K106" s="677"/>
      <c r="L106" s="677"/>
      <c r="M106" s="699"/>
      <c r="N106" s="1156"/>
      <c r="O106" s="1156"/>
      <c r="P106" s="558"/>
      <c r="Q106" s="559"/>
    </row>
    <row r="107" spans="1:17">
      <c r="A107" s="527" t="s">
        <v>2545</v>
      </c>
      <c r="B107" s="528" t="s">
        <v>2773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3.9">
      <c r="A108" s="534"/>
      <c r="B108" s="546"/>
      <c r="C108" s="595"/>
      <c r="D108" s="595"/>
      <c r="E108" s="595"/>
      <c r="F108" s="595"/>
      <c r="G108" s="595"/>
      <c r="H108" s="595"/>
      <c r="I108" s="595"/>
      <c r="J108" s="596"/>
      <c r="K108" s="596"/>
      <c r="L108" s="597"/>
      <c r="M108" s="598"/>
      <c r="N108" s="1155"/>
      <c r="O108" s="1155"/>
      <c r="P108" s="45"/>
      <c r="Q108" s="504"/>
    </row>
    <row r="109" spans="1:17" ht="14.25" thickBot="1">
      <c r="A109" s="534"/>
      <c r="B109" s="543"/>
      <c r="C109" s="570"/>
      <c r="D109" s="591"/>
      <c r="E109" s="591"/>
      <c r="F109" s="591"/>
      <c r="G109" s="591"/>
      <c r="H109" s="591"/>
      <c r="I109" s="591"/>
      <c r="J109" s="591"/>
      <c r="K109" s="591"/>
      <c r="L109" s="591"/>
      <c r="M109" s="592"/>
      <c r="N109" s="1156"/>
      <c r="O109" s="1156"/>
      <c r="P109" s="45"/>
      <c r="Q109" s="504"/>
    </row>
    <row r="110" spans="1:17" ht="13.9" thickTop="1">
      <c r="A110" s="599"/>
      <c r="B110" s="538" t="s">
        <v>2774</v>
      </c>
      <c r="C110" s="583"/>
      <c r="D110" s="583"/>
      <c r="E110" s="583"/>
      <c r="F110" s="583"/>
      <c r="G110" s="583"/>
      <c r="H110" s="583"/>
      <c r="I110" s="583"/>
      <c r="J110" s="583"/>
      <c r="K110" s="584"/>
      <c r="L110" s="585"/>
      <c r="M110" s="586"/>
      <c r="N110" s="1155"/>
      <c r="O110" s="1155"/>
      <c r="P110" s="45"/>
      <c r="Q110" s="504"/>
    </row>
    <row r="111" spans="1:17" ht="14.2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3.9" thickTop="1">
      <c r="A112" s="593"/>
      <c r="B112" s="538" t="s">
        <v>2776</v>
      </c>
      <c r="C112" s="554"/>
      <c r="D112" s="554"/>
      <c r="E112" s="554"/>
      <c r="F112" s="554"/>
      <c r="G112" s="554"/>
      <c r="H112" s="583"/>
      <c r="I112" s="583"/>
      <c r="J112" s="583"/>
      <c r="K112" s="584"/>
      <c r="L112" s="585"/>
      <c r="M112" s="586"/>
      <c r="N112" s="1157"/>
      <c r="O112" s="1157"/>
      <c r="P112" s="558"/>
      <c r="Q112" s="559"/>
    </row>
    <row r="113" spans="1:17" s="471" customFormat="1" ht="14.2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3.9" thickTop="1">
      <c r="A114" s="599"/>
      <c r="B114" s="538" t="s">
        <v>2777</v>
      </c>
      <c r="C114" s="554"/>
      <c r="D114" s="554"/>
      <c r="E114" s="583"/>
      <c r="F114" s="583"/>
      <c r="G114" s="583"/>
      <c r="H114" s="583"/>
      <c r="I114" s="583"/>
      <c r="J114" s="583"/>
      <c r="K114" s="584"/>
      <c r="L114" s="585"/>
      <c r="M114" s="586"/>
      <c r="N114" s="1155"/>
      <c r="O114" s="1155"/>
      <c r="P114" s="45"/>
      <c r="Q114" s="504"/>
    </row>
    <row r="115" spans="1:17" ht="14.2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3.9" thickTop="1">
      <c r="A116" s="599"/>
      <c r="B116" s="538">
        <f>B38</f>
        <v>111</v>
      </c>
      <c r="C116" s="554"/>
      <c r="D116" s="554"/>
      <c r="E116" s="554"/>
      <c r="F116" s="554"/>
      <c r="G116" s="554"/>
      <c r="H116" s="583"/>
      <c r="I116" s="583"/>
      <c r="J116" s="583"/>
      <c r="K116" s="584"/>
      <c r="L116" s="585"/>
      <c r="M116" s="586"/>
      <c r="N116" s="1155"/>
      <c r="O116" s="1155"/>
      <c r="P116" s="45"/>
      <c r="Q116" s="504"/>
    </row>
    <row r="117" spans="1:17" ht="14.25" thickBot="1">
      <c r="A117" s="534"/>
      <c r="B117" s="543"/>
      <c r="C117" s="560"/>
      <c r="D117" s="536"/>
      <c r="E117" s="536"/>
      <c r="F117" s="536"/>
      <c r="G117" s="536"/>
      <c r="H117" s="536"/>
      <c r="I117" s="536"/>
      <c r="J117" s="536"/>
      <c r="K117" s="536"/>
      <c r="L117" s="536"/>
      <c r="M117" s="537"/>
      <c r="N117" s="1156"/>
      <c r="O117" s="1156"/>
      <c r="P117" s="45"/>
      <c r="Q117" s="504"/>
    </row>
    <row r="118" spans="1:17" ht="13.9" thickTop="1">
      <c r="A118" s="599"/>
      <c r="B118" s="538">
        <f>B39</f>
        <v>111</v>
      </c>
      <c r="C118" s="554"/>
      <c r="D118" s="554"/>
      <c r="E118" s="554"/>
      <c r="F118" s="554"/>
      <c r="G118" s="583"/>
      <c r="H118" s="583"/>
      <c r="I118" s="583"/>
      <c r="J118" s="583"/>
      <c r="K118" s="584"/>
      <c r="L118" s="585"/>
      <c r="M118" s="586"/>
      <c r="N118" s="1155"/>
      <c r="O118" s="1155"/>
      <c r="P118" s="45"/>
      <c r="Q118" s="504"/>
    </row>
    <row r="119" spans="1:17" ht="14.25" thickBot="1">
      <c r="A119" s="534"/>
      <c r="B119" s="543"/>
      <c r="C119" s="560"/>
      <c r="D119" s="560"/>
      <c r="E119" s="560"/>
      <c r="F119" s="560"/>
      <c r="G119" s="536"/>
      <c r="H119" s="536"/>
      <c r="I119" s="536"/>
      <c r="J119" s="536"/>
      <c r="K119" s="536"/>
      <c r="L119" s="536"/>
      <c r="M119" s="537"/>
      <c r="N119" s="1156"/>
      <c r="O119" s="1156"/>
      <c r="P119" s="45"/>
      <c r="Q119" s="504"/>
    </row>
    <row r="120" spans="1:17" s="471" customFormat="1" ht="13.9"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2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topLeftCell="A104" workbookViewId="0">
      <selection activeCell="A121" sqref="A121:XFD141"/>
    </sheetView>
  </sheetViews>
  <sheetFormatPr defaultColWidth="8.265625" defaultRowHeight="19.5" customHeight="1"/>
  <cols>
    <col min="1" max="1" width="13.59765625" style="816" customWidth="1"/>
    <col min="2" max="9" width="8.265625" style="878" customWidth="1"/>
    <col min="10" max="13" width="8.265625" style="816"/>
    <col min="14" max="14" width="10" style="816" customWidth="1"/>
    <col min="15" max="16" width="8.265625" style="816"/>
    <col min="17" max="17" width="34.1328125" style="816" customWidth="1"/>
    <col min="18" max="18" width="8.265625" style="816" customWidth="1"/>
    <col min="19" max="19" width="8.265625" style="816"/>
    <col min="20" max="20" width="11.59765625" style="816" customWidth="1"/>
    <col min="21" max="16384" width="8.2656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1" t="s">
        <v>183</v>
      </c>
      <c r="B18" s="882" t="s">
        <v>560</v>
      </c>
      <c r="C18" s="883" t="s">
        <v>561</v>
      </c>
      <c r="D18" s="884"/>
      <c r="E18" s="882">
        <v>1</v>
      </c>
      <c r="F18" s="885" t="s">
        <v>562</v>
      </c>
      <c r="G18" s="886"/>
      <c r="H18" s="878"/>
      <c r="I18" s="878"/>
    </row>
    <row r="19" spans="1:9" s="887" customFormat="1" ht="19.5" customHeight="1">
      <c r="A19" s="3331"/>
      <c r="B19" s="3331" t="s">
        <v>563</v>
      </c>
      <c r="C19" s="883" t="s">
        <v>564</v>
      </c>
      <c r="D19" s="884"/>
      <c r="E19" s="882">
        <v>0.9</v>
      </c>
      <c r="F19" s="885" t="s">
        <v>565</v>
      </c>
      <c r="G19" s="886"/>
      <c r="H19" s="878"/>
      <c r="I19" s="878"/>
    </row>
    <row r="20" spans="1:9" s="887" customFormat="1" ht="19.5" customHeight="1">
      <c r="A20" s="3331"/>
      <c r="B20" s="3331"/>
      <c r="C20" s="883" t="s">
        <v>566</v>
      </c>
      <c r="D20" s="884"/>
      <c r="E20" s="882">
        <v>1.1000000000000001</v>
      </c>
      <c r="F20" s="885" t="s">
        <v>567</v>
      </c>
      <c r="G20" s="886"/>
      <c r="H20" s="878"/>
      <c r="I20" s="878"/>
    </row>
    <row r="21" spans="1:9" s="887" customFormat="1" ht="19.5" customHeight="1">
      <c r="A21" s="3331"/>
      <c r="B21" s="3331"/>
      <c r="C21" s="883" t="s">
        <v>568</v>
      </c>
      <c r="D21" s="884"/>
      <c r="E21" s="882">
        <v>0.8</v>
      </c>
      <c r="F21" s="885" t="s">
        <v>569</v>
      </c>
      <c r="G21" s="886"/>
      <c r="H21" s="878"/>
      <c r="I21" s="878"/>
    </row>
    <row r="22" spans="1:9" s="887" customFormat="1" ht="19.5" customHeight="1">
      <c r="A22" s="3331"/>
      <c r="B22" s="3331"/>
      <c r="C22" s="883" t="s">
        <v>570</v>
      </c>
      <c r="D22" s="884"/>
      <c r="E22" s="882">
        <v>0.5</v>
      </c>
      <c r="F22" s="885"/>
      <c r="G22" s="886"/>
      <c r="H22" s="878"/>
      <c r="I22" s="878"/>
    </row>
    <row r="23" spans="1:9" s="887" customFormat="1" ht="19.5" customHeight="1">
      <c r="A23" s="3331" t="s">
        <v>184</v>
      </c>
      <c r="B23" s="882" t="s">
        <v>560</v>
      </c>
      <c r="C23" s="883" t="s">
        <v>571</v>
      </c>
      <c r="D23" s="884"/>
      <c r="E23" s="882">
        <v>1</v>
      </c>
      <c r="F23" s="885" t="s">
        <v>572</v>
      </c>
      <c r="G23" s="886"/>
      <c r="H23" s="878"/>
      <c r="I23" s="878"/>
    </row>
    <row r="24" spans="1:9" s="887" customFormat="1" ht="19.5" customHeight="1">
      <c r="A24" s="3331"/>
      <c r="B24" s="3331" t="s">
        <v>563</v>
      </c>
      <c r="C24" s="883" t="s">
        <v>573</v>
      </c>
      <c r="D24" s="884"/>
      <c r="E24" s="882">
        <v>0.5</v>
      </c>
      <c r="F24" s="885"/>
      <c r="G24" s="886"/>
      <c r="H24" s="878"/>
      <c r="I24" s="878"/>
    </row>
    <row r="25" spans="1:9" s="887" customFormat="1" ht="19.5" customHeight="1">
      <c r="A25" s="3331"/>
      <c r="B25" s="3331"/>
      <c r="C25" s="883" t="s">
        <v>574</v>
      </c>
      <c r="D25" s="884"/>
      <c r="E25" s="882">
        <v>1.1000000000000001</v>
      </c>
      <c r="F25" s="885"/>
      <c r="G25" s="886"/>
      <c r="H25" s="878"/>
      <c r="I25" s="878"/>
    </row>
    <row r="26" spans="1:9" s="887" customFormat="1" ht="19.5" customHeight="1">
      <c r="A26" s="3331"/>
      <c r="B26" s="3331"/>
      <c r="C26" s="883" t="s">
        <v>575</v>
      </c>
      <c r="D26" s="884"/>
      <c r="E26" s="882">
        <v>1.1000000000000001</v>
      </c>
      <c r="F26" s="885"/>
      <c r="G26" s="886"/>
      <c r="H26" s="878"/>
      <c r="I26" s="878"/>
    </row>
    <row r="27" spans="1:9" s="887" customFormat="1" ht="19.5" customHeight="1">
      <c r="A27" s="3331"/>
      <c r="B27" s="3331"/>
      <c r="C27" s="883" t="s">
        <v>576</v>
      </c>
      <c r="D27" s="884"/>
      <c r="E27" s="882">
        <v>0.9</v>
      </c>
      <c r="F27" s="885" t="s">
        <v>577</v>
      </c>
      <c r="G27" s="886"/>
      <c r="H27" s="878"/>
      <c r="I27" s="878"/>
    </row>
    <row r="28" spans="1:9" s="887" customFormat="1" ht="19.5" customHeight="1">
      <c r="A28" s="3331"/>
      <c r="B28" s="3331"/>
      <c r="C28" s="883" t="s">
        <v>578</v>
      </c>
      <c r="D28" s="884"/>
      <c r="E28" s="882">
        <v>0.9</v>
      </c>
      <c r="F28" s="885" t="s">
        <v>579</v>
      </c>
      <c r="G28" s="886"/>
      <c r="H28" s="878"/>
      <c r="I28" s="878"/>
    </row>
    <row r="29" spans="1:9" s="887" customFormat="1" ht="19.5" customHeight="1">
      <c r="A29" s="3331"/>
      <c r="B29" s="3331"/>
      <c r="C29" s="883" t="s">
        <v>580</v>
      </c>
      <c r="D29" s="884"/>
      <c r="E29" s="882">
        <v>0.9</v>
      </c>
      <c r="F29" s="885" t="s">
        <v>581</v>
      </c>
      <c r="G29" s="886"/>
      <c r="H29" s="878"/>
      <c r="I29" s="878"/>
    </row>
    <row r="30" spans="1:9" s="887" customFormat="1" ht="19.5" customHeight="1">
      <c r="A30" s="3331"/>
      <c r="B30" s="3331"/>
      <c r="C30" s="883" t="s">
        <v>582</v>
      </c>
      <c r="D30" s="884"/>
      <c r="E30" s="882">
        <v>0.9</v>
      </c>
      <c r="F30" s="885" t="s">
        <v>583</v>
      </c>
      <c r="G30" s="886"/>
      <c r="H30" s="878"/>
      <c r="I30" s="878"/>
    </row>
    <row r="31" spans="1:9" s="887" customFormat="1" ht="19.5" customHeight="1">
      <c r="A31" s="3331"/>
      <c r="B31" s="3331"/>
      <c r="C31" s="883" t="s">
        <v>584</v>
      </c>
      <c r="D31" s="884"/>
      <c r="E31" s="882">
        <v>0.8</v>
      </c>
      <c r="F31" s="885" t="s">
        <v>585</v>
      </c>
      <c r="G31" s="886"/>
      <c r="H31" s="878"/>
      <c r="I31" s="878"/>
    </row>
    <row r="32" spans="1:9" s="887" customFormat="1" ht="19.5" customHeight="1">
      <c r="A32" s="3331"/>
      <c r="B32" s="3331"/>
      <c r="C32" s="883" t="s">
        <v>586</v>
      </c>
      <c r="D32" s="884"/>
      <c r="E32" s="882">
        <v>0.8</v>
      </c>
      <c r="F32" s="885" t="s">
        <v>587</v>
      </c>
      <c r="G32" s="886"/>
      <c r="H32" s="878"/>
      <c r="I32" s="878"/>
    </row>
    <row r="33" spans="1:9" s="887" customFormat="1" ht="19.5" customHeight="1">
      <c r="A33" s="3331" t="s">
        <v>185</v>
      </c>
      <c r="B33" s="882" t="s">
        <v>560</v>
      </c>
      <c r="C33" s="883" t="s">
        <v>588</v>
      </c>
      <c r="D33" s="884"/>
      <c r="E33" s="882">
        <v>1</v>
      </c>
      <c r="F33" s="885" t="s">
        <v>589</v>
      </c>
      <c r="G33" s="886"/>
      <c r="H33" s="878"/>
      <c r="I33" s="878"/>
    </row>
    <row r="34" spans="1:9" s="887" customFormat="1" ht="19.5" customHeight="1">
      <c r="A34" s="3331"/>
      <c r="B34" s="882" t="s">
        <v>563</v>
      </c>
      <c r="C34" s="883" t="s">
        <v>590</v>
      </c>
      <c r="D34" s="884"/>
      <c r="E34" s="882">
        <v>1.5</v>
      </c>
      <c r="F34" s="885" t="s">
        <v>591</v>
      </c>
      <c r="G34" s="886"/>
      <c r="H34" s="878"/>
      <c r="I34" s="878"/>
    </row>
    <row r="35" spans="1:9" s="887" customFormat="1" ht="19.5" customHeight="1">
      <c r="A35" s="3331" t="s">
        <v>186</v>
      </c>
      <c r="B35" s="882" t="s">
        <v>560</v>
      </c>
      <c r="C35" s="883" t="s">
        <v>592</v>
      </c>
      <c r="D35" s="884"/>
      <c r="E35" s="882">
        <v>1</v>
      </c>
      <c r="F35" s="885" t="s">
        <v>593</v>
      </c>
      <c r="G35" s="886"/>
      <c r="H35" s="878"/>
      <c r="I35" s="878"/>
    </row>
    <row r="36" spans="1:9" s="887" customFormat="1" ht="19.5" customHeight="1">
      <c r="A36" s="3331"/>
      <c r="B36" s="3331" t="s">
        <v>563</v>
      </c>
      <c r="C36" s="883" t="s">
        <v>594</v>
      </c>
      <c r="D36" s="884"/>
      <c r="E36" s="882">
        <v>1</v>
      </c>
      <c r="F36" s="885" t="s">
        <v>595</v>
      </c>
      <c r="G36" s="886"/>
      <c r="H36" s="878"/>
      <c r="I36" s="878"/>
    </row>
    <row r="37" spans="1:9" s="887" customFormat="1" ht="19.5" customHeight="1">
      <c r="A37" s="3331"/>
      <c r="B37" s="3331"/>
      <c r="C37" s="883" t="s">
        <v>596</v>
      </c>
      <c r="D37" s="884"/>
      <c r="E37" s="882">
        <v>1.5</v>
      </c>
      <c r="F37" s="885" t="s">
        <v>597</v>
      </c>
      <c r="G37" s="886"/>
      <c r="H37" s="878"/>
      <c r="I37" s="878"/>
    </row>
    <row r="38" spans="1:9" s="887" customFormat="1" ht="19.5" customHeight="1">
      <c r="A38" s="3331"/>
      <c r="B38" s="3331"/>
      <c r="C38" s="883" t="s">
        <v>598</v>
      </c>
      <c r="D38" s="884"/>
      <c r="E38" s="882">
        <v>1</v>
      </c>
      <c r="F38" s="885" t="s">
        <v>599</v>
      </c>
      <c r="G38" s="886"/>
      <c r="H38" s="878"/>
      <c r="I38" s="878"/>
    </row>
    <row r="39" spans="1:9" s="887" customFormat="1" ht="19.5" customHeight="1">
      <c r="A39" s="3331"/>
      <c r="B39" s="333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5.5">
      <c r="A61" s="882">
        <v>1</v>
      </c>
      <c r="B61" s="3331" t="s">
        <v>614</v>
      </c>
      <c r="C61" s="818" t="s">
        <v>615</v>
      </c>
      <c r="D61" s="818" t="s">
        <v>616</v>
      </c>
      <c r="E61" s="895">
        <v>0.5</v>
      </c>
      <c r="F61" s="882">
        <v>80</v>
      </c>
    </row>
    <row r="62" spans="1:8" s="878" customFormat="1" ht="25.5">
      <c r="A62" s="882">
        <v>2</v>
      </c>
      <c r="B62" s="3331"/>
      <c r="C62" s="818" t="s">
        <v>617</v>
      </c>
      <c r="D62" s="818" t="s">
        <v>618</v>
      </c>
      <c r="E62" s="895">
        <v>0.5</v>
      </c>
      <c r="F62" s="882">
        <v>80</v>
      </c>
    </row>
    <row r="63" spans="1:8" s="878" customFormat="1" ht="38.25">
      <c r="A63" s="882">
        <v>3</v>
      </c>
      <c r="B63" s="3331"/>
      <c r="C63" s="818" t="s">
        <v>619</v>
      </c>
      <c r="D63" s="818" t="s">
        <v>620</v>
      </c>
      <c r="E63" s="895">
        <v>0.5</v>
      </c>
      <c r="F63" s="882">
        <v>80</v>
      </c>
    </row>
    <row r="64" spans="1:8" s="878" customFormat="1" ht="38.25">
      <c r="A64" s="882">
        <v>4</v>
      </c>
      <c r="B64" s="3331"/>
      <c r="C64" s="818" t="s">
        <v>621</v>
      </c>
      <c r="D64" s="818" t="s">
        <v>622</v>
      </c>
      <c r="E64" s="895">
        <v>0.4</v>
      </c>
      <c r="F64" s="882">
        <v>60</v>
      </c>
    </row>
    <row r="65" spans="1:6" s="878" customFormat="1" ht="38.25">
      <c r="A65" s="882">
        <v>5</v>
      </c>
      <c r="B65" s="3331"/>
      <c r="C65" s="818" t="s">
        <v>623</v>
      </c>
      <c r="D65" s="818" t="s">
        <v>624</v>
      </c>
      <c r="E65" s="895">
        <v>0.2</v>
      </c>
      <c r="F65" s="882">
        <v>30</v>
      </c>
    </row>
    <row r="66" spans="1:6" s="878" customFormat="1" ht="38.25">
      <c r="A66" s="882">
        <v>6</v>
      </c>
      <c r="B66" s="3331"/>
      <c r="C66" s="818" t="s">
        <v>625</v>
      </c>
      <c r="D66" s="818" t="s">
        <v>626</v>
      </c>
      <c r="E66" s="895">
        <v>0.3</v>
      </c>
      <c r="F66" s="882">
        <v>50</v>
      </c>
    </row>
    <row r="67" spans="1:6" s="878" customFormat="1" ht="38.25">
      <c r="A67" s="882">
        <v>7</v>
      </c>
      <c r="B67" s="3331"/>
      <c r="C67" s="818" t="s">
        <v>627</v>
      </c>
      <c r="D67" s="818" t="s">
        <v>628</v>
      </c>
      <c r="E67" s="895">
        <v>0.2</v>
      </c>
      <c r="F67" s="882">
        <v>30</v>
      </c>
    </row>
    <row r="68" spans="1:6" s="878" customFormat="1" ht="38.25">
      <c r="A68" s="882">
        <v>8</v>
      </c>
      <c r="B68" s="3331"/>
      <c r="C68" s="818" t="s">
        <v>629</v>
      </c>
      <c r="D68" s="818" t="s">
        <v>630</v>
      </c>
      <c r="E68" s="895">
        <v>0.2</v>
      </c>
      <c r="F68" s="882">
        <v>30</v>
      </c>
    </row>
    <row r="69" spans="1:6" s="878" customFormat="1" ht="38.25">
      <c r="A69" s="882">
        <v>9</v>
      </c>
      <c r="B69" s="3331"/>
      <c r="C69" s="818" t="s">
        <v>631</v>
      </c>
      <c r="D69" s="818" t="s">
        <v>632</v>
      </c>
      <c r="E69" s="895">
        <v>0.2</v>
      </c>
      <c r="F69" s="882">
        <v>30</v>
      </c>
    </row>
    <row r="70" spans="1:6" s="878" customFormat="1" ht="51">
      <c r="A70" s="882">
        <v>10</v>
      </c>
      <c r="B70" s="3331"/>
      <c r="C70" s="818" t="s">
        <v>633</v>
      </c>
      <c r="D70" s="818" t="s">
        <v>634</v>
      </c>
      <c r="E70" s="895">
        <v>0.2</v>
      </c>
      <c r="F70" s="882">
        <v>30</v>
      </c>
    </row>
    <row r="71" spans="1:6" s="878" customFormat="1" ht="51">
      <c r="A71" s="882">
        <v>11</v>
      </c>
      <c r="B71" s="3331"/>
      <c r="C71" s="818" t="s">
        <v>635</v>
      </c>
      <c r="D71" s="818" t="s">
        <v>636</v>
      </c>
      <c r="E71" s="895">
        <v>0.2</v>
      </c>
      <c r="F71" s="882">
        <v>30</v>
      </c>
    </row>
    <row r="72" spans="1:6" s="878" customFormat="1" ht="38.25">
      <c r="A72" s="882">
        <v>12</v>
      </c>
      <c r="B72" s="3331"/>
      <c r="C72" s="818" t="s">
        <v>637</v>
      </c>
      <c r="D72" s="818" t="s">
        <v>638</v>
      </c>
      <c r="E72" s="895">
        <v>0.5</v>
      </c>
      <c r="F72" s="882">
        <v>80</v>
      </c>
    </row>
    <row r="73" spans="1:6" s="878" customFormat="1" ht="25.5">
      <c r="A73" s="882">
        <v>13</v>
      </c>
      <c r="B73" s="3331"/>
      <c r="C73" s="818" t="s">
        <v>639</v>
      </c>
      <c r="D73" s="818" t="s">
        <v>640</v>
      </c>
      <c r="E73" s="895">
        <v>0.4</v>
      </c>
      <c r="F73" s="882">
        <v>60</v>
      </c>
    </row>
    <row r="74" spans="1:6" s="878" customFormat="1" ht="25.5">
      <c r="A74" s="882">
        <v>14</v>
      </c>
      <c r="B74" s="3331"/>
      <c r="C74" s="818" t="s">
        <v>641</v>
      </c>
      <c r="D74" s="818" t="s">
        <v>642</v>
      </c>
      <c r="E74" s="895">
        <v>0.2</v>
      </c>
      <c r="F74" s="882">
        <v>30</v>
      </c>
    </row>
    <row r="75" spans="1:6" s="878" customFormat="1" ht="25.5">
      <c r="A75" s="882">
        <v>15</v>
      </c>
      <c r="B75" s="3331"/>
      <c r="C75" s="818" t="s">
        <v>643</v>
      </c>
      <c r="D75" s="818" t="s">
        <v>644</v>
      </c>
      <c r="E75" s="895">
        <v>0.2</v>
      </c>
      <c r="F75" s="882">
        <v>30</v>
      </c>
    </row>
    <row r="76" spans="1:6" s="878" customFormat="1" ht="25.5">
      <c r="A76" s="882">
        <v>16</v>
      </c>
      <c r="B76" s="3331" t="s">
        <v>645</v>
      </c>
      <c r="C76" s="818" t="s">
        <v>646</v>
      </c>
      <c r="D76" s="818" t="s">
        <v>647</v>
      </c>
      <c r="E76" s="895">
        <v>0.5</v>
      </c>
      <c r="F76" s="882">
        <v>80</v>
      </c>
    </row>
    <row r="77" spans="1:6" s="878" customFormat="1" ht="25.5">
      <c r="A77" s="882">
        <v>17</v>
      </c>
      <c r="B77" s="3331"/>
      <c r="C77" s="818" t="s">
        <v>648</v>
      </c>
      <c r="D77" s="818" t="s">
        <v>649</v>
      </c>
      <c r="E77" s="895">
        <v>0.5</v>
      </c>
      <c r="F77" s="882">
        <v>80</v>
      </c>
    </row>
    <row r="78" spans="1:6" s="878" customFormat="1" ht="25.5">
      <c r="A78" s="882">
        <v>18</v>
      </c>
      <c r="B78" s="3331"/>
      <c r="C78" s="818" t="s">
        <v>650</v>
      </c>
      <c r="D78" s="818" t="s">
        <v>651</v>
      </c>
      <c r="E78" s="895">
        <v>0.2</v>
      </c>
      <c r="F78" s="882">
        <v>30</v>
      </c>
    </row>
    <row r="79" spans="1:6" s="878" customFormat="1" ht="25.5">
      <c r="A79" s="882">
        <v>19</v>
      </c>
      <c r="B79" s="3331"/>
      <c r="C79" s="818" t="s">
        <v>652</v>
      </c>
      <c r="D79" s="818" t="s">
        <v>653</v>
      </c>
      <c r="E79" s="895">
        <v>0.5</v>
      </c>
      <c r="F79" s="882">
        <v>80</v>
      </c>
    </row>
    <row r="80" spans="1:6" s="878" customFormat="1" ht="38.25">
      <c r="A80" s="882">
        <v>20</v>
      </c>
      <c r="B80" s="3331"/>
      <c r="C80" s="818" t="s">
        <v>654</v>
      </c>
      <c r="D80" s="818" t="s">
        <v>655</v>
      </c>
      <c r="E80" s="895">
        <v>0.2</v>
      </c>
      <c r="F80" s="882">
        <v>30</v>
      </c>
    </row>
    <row r="81" spans="1:6" s="878" customFormat="1" ht="38.25">
      <c r="A81" s="882">
        <v>21</v>
      </c>
      <c r="B81" s="3331"/>
      <c r="C81" s="818" t="s">
        <v>656</v>
      </c>
      <c r="D81" s="818" t="s">
        <v>657</v>
      </c>
      <c r="E81" s="895">
        <v>0.2</v>
      </c>
      <c r="F81" s="882">
        <v>30</v>
      </c>
    </row>
    <row r="82" spans="1:6" s="878" customFormat="1" ht="51">
      <c r="A82" s="882">
        <v>22</v>
      </c>
      <c r="B82" s="3331"/>
      <c r="C82" s="818" t="s">
        <v>658</v>
      </c>
      <c r="D82" s="818" t="s">
        <v>659</v>
      </c>
      <c r="E82" s="895">
        <v>0.2</v>
      </c>
      <c r="F82" s="882">
        <v>30</v>
      </c>
    </row>
    <row r="83" spans="1:6" s="878" customFormat="1" ht="51">
      <c r="A83" s="882">
        <v>23</v>
      </c>
      <c r="B83" s="3331"/>
      <c r="C83" s="818" t="s">
        <v>660</v>
      </c>
      <c r="D83" s="818" t="s">
        <v>661</v>
      </c>
      <c r="E83" s="895">
        <v>0.2</v>
      </c>
      <c r="F83" s="882">
        <v>30</v>
      </c>
    </row>
    <row r="84" spans="1:6" s="878" customFormat="1" ht="38.25">
      <c r="A84" s="882">
        <v>24</v>
      </c>
      <c r="B84" s="3331"/>
      <c r="C84" s="818" t="s">
        <v>662</v>
      </c>
      <c r="D84" s="818" t="s">
        <v>663</v>
      </c>
      <c r="E84" s="895">
        <v>0.2</v>
      </c>
      <c r="F84" s="882">
        <v>30</v>
      </c>
    </row>
    <row r="85" spans="1:6" s="878" customFormat="1" ht="38.25">
      <c r="A85" s="882">
        <v>25</v>
      </c>
      <c r="B85" s="3331"/>
      <c r="C85" s="818" t="s">
        <v>664</v>
      </c>
      <c r="D85" s="818" t="s">
        <v>665</v>
      </c>
      <c r="E85" s="895">
        <v>0.5</v>
      </c>
      <c r="F85" s="882">
        <v>80</v>
      </c>
    </row>
    <row r="86" spans="1:6" s="878" customFormat="1" ht="38.25">
      <c r="A86" s="882">
        <v>26</v>
      </c>
      <c r="B86" s="3331"/>
      <c r="C86" s="818" t="s">
        <v>666</v>
      </c>
      <c r="D86" s="818" t="s">
        <v>667</v>
      </c>
      <c r="E86" s="895">
        <v>0.2</v>
      </c>
      <c r="F86" s="882">
        <v>30</v>
      </c>
    </row>
    <row r="87" spans="1:6" s="878" customFormat="1" ht="38.25">
      <c r="A87" s="882">
        <v>27</v>
      </c>
      <c r="B87" s="3331"/>
      <c r="C87" s="818" t="s">
        <v>668</v>
      </c>
      <c r="D87" s="818" t="s">
        <v>669</v>
      </c>
      <c r="E87" s="895">
        <v>0.2</v>
      </c>
      <c r="F87" s="882">
        <v>30</v>
      </c>
    </row>
    <row r="88" spans="1:6" s="878" customFormat="1" ht="38.25">
      <c r="A88" s="882">
        <v>28</v>
      </c>
      <c r="B88" s="3331"/>
      <c r="C88" s="818" t="s">
        <v>670</v>
      </c>
      <c r="D88" s="818" t="s">
        <v>671</v>
      </c>
      <c r="E88" s="895">
        <v>0.2</v>
      </c>
      <c r="F88" s="882">
        <v>30</v>
      </c>
    </row>
    <row r="89" spans="1:6" s="878" customFormat="1" ht="25.5">
      <c r="A89" s="882">
        <v>29</v>
      </c>
      <c r="B89" s="3331"/>
      <c r="C89" s="818" t="s">
        <v>672</v>
      </c>
      <c r="D89" s="818" t="s">
        <v>673</v>
      </c>
      <c r="E89" s="895">
        <v>0.2</v>
      </c>
      <c r="F89" s="882">
        <v>30</v>
      </c>
    </row>
    <row r="90" spans="1:6" s="878" customFormat="1" ht="25.5">
      <c r="A90" s="882">
        <v>30</v>
      </c>
      <c r="B90" s="3331"/>
      <c r="C90" s="818" t="s">
        <v>674</v>
      </c>
      <c r="D90" s="818" t="s">
        <v>675</v>
      </c>
      <c r="E90" s="895">
        <v>0.2</v>
      </c>
      <c r="F90" s="882">
        <v>30</v>
      </c>
    </row>
    <row r="91" spans="1:6" s="878" customFormat="1" ht="38.25">
      <c r="A91" s="882">
        <v>31</v>
      </c>
      <c r="B91" s="3331"/>
      <c r="C91" s="818" t="s">
        <v>676</v>
      </c>
      <c r="D91" s="818" t="s">
        <v>677</v>
      </c>
      <c r="E91" s="895">
        <v>0.2</v>
      </c>
      <c r="F91" s="882">
        <v>30</v>
      </c>
    </row>
    <row r="92" spans="1:6" s="878" customFormat="1" ht="25.5">
      <c r="A92" s="882">
        <v>32</v>
      </c>
      <c r="B92" s="3331" t="s">
        <v>678</v>
      </c>
      <c r="C92" s="882" t="s">
        <v>679</v>
      </c>
      <c r="D92" s="818" t="s">
        <v>680</v>
      </c>
      <c r="E92" s="895">
        <v>0.2</v>
      </c>
      <c r="F92" s="882">
        <v>30</v>
      </c>
    </row>
    <row r="93" spans="1:6" s="878" customFormat="1" ht="38.25">
      <c r="A93" s="882">
        <v>33</v>
      </c>
      <c r="B93" s="3331"/>
      <c r="C93" s="882" t="s">
        <v>681</v>
      </c>
      <c r="D93" s="818" t="s">
        <v>682</v>
      </c>
      <c r="E93" s="895">
        <v>0.2</v>
      </c>
      <c r="F93" s="882">
        <v>30</v>
      </c>
    </row>
    <row r="94" spans="1:6" s="878" customFormat="1" ht="51">
      <c r="A94" s="882">
        <v>34</v>
      </c>
      <c r="B94" s="3331"/>
      <c r="C94" s="882" t="s">
        <v>683</v>
      </c>
      <c r="D94" s="818" t="s">
        <v>684</v>
      </c>
      <c r="E94" s="895">
        <v>0.2</v>
      </c>
      <c r="F94" s="882">
        <v>30</v>
      </c>
    </row>
    <row r="95" spans="1:6" s="878" customFormat="1" ht="38.25">
      <c r="A95" s="882">
        <v>35</v>
      </c>
      <c r="B95" s="3331"/>
      <c r="C95" s="882" t="s">
        <v>685</v>
      </c>
      <c r="D95" s="818" t="s">
        <v>686</v>
      </c>
      <c r="E95" s="895">
        <v>0.2</v>
      </c>
      <c r="F95" s="882">
        <v>30</v>
      </c>
    </row>
    <row r="96" spans="1:6" s="878" customFormat="1" ht="51">
      <c r="A96" s="882">
        <v>36</v>
      </c>
      <c r="B96" s="3331"/>
      <c r="C96" s="818" t="s">
        <v>687</v>
      </c>
      <c r="D96" s="818" t="s">
        <v>688</v>
      </c>
      <c r="E96" s="895">
        <v>0.2</v>
      </c>
      <c r="F96" s="882">
        <v>30</v>
      </c>
    </row>
    <row r="97" spans="1:6" s="878" customFormat="1" ht="38.25">
      <c r="A97" s="882">
        <v>37</v>
      </c>
      <c r="B97" s="3331"/>
      <c r="C97" s="882" t="s">
        <v>689</v>
      </c>
      <c r="D97" s="818" t="s">
        <v>690</v>
      </c>
      <c r="E97" s="895">
        <v>0.2</v>
      </c>
      <c r="F97" s="882">
        <v>30</v>
      </c>
    </row>
    <row r="98" spans="1:6" s="878" customFormat="1" ht="38.25">
      <c r="A98" s="882">
        <v>38</v>
      </c>
      <c r="B98" s="3331"/>
      <c r="C98" s="882" t="s">
        <v>691</v>
      </c>
      <c r="D98" s="818" t="s">
        <v>692</v>
      </c>
      <c r="E98" s="895">
        <v>0.2</v>
      </c>
      <c r="F98" s="882">
        <v>30</v>
      </c>
    </row>
    <row r="99" spans="1:6" s="878" customFormat="1" ht="38.25">
      <c r="A99" s="882">
        <v>39</v>
      </c>
      <c r="B99" s="3331" t="s">
        <v>693</v>
      </c>
      <c r="C99" s="882" t="s">
        <v>694</v>
      </c>
      <c r="D99" s="818" t="s">
        <v>695</v>
      </c>
      <c r="E99" s="895">
        <v>0.3</v>
      </c>
      <c r="F99" s="882">
        <v>50</v>
      </c>
    </row>
    <row r="100" spans="1:6" s="878" customFormat="1" ht="25.5">
      <c r="A100" s="882">
        <v>40</v>
      </c>
      <c r="B100" s="3331"/>
      <c r="C100" s="882" t="s">
        <v>696</v>
      </c>
      <c r="D100" s="818" t="s">
        <v>697</v>
      </c>
      <c r="E100" s="895">
        <v>0.2</v>
      </c>
      <c r="F100" s="882">
        <v>30</v>
      </c>
    </row>
    <row r="101" spans="1:6" s="878" customFormat="1" ht="38.25">
      <c r="A101" s="882">
        <v>41</v>
      </c>
      <c r="B101" s="3331"/>
      <c r="C101" s="882" t="s">
        <v>698</v>
      </c>
      <c r="D101" s="818" t="s">
        <v>695</v>
      </c>
      <c r="E101" s="895">
        <v>0.2</v>
      </c>
      <c r="F101" s="882">
        <v>30</v>
      </c>
    </row>
    <row r="102" spans="1:6" s="878" customFormat="1" ht="51">
      <c r="A102" s="882">
        <v>42</v>
      </c>
      <c r="B102" s="882" t="s">
        <v>699</v>
      </c>
      <c r="C102" s="818" t="s">
        <v>700</v>
      </c>
      <c r="D102" s="818" t="s">
        <v>701</v>
      </c>
      <c r="E102" s="895">
        <v>0.2</v>
      </c>
      <c r="F102" s="882">
        <v>30</v>
      </c>
    </row>
    <row r="103" spans="1:6" s="878" customFormat="1" ht="25.5">
      <c r="A103" s="882">
        <v>43</v>
      </c>
      <c r="B103" s="882" t="s">
        <v>702</v>
      </c>
      <c r="C103" s="882" t="s">
        <v>703</v>
      </c>
      <c r="D103" s="818" t="s">
        <v>704</v>
      </c>
      <c r="E103" s="895">
        <v>0.2</v>
      </c>
      <c r="F103" s="882">
        <v>30</v>
      </c>
    </row>
    <row r="104" spans="1:6" s="878" customFormat="1" ht="38.25">
      <c r="A104" s="882">
        <v>44</v>
      </c>
      <c r="B104" s="882" t="s">
        <v>705</v>
      </c>
      <c r="C104" s="882" t="s">
        <v>706</v>
      </c>
      <c r="D104" s="818" t="s">
        <v>707</v>
      </c>
      <c r="E104" s="895">
        <v>0.2</v>
      </c>
      <c r="F104" s="882">
        <v>30</v>
      </c>
    </row>
    <row r="105" spans="1:6" s="878" customFormat="1" ht="38.25">
      <c r="A105" s="882">
        <v>45</v>
      </c>
      <c r="B105" s="3331" t="s">
        <v>708</v>
      </c>
      <c r="C105" s="882" t="s">
        <v>709</v>
      </c>
      <c r="D105" s="818" t="s">
        <v>710</v>
      </c>
      <c r="E105" s="895">
        <v>0.2</v>
      </c>
      <c r="F105" s="882">
        <v>30</v>
      </c>
    </row>
    <row r="106" spans="1:6" s="878" customFormat="1" ht="38.25">
      <c r="A106" s="882">
        <v>46</v>
      </c>
      <c r="B106" s="3331"/>
      <c r="C106" s="882" t="s">
        <v>711</v>
      </c>
      <c r="D106" s="818" t="s">
        <v>712</v>
      </c>
      <c r="E106" s="895">
        <v>0.2</v>
      </c>
      <c r="F106" s="882">
        <v>30</v>
      </c>
    </row>
    <row r="107" spans="1:6" s="878" customFormat="1" ht="38.25">
      <c r="A107" s="882">
        <v>47</v>
      </c>
      <c r="B107" s="3331" t="s">
        <v>713</v>
      </c>
      <c r="C107" s="882" t="s">
        <v>714</v>
      </c>
      <c r="D107" s="818" t="s">
        <v>715</v>
      </c>
      <c r="E107" s="895">
        <v>0.3</v>
      </c>
      <c r="F107" s="882">
        <v>50</v>
      </c>
    </row>
    <row r="108" spans="1:6" s="878" customFormat="1" ht="38.25">
      <c r="A108" s="882">
        <v>48</v>
      </c>
      <c r="B108" s="3331"/>
      <c r="C108" s="882" t="s">
        <v>716</v>
      </c>
      <c r="D108" s="818" t="s">
        <v>717</v>
      </c>
      <c r="E108" s="895">
        <v>0.2</v>
      </c>
      <c r="F108" s="882">
        <v>30</v>
      </c>
    </row>
    <row r="109" spans="1:6" s="878" customFormat="1" ht="38.25">
      <c r="A109" s="882">
        <v>49</v>
      </c>
      <c r="B109" s="882" t="s">
        <v>718</v>
      </c>
      <c r="C109" s="882" t="s">
        <v>719</v>
      </c>
      <c r="D109" s="818" t="s">
        <v>720</v>
      </c>
      <c r="E109" s="895">
        <v>0.2</v>
      </c>
      <c r="F109" s="882">
        <v>30</v>
      </c>
    </row>
    <row r="110" spans="1:6" s="878" customFormat="1" ht="38.25">
      <c r="A110" s="882">
        <v>50</v>
      </c>
      <c r="B110" s="882" t="s">
        <v>721</v>
      </c>
      <c r="C110" s="882" t="s">
        <v>722</v>
      </c>
      <c r="D110" s="818" t="s">
        <v>723</v>
      </c>
      <c r="E110" s="895">
        <v>0.2</v>
      </c>
      <c r="F110" s="882">
        <v>30</v>
      </c>
    </row>
    <row r="111" spans="1:6" s="878" customFormat="1" ht="38.25">
      <c r="A111" s="882">
        <v>51</v>
      </c>
      <c r="B111" s="3331" t="s">
        <v>724</v>
      </c>
      <c r="C111" s="882" t="s">
        <v>725</v>
      </c>
      <c r="D111" s="818" t="s">
        <v>726</v>
      </c>
      <c r="E111" s="895">
        <v>0.2</v>
      </c>
      <c r="F111" s="882">
        <v>30</v>
      </c>
    </row>
    <row r="112" spans="1:6" s="878" customFormat="1" ht="25.5">
      <c r="A112" s="882">
        <v>52</v>
      </c>
      <c r="B112" s="3331"/>
      <c r="C112" s="882" t="s">
        <v>727</v>
      </c>
      <c r="D112" s="818" t="s">
        <v>728</v>
      </c>
      <c r="E112" s="895">
        <v>0.2</v>
      </c>
      <c r="F112" s="882">
        <v>30</v>
      </c>
    </row>
    <row r="113" spans="1:6" s="878" customFormat="1" ht="25.5">
      <c r="A113" s="882">
        <v>53</v>
      </c>
      <c r="B113" s="3331"/>
      <c r="C113" s="882" t="s">
        <v>729</v>
      </c>
      <c r="D113" s="818" t="s">
        <v>730</v>
      </c>
      <c r="E113" s="895">
        <v>0.2</v>
      </c>
      <c r="F113" s="882">
        <v>30</v>
      </c>
    </row>
    <row r="114" spans="1:6" ht="38.25">
      <c r="A114" s="882">
        <v>54</v>
      </c>
      <c r="B114" s="882" t="s">
        <v>731</v>
      </c>
      <c r="C114" s="882" t="s">
        <v>732</v>
      </c>
      <c r="D114" s="818" t="s">
        <v>733</v>
      </c>
      <c r="E114" s="895">
        <v>0.2</v>
      </c>
      <c r="F114" s="882">
        <v>30</v>
      </c>
    </row>
    <row r="115" spans="1:6" ht="25.5">
      <c r="A115" s="882">
        <v>55</v>
      </c>
      <c r="B115" s="882" t="s">
        <v>734</v>
      </c>
      <c r="C115" s="882" t="s">
        <v>735</v>
      </c>
      <c r="D115" s="818" t="s">
        <v>736</v>
      </c>
      <c r="E115" s="895">
        <v>0.2</v>
      </c>
      <c r="F115" s="882">
        <v>30</v>
      </c>
    </row>
    <row r="116" spans="1:6" ht="25.5">
      <c r="A116" s="882">
        <v>56</v>
      </c>
      <c r="B116" s="3331" t="s">
        <v>737</v>
      </c>
      <c r="C116" s="882" t="s">
        <v>738</v>
      </c>
      <c r="D116" s="818" t="s">
        <v>739</v>
      </c>
      <c r="E116" s="895">
        <v>0.2</v>
      </c>
      <c r="F116" s="882">
        <v>30</v>
      </c>
    </row>
    <row r="117" spans="1:6" ht="38.25">
      <c r="A117" s="882">
        <v>57</v>
      </c>
      <c r="B117" s="3331"/>
      <c r="C117" s="882" t="s">
        <v>740</v>
      </c>
      <c r="D117" s="818" t="s">
        <v>741</v>
      </c>
      <c r="E117" s="895">
        <v>0.2</v>
      </c>
      <c r="F117" s="882">
        <v>30</v>
      </c>
    </row>
    <row r="118" spans="1:6" ht="38.25">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915"/>
    <col min="2" max="16384" width="9" style="898"/>
  </cols>
  <sheetData>
    <row r="1" spans="1:14" ht="15.7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75">
      <c r="A103" s="896" t="s">
        <v>748</v>
      </c>
      <c r="B103" s="897"/>
      <c r="C103" s="897"/>
      <c r="D103" s="897"/>
      <c r="E103" s="897"/>
      <c r="F103" s="897"/>
      <c r="G103" s="897"/>
      <c r="H103" s="897"/>
      <c r="I103" s="897"/>
      <c r="J103" s="897"/>
      <c r="K103" s="897"/>
      <c r="L103" s="897"/>
      <c r="M103" s="897"/>
      <c r="N103" s="897"/>
    </row>
    <row r="104" spans="1:14" ht="15.7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1.1261000000000001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7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7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E23" sqref="E23"/>
    </sheetView>
  </sheetViews>
  <sheetFormatPr defaultColWidth="9" defaultRowHeight="13.5"/>
  <cols>
    <col min="1" max="1" width="23.3984375" style="1948" customWidth="1"/>
    <col min="2" max="2" width="12.46484375" style="1948" customWidth="1"/>
    <col min="3" max="3" width="12.1328125" style="1948" customWidth="1"/>
    <col min="4" max="4" width="14.1328125" style="1948" customWidth="1"/>
    <col min="5" max="5" width="12.46484375" style="1948" customWidth="1"/>
    <col min="6" max="16384" width="9" style="1948"/>
  </cols>
  <sheetData>
    <row r="1" spans="1:5" ht="21.4">
      <c r="A1" s="2562" t="s">
        <v>2983</v>
      </c>
    </row>
    <row r="2" spans="1:5" ht="15.75">
      <c r="A2" s="2911" t="s">
        <v>2975</v>
      </c>
      <c r="B2" s="2912">
        <f ca="1">SUMIF(B6:B13,"&lt;&gt;#ref!",B6:B13)</f>
        <v>71419</v>
      </c>
      <c r="C2" s="2911" t="s">
        <v>2976</v>
      </c>
      <c r="D2" s="2911" t="s">
        <v>2977</v>
      </c>
      <c r="E2" s="2912" t="e">
        <f ca="1">SUM(E6:E13)</f>
        <v>#REF!</v>
      </c>
    </row>
    <row r="3" spans="1:5" ht="15.75">
      <c r="A3" s="2911" t="s">
        <v>2978</v>
      </c>
      <c r="B3" s="2912" t="e">
        <f ca="1">ROUND(B2*10000/E2,0)</f>
        <v>#REF!</v>
      </c>
      <c r="C3" s="2911" t="s">
        <v>2984</v>
      </c>
      <c r="D3" s="2913"/>
      <c r="E3" s="2913"/>
    </row>
    <row r="4" spans="1:5" ht="15">
      <c r="A4" s="2914"/>
      <c r="B4" s="2913"/>
      <c r="C4" s="2913"/>
      <c r="D4" s="2913"/>
      <c r="E4" s="2913"/>
    </row>
    <row r="5" spans="1:5" ht="31.5">
      <c r="A5" s="2915" t="s">
        <v>2979</v>
      </c>
      <c r="B5" s="2911" t="s">
        <v>2980</v>
      </c>
      <c r="C5" s="2912"/>
      <c r="D5" s="2913"/>
      <c r="E5" s="2911" t="s">
        <v>2981</v>
      </c>
    </row>
    <row r="6" spans="1:5" ht="15.75">
      <c r="A6" s="2916" t="s">
        <v>2982</v>
      </c>
      <c r="B6" s="2912">
        <f ca="1">SUMIF(INDIRECT("'"&amp;A6&amp;"'"&amp;"!A:A"),"总价",INDIRECT("'"&amp;A6&amp;"'"&amp;"!B:B"))</f>
        <v>71419</v>
      </c>
      <c r="C6" s="2911" t="s">
        <v>2976</v>
      </c>
      <c r="D6" s="2913"/>
      <c r="E6" s="2576">
        <f ca="1">SUMIF(INDIRECT("'"&amp;A6&amp;"'"&amp;"!C:C"),"建筑面积",INDIRECT("'"&amp;A6&amp;"'"&amp;"!D:D"))</f>
        <v>108719</v>
      </c>
    </row>
    <row r="7" spans="1:5" ht="15.75">
      <c r="A7" s="2916"/>
      <c r="B7" s="2912" t="e">
        <f ca="1">SUMIF(INDIRECT("'"&amp;A7&amp;"'"&amp;"!A:A"),"总价",INDIRECT("'"&amp;A7&amp;"'"&amp;"!B:B"))</f>
        <v>#REF!</v>
      </c>
      <c r="C7" s="2911" t="s">
        <v>2976</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2976</v>
      </c>
      <c r="D8" s="2913"/>
      <c r="E8" s="2576" t="e">
        <f t="shared" ca="1" si="0"/>
        <v>#REF!</v>
      </c>
    </row>
    <row r="9" spans="1:5" ht="15.75">
      <c r="A9" s="2916"/>
      <c r="B9" s="2912" t="e">
        <f t="shared" ca="1" si="1"/>
        <v>#REF!</v>
      </c>
      <c r="C9" s="2911" t="s">
        <v>2976</v>
      </c>
      <c r="D9" s="2913"/>
      <c r="E9" s="2576" t="e">
        <f t="shared" ca="1" si="0"/>
        <v>#REF!</v>
      </c>
    </row>
    <row r="10" spans="1:5" ht="15.75">
      <c r="A10" s="2916"/>
      <c r="B10" s="2912" t="e">
        <f t="shared" ca="1" si="1"/>
        <v>#REF!</v>
      </c>
      <c r="C10" s="2911" t="s">
        <v>2976</v>
      </c>
      <c r="D10" s="2913"/>
      <c r="E10" s="2576" t="e">
        <f t="shared" ca="1" si="0"/>
        <v>#REF!</v>
      </c>
    </row>
    <row r="11" spans="1:5" ht="15.75">
      <c r="A11" s="2916"/>
      <c r="B11" s="2912" t="e">
        <f t="shared" ca="1" si="1"/>
        <v>#REF!</v>
      </c>
      <c r="C11" s="2911" t="s">
        <v>2976</v>
      </c>
      <c r="D11" s="2913"/>
      <c r="E11" s="2576" t="e">
        <f t="shared" ca="1" si="0"/>
        <v>#REF!</v>
      </c>
    </row>
    <row r="12" spans="1:5" ht="15.75">
      <c r="A12" s="2916"/>
      <c r="B12" s="2912" t="e">
        <f t="shared" ca="1" si="1"/>
        <v>#REF!</v>
      </c>
      <c r="C12" s="2911" t="s">
        <v>2976</v>
      </c>
      <c r="D12" s="2913"/>
      <c r="E12" s="2576" t="e">
        <f t="shared" ca="1" si="0"/>
        <v>#REF!</v>
      </c>
    </row>
    <row r="13" spans="1:5" ht="15.75">
      <c r="A13" s="2916"/>
      <c r="B13" s="2912" t="e">
        <f t="shared" ca="1" si="1"/>
        <v>#REF!</v>
      </c>
      <c r="C13" s="2911" t="s">
        <v>2976</v>
      </c>
      <c r="D13" s="2913"/>
      <c r="E13" s="2576" t="e">
        <f t="shared" ca="1" si="0"/>
        <v>#REF!</v>
      </c>
    </row>
  </sheetData>
  <sheetProtection password="C66D" sheet="1" objects="1" scenarios="1" formatCells="0"/>
  <phoneticPr fontId="14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5"/>
  <cols>
    <col min="1" max="1" width="0.86328125" style="1963" customWidth="1"/>
    <col min="2" max="2" width="37.265625" style="1963" customWidth="1"/>
    <col min="3" max="3" width="11.3984375" style="1963" customWidth="1"/>
    <col min="4" max="4" width="31.73046875" style="1963" customWidth="1"/>
    <col min="5" max="5" width="0.46484375" style="1963" customWidth="1"/>
    <col min="6" max="7" width="13" style="1963" customWidth="1"/>
    <col min="8" max="16384" width="9" style="1963"/>
  </cols>
  <sheetData>
    <row r="1" spans="1:5" ht="17.649999999999999">
      <c r="A1" s="1961" t="s">
        <v>1620</v>
      </c>
      <c r="B1" s="1962"/>
      <c r="C1" s="1962"/>
      <c r="D1" s="1962"/>
      <c r="E1" s="1962"/>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7.649999999999999">
      <c r="A3" s="3006" t="str">
        <f>IF(项目基本情况!B9="房地产市场价值","估价结果一览表（市场价值不需“结果表-1”）","估价结果一览表")</f>
        <v>估价结果一览表</v>
      </c>
      <c r="B3" s="3006"/>
      <c r="C3" s="3006"/>
      <c r="D3" s="3006"/>
      <c r="E3" s="3006"/>
    </row>
    <row r="4" spans="1:5" ht="18" thickBot="1">
      <c r="A4" s="1964"/>
      <c r="B4" s="3004" t="s">
        <v>1629</v>
      </c>
      <c r="C4" s="3004"/>
      <c r="D4" s="3004"/>
      <c r="E4" s="1964"/>
    </row>
    <row r="5" spans="1:5" ht="16.149999999999999" thickTop="1">
      <c r="A5" s="1962"/>
      <c r="B5" s="3002" t="s">
        <v>1621</v>
      </c>
      <c r="C5" s="1965" t="s">
        <v>1622</v>
      </c>
      <c r="D5" s="1043">
        <f ca="1">结果表!H101</f>
        <v>121466</v>
      </c>
      <c r="E5" s="1962"/>
    </row>
    <row r="6" spans="1:5" ht="15.75">
      <c r="A6" s="1962"/>
      <c r="B6" s="3002"/>
      <c r="C6" s="1965" t="s">
        <v>1623</v>
      </c>
      <c r="D6" s="1043" t="str">
        <f ca="1">NUMBERSTRING(INT(D5*10000),2)&amp;"元整"</f>
        <v>壹拾贰亿壹仟肆佰陆拾陆万元整</v>
      </c>
      <c r="E6" s="1962"/>
    </row>
    <row r="7" spans="1:5" ht="15.75">
      <c r="A7" s="1962"/>
      <c r="B7" s="3007"/>
      <c r="C7" s="1966" t="s">
        <v>1624</v>
      </c>
      <c r="D7" s="1044">
        <f ca="1">结果表!H102</f>
        <v>7275</v>
      </c>
      <c r="E7" s="1962"/>
    </row>
    <row r="8" spans="1:5" ht="15.75">
      <c r="A8" s="1962"/>
      <c r="B8" s="3008" t="str">
        <f>结果表!E103</f>
        <v>2.估价师知悉的法定优先受偿款</v>
      </c>
      <c r="C8" s="1967" t="s">
        <v>1625</v>
      </c>
      <c r="D8" s="1044">
        <f>结果表!H103</f>
        <v>0</v>
      </c>
      <c r="E8" s="1962"/>
    </row>
    <row r="9" spans="1:5" ht="15.75">
      <c r="A9" s="1962"/>
      <c r="B9" s="3010"/>
      <c r="C9" s="1965" t="s">
        <v>1623</v>
      </c>
      <c r="D9" s="1043" t="str">
        <f>NUMBERSTRING(INT(D8*10000),2)&amp;"元整"</f>
        <v>零元整</v>
      </c>
      <c r="E9" s="1962"/>
    </row>
    <row r="10" spans="1:5" ht="15.75">
      <c r="A10" s="1962"/>
      <c r="B10" s="1968" t="s">
        <v>1628</v>
      </c>
      <c r="C10" s="1969" t="s">
        <v>1626</v>
      </c>
      <c r="D10" s="1045">
        <f>结果表!H104</f>
        <v>0</v>
      </c>
      <c r="E10" s="1962"/>
    </row>
    <row r="11" spans="1:5" ht="15.75">
      <c r="A11" s="1962"/>
      <c r="B11" s="1968" t="s">
        <v>1630</v>
      </c>
      <c r="C11" s="1969" t="s">
        <v>1631</v>
      </c>
      <c r="D11" s="1045">
        <f>结果表!H105</f>
        <v>0</v>
      </c>
      <c r="E11" s="1962"/>
    </row>
    <row r="12" spans="1:5" ht="15.75">
      <c r="A12" s="1962"/>
      <c r="B12" s="1968" t="s">
        <v>1632</v>
      </c>
      <c r="C12" s="1969" t="s">
        <v>1631</v>
      </c>
      <c r="D12" s="1045">
        <f>结果表!H106</f>
        <v>0</v>
      </c>
      <c r="E12" s="1962"/>
    </row>
    <row r="13" spans="1:5" ht="15.75">
      <c r="A13" s="1962"/>
      <c r="B13" s="3001" t="str">
        <f>结果表!E107</f>
        <v>3.房地产抵押价值</v>
      </c>
      <c r="C13" s="1970" t="s">
        <v>1622</v>
      </c>
      <c r="D13" s="1046">
        <f ca="1">结果表!H107</f>
        <v>121466</v>
      </c>
      <c r="E13" s="1962"/>
    </row>
    <row r="14" spans="1:5" ht="15.75">
      <c r="A14" s="1962"/>
      <c r="B14" s="3002"/>
      <c r="C14" s="1965" t="s">
        <v>1623</v>
      </c>
      <c r="D14" s="1043" t="str">
        <f ca="1">NUMBERSTRING(INT(D13*10000),2)&amp;"元整"</f>
        <v>壹拾贰亿壹仟肆佰陆拾陆万元整</v>
      </c>
      <c r="E14" s="1962"/>
    </row>
    <row r="15" spans="1:5" ht="15.75">
      <c r="A15" s="1962"/>
      <c r="B15" s="3007"/>
      <c r="C15" s="1966" t="s">
        <v>1633</v>
      </c>
      <c r="D15" s="1055">
        <f ca="1">结果表!H108</f>
        <v>7275</v>
      </c>
      <c r="E15" s="1962"/>
    </row>
    <row r="16" spans="1:5" ht="15.75">
      <c r="A16" s="1962"/>
      <c r="B16" s="3008" t="str">
        <f>结果表!E109</f>
        <v>——</v>
      </c>
      <c r="C16" s="1970" t="s">
        <v>1634</v>
      </c>
      <c r="D16" s="1971" t="str">
        <f>结果表!H109</f>
        <v>——</v>
      </c>
      <c r="E16" s="1962"/>
    </row>
    <row r="17" spans="1:5" ht="15.75">
      <c r="A17" s="1962"/>
      <c r="B17" s="3009"/>
      <c r="C17" s="1965" t="s">
        <v>1635</v>
      </c>
      <c r="D17" s="1043" t="e">
        <f>NUMBERSTRING(INT(D16*10000),2)&amp;"元整"</f>
        <v>#VALUE!</v>
      </c>
      <c r="E17" s="1962"/>
    </row>
    <row r="18" spans="1:5" ht="15.75">
      <c r="A18" s="1962"/>
      <c r="B18" s="3010"/>
      <c r="C18" s="1966" t="s">
        <v>1624</v>
      </c>
      <c r="D18" s="1055" t="str">
        <f>结果表!H110</f>
        <v>——</v>
      </c>
      <c r="E18" s="1962"/>
    </row>
    <row r="19" spans="1:5" ht="15.75">
      <c r="A19" s="1962"/>
      <c r="B19" s="3001" t="str">
        <f>结果表!E111</f>
        <v>——</v>
      </c>
      <c r="C19" s="1970" t="s">
        <v>1622</v>
      </c>
      <c r="D19" s="1044" t="str">
        <f>结果表!H111</f>
        <v>——</v>
      </c>
      <c r="E19" s="1962"/>
    </row>
    <row r="20" spans="1:5" ht="15.75">
      <c r="A20" s="1962"/>
      <c r="B20" s="3002"/>
      <c r="C20" s="1965" t="s">
        <v>1635</v>
      </c>
      <c r="D20" s="1043" t="e">
        <f>NUMBERSTRING(INT(D19*10000),2)&amp;"元整"</f>
        <v>#VALUE!</v>
      </c>
      <c r="E20" s="1962"/>
    </row>
    <row r="21" spans="1:5" ht="16.149999999999999" thickBot="1">
      <c r="A21" s="1962"/>
      <c r="B21" s="3003"/>
      <c r="C21" s="1972" t="s">
        <v>1633</v>
      </c>
      <c r="D21" s="1056" t="str">
        <f>结果表!H112</f>
        <v>——</v>
      </c>
      <c r="E21" s="1962"/>
    </row>
    <row r="22" spans="1:5" ht="13.9" thickTop="1">
      <c r="A22" s="1962"/>
      <c r="B22" s="1973" t="s">
        <v>1636</v>
      </c>
      <c r="C22" s="1962"/>
      <c r="D22" s="1962"/>
      <c r="E22" s="1962"/>
    </row>
    <row r="23" spans="1:5">
      <c r="A23" s="1962"/>
      <c r="B23" s="1962"/>
      <c r="C23" s="1962"/>
      <c r="D23" s="1962"/>
      <c r="E23" s="1962"/>
    </row>
    <row r="24" spans="1:5" ht="17.649999999999999">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04"/>
  <sheetViews>
    <sheetView zoomScale="80" zoomScaleNormal="80" workbookViewId="0">
      <selection activeCell="J10" sqref="J1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65625" style="1474" customWidth="1"/>
    <col min="14" max="14" width="9" style="1489" customWidth="1"/>
    <col min="15" max="17" width="9" style="1474" customWidth="1"/>
    <col min="18" max="18" width="2.3984375" style="1474" customWidth="1"/>
    <col min="19" max="19" width="7.1328125" style="1489" customWidth="1"/>
    <col min="20" max="22" width="7.1328125" style="1474" customWidth="1"/>
    <col min="23" max="23" width="24.265625" style="1474" customWidth="1"/>
    <col min="24" max="25" width="9" style="1474"/>
    <col min="26" max="27" width="11.59765625" style="1474" customWidth="1"/>
    <col min="28" max="28" width="9" style="1474"/>
    <col min="29" max="29" width="2" style="1474" customWidth="1"/>
    <col min="30" max="16384" width="9" style="1474"/>
  </cols>
  <sheetData>
    <row r="1" spans="1:34" s="1448" customFormat="1" ht="13.15">
      <c r="B1" s="3337" t="s">
        <v>1150</v>
      </c>
      <c r="C1" s="3337"/>
      <c r="D1" s="3337"/>
      <c r="E1" s="3337"/>
      <c r="F1" s="3337"/>
      <c r="G1" s="3333" t="s">
        <v>1151</v>
      </c>
      <c r="H1" s="3333"/>
      <c r="I1" s="3333"/>
      <c r="J1" s="3333"/>
      <c r="K1" s="3333"/>
      <c r="L1" s="3333"/>
      <c r="N1" s="3333" t="s">
        <v>1152</v>
      </c>
      <c r="O1" s="3333"/>
      <c r="P1" s="3333"/>
      <c r="Q1" s="3333"/>
      <c r="R1" s="1449"/>
      <c r="S1" s="3333" t="s">
        <v>1153</v>
      </c>
      <c r="T1" s="3333"/>
      <c r="U1" s="3333"/>
      <c r="V1" s="3333"/>
      <c r="X1" s="3332" t="s">
        <v>1154</v>
      </c>
      <c r="Y1" s="3333"/>
      <c r="Z1" s="3333"/>
      <c r="AA1" s="3333"/>
      <c r="AB1" s="3333"/>
      <c r="AD1" s="3332" t="s">
        <v>1155</v>
      </c>
      <c r="AE1" s="3333"/>
      <c r="AF1" s="3333"/>
      <c r="AG1" s="3333"/>
      <c r="AH1" s="3333"/>
    </row>
    <row r="2" spans="1:34" s="1450" customFormat="1" ht="13.9"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3.5">
      <c r="A3" s="2939" t="s">
        <v>3018</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3.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3017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3019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ht="13.15">
      <c r="A6" s="1464" t="s">
        <v>3014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3015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ht="13.15">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ht="13.15">
      <c r="A10" s="1464" t="s">
        <v>154</v>
      </c>
      <c r="B10" s="1472">
        <v>392</v>
      </c>
      <c r="C10" s="1472">
        <v>302</v>
      </c>
      <c r="D10" s="1472">
        <f>C10</f>
        <v>302</v>
      </c>
      <c r="E10" s="1472">
        <v>553</v>
      </c>
      <c r="F10" s="1473">
        <v>266</v>
      </c>
      <c r="G10" s="3338">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35"/>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35"/>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1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36"/>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34">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35"/>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35"/>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36"/>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34">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35"/>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1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35"/>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1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36"/>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39">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40"/>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40"/>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41"/>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34">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35"/>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35"/>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15" thickBot="1">
      <c r="A29" s="1464" t="s">
        <v>1170</v>
      </c>
      <c r="B29" s="1480">
        <f>B28/(1+N28)</f>
        <v>275.19025476197027</v>
      </c>
      <c r="C29" s="1516">
        <v>232</v>
      </c>
      <c r="D29" s="1516">
        <f t="shared" si="35"/>
        <v>232</v>
      </c>
      <c r="E29" s="1480">
        <f t="shared" si="46"/>
        <v>375.65990977608692</v>
      </c>
      <c r="F29" s="1480">
        <f t="shared" si="46"/>
        <v>214.12518283971252</v>
      </c>
      <c r="G29" s="3336"/>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34">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35">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35">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1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36">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34">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35">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35">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1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36">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34">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35">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35">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36">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34">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35">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35">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1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36">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34">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35">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35">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36">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34">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35">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35">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36">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34">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35">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35">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36">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34">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35">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35">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1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36">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34">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35">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35">
        <v>2003</v>
      </c>
      <c r="H64" s="1468">
        <v>2</v>
      </c>
      <c r="I64" s="1537"/>
      <c r="J64" s="1537"/>
      <c r="K64" s="1537"/>
      <c r="L64" s="1537"/>
      <c r="X64" s="1529"/>
      <c r="Y64" s="1529"/>
      <c r="Z64" s="1529"/>
    </row>
    <row r="65" spans="1:26" ht="13.15" thickBot="1">
      <c r="A65" s="1464" t="s">
        <v>1206</v>
      </c>
      <c r="B65" s="1539">
        <f t="shared" si="71"/>
        <v>107.25</v>
      </c>
      <c r="C65" s="1539">
        <f t="shared" si="71"/>
        <v>108.75</v>
      </c>
      <c r="D65" s="1539">
        <f t="shared" si="35"/>
        <v>108.75</v>
      </c>
      <c r="E65" s="1539">
        <f t="shared" si="72"/>
        <v>105.75</v>
      </c>
      <c r="F65" s="1539">
        <f t="shared" si="72"/>
        <v>102.5</v>
      </c>
      <c r="G65" s="3336">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34">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35">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35">
        <v>2002</v>
      </c>
      <c r="H68" s="1468">
        <v>2</v>
      </c>
      <c r="I68" s="1537"/>
      <c r="J68" s="1537"/>
      <c r="K68" s="1537"/>
      <c r="L68" s="1537"/>
      <c r="X68" s="1529"/>
      <c r="Y68" s="1529"/>
      <c r="Z68" s="1529"/>
    </row>
    <row r="69" spans="1:26" s="1501" customFormat="1" ht="13.15" thickBot="1">
      <c r="A69" s="1497" t="s">
        <v>1210</v>
      </c>
      <c r="B69" s="1543">
        <f t="shared" si="73"/>
        <v>103</v>
      </c>
      <c r="C69" s="1543">
        <f t="shared" si="73"/>
        <v>104</v>
      </c>
      <c r="D69" s="1543">
        <f t="shared" si="35"/>
        <v>104</v>
      </c>
      <c r="E69" s="1543">
        <f t="shared" si="74"/>
        <v>103.5</v>
      </c>
      <c r="F69" s="1543">
        <f t="shared" si="74"/>
        <v>100.5</v>
      </c>
      <c r="G69" s="3336">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1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1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E23" sqref="E23"/>
      <selection pane="bottomLeft" activeCell="E23" sqref="E23"/>
    </sheetView>
  </sheetViews>
  <sheetFormatPr defaultColWidth="9" defaultRowHeight="12.75"/>
  <cols>
    <col min="1" max="1" width="11.46484375" style="139" customWidth="1"/>
    <col min="2" max="2" width="9.265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2985</v>
      </c>
      <c r="C1" s="3343" t="s">
        <v>2986</v>
      </c>
      <c r="D1" s="3344"/>
      <c r="E1" s="3344"/>
      <c r="F1" s="3344"/>
      <c r="G1" s="3344"/>
      <c r="H1" s="3344"/>
      <c r="I1" s="3344"/>
      <c r="J1" s="3344"/>
      <c r="K1" s="3344"/>
      <c r="L1" s="3344"/>
      <c r="M1" s="3344"/>
      <c r="N1" s="3344"/>
      <c r="O1" s="3344"/>
      <c r="P1" s="3344"/>
      <c r="Q1" s="3344"/>
      <c r="R1" s="3344"/>
      <c r="S1" s="3345"/>
      <c r="T1" s="1207" t="s">
        <v>2987</v>
      </c>
    </row>
    <row r="2" spans="1:45" s="707" customFormat="1" ht="13.15">
      <c r="A2" s="1208"/>
      <c r="B2" s="703" t="s">
        <v>2988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15">
      <c r="A5" s="1218"/>
      <c r="B5" s="1772" t="s">
        <v>2989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15">
      <c r="A7" s="1218"/>
      <c r="B7" s="1773" t="s">
        <v>2990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15">
      <c r="A9" s="1218"/>
      <c r="B9" s="1773" t="s">
        <v>2991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15">
      <c r="A11" s="1218"/>
      <c r="B11" s="1772" t="s">
        <v>2992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15">
      <c r="A13" s="1218"/>
      <c r="B13" s="1772" t="s">
        <v>2993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15">
      <c r="A15" s="1218"/>
      <c r="B15" s="1772" t="s">
        <v>2994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2995</v>
      </c>
      <c r="B17" s="2918" t="s">
        <v>2996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ht="13.15">
      <c r="A19" s="138"/>
      <c r="B19" s="168"/>
      <c r="C19" s="168"/>
      <c r="D19" s="2919" t="s">
        <v>2997</v>
      </c>
      <c r="E19" s="1795"/>
      <c r="F19" s="1795"/>
      <c r="G19" s="1795"/>
      <c r="H19" s="1283"/>
      <c r="I19" s="168"/>
      <c r="J19" s="168"/>
      <c r="K19" s="168"/>
      <c r="L19" s="168"/>
      <c r="M19" s="168"/>
      <c r="N19" s="168"/>
      <c r="O19" s="168"/>
      <c r="P19" s="168"/>
      <c r="Q19" s="168"/>
      <c r="R19" s="788"/>
      <c r="S19" s="138"/>
    </row>
    <row r="20" spans="1:45" ht="16.149999999999999" thickBot="1">
      <c r="A20" s="715" t="s">
        <v>2998</v>
      </c>
      <c r="B20" s="338" t="e">
        <f ca="1">IF(D20="——",S22,S22-F20)</f>
        <v>#REF!</v>
      </c>
      <c r="C20" s="168"/>
      <c r="D20" s="2920" t="s">
        <v>2999</v>
      </c>
      <c r="E20" s="1796"/>
      <c r="F20" s="1207" t="e">
        <f ca="1">SUMIF(INDIRECT("'"&amp;H20&amp;"'"&amp;"!A:A"),"承租人权益价值",INDIRECT("'"&amp;H20&amp;"'"&amp;"!c:c"))</f>
        <v>#REF!</v>
      </c>
      <c r="G20" s="1207" t="s">
        <v>3000</v>
      </c>
      <c r="H20" s="2921"/>
      <c r="I20" s="168"/>
      <c r="J20" s="168"/>
      <c r="K20" s="168"/>
      <c r="L20" s="168"/>
      <c r="M20" s="168"/>
      <c r="N20" s="168"/>
      <c r="O20" s="168"/>
      <c r="P20" s="168"/>
      <c r="Q20" s="168"/>
      <c r="R20" s="788"/>
      <c r="S20" s="138"/>
    </row>
    <row r="21" spans="1:45" ht="15.75">
      <c r="A21" s="715" t="s">
        <v>3001</v>
      </c>
      <c r="B21" s="338">
        <f>R22</f>
        <v>10000</v>
      </c>
      <c r="C21" s="168"/>
      <c r="D21" s="168"/>
      <c r="E21" s="168"/>
      <c r="F21" s="168"/>
      <c r="G21" s="168"/>
      <c r="H21" s="168"/>
      <c r="I21" s="168"/>
      <c r="J21" s="168"/>
      <c r="K21" s="168"/>
      <c r="L21" s="168"/>
      <c r="M21" s="168"/>
      <c r="N21" s="168"/>
      <c r="O21" s="168"/>
      <c r="P21" s="168"/>
      <c r="Q21" s="168"/>
      <c r="R21" s="788"/>
      <c r="S21" s="138"/>
    </row>
    <row r="22" spans="1:45" ht="13.15">
      <c r="A22" s="361" t="s">
        <v>3002</v>
      </c>
      <c r="B22" s="24">
        <f>SUM(B24:B10000)</f>
        <v>100</v>
      </c>
      <c r="C22" s="3126" t="s">
        <v>33</v>
      </c>
      <c r="D22" s="3127"/>
      <c r="E22" s="3127"/>
      <c r="F22" s="3127"/>
      <c r="G22" s="3127"/>
      <c r="H22" s="3127"/>
      <c r="I22" s="3127"/>
      <c r="J22" s="3127"/>
      <c r="K22" s="3127"/>
      <c r="L22" s="3127"/>
      <c r="M22" s="3127"/>
      <c r="N22" s="3127"/>
      <c r="O22" s="3127"/>
      <c r="P22" s="3127"/>
      <c r="Q22" s="3342"/>
      <c r="R22" s="716">
        <f>ROUND(S22*10000/B22,0)</f>
        <v>10000</v>
      </c>
      <c r="S22" s="24">
        <f>SUM(S24:S10000)</f>
        <v>100</v>
      </c>
    </row>
    <row r="23" spans="1:45" s="12" customFormat="1" ht="25.5">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7" t="s">
        <v>3006</v>
      </c>
      <c r="S23" s="11" t="s">
        <v>3007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15">
      <c r="A24" s="718" t="s">
        <v>3008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1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ht="13.1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ht="13.1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ht="13.1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ht="13.1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ht="13.1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ht="13.1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ht="13.1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ht="13.15">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ht="13.15">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ht="13.15">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ht="13.15">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ht="13.15">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ht="13.15">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ht="13.15">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ht="13.15">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ht="13.15">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ht="13.15">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ht="13.15">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ht="13.15">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ht="13.15">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ht="13.15">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ht="13.15">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ht="13.15">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ht="13.15">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ht="13.15">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ht="13.15">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ht="13.15">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ht="13.15">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ht="13.15">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ht="13.15">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ht="13.15">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ht="13.15">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ht="13.15">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ht="13.15">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ht="13.15">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ht="13.15">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ht="13.15">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ht="13.15">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ht="13.15">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ht="13.15">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ht="13.15">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ht="13.15">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ht="13.15">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ht="13.15">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ht="13.15">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ht="13.15">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ht="13.15">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ht="13.15">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ht="13.15">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ht="13.15">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ht="13.15">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ht="13.15">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ht="13.15">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ht="13.15">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ht="13.15">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ht="13.15">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ht="13.15">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ht="13.15">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ht="13.15">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ht="13.15">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ht="13.15">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ht="13.15">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ht="13.15">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ht="13.15">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ht="13.15">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ht="13.15">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ht="13.15">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ht="13.15">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ht="13.15">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ht="13.15">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ht="13.15">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ht="13.15">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ht="13.15">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ht="13.15">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ht="13.15">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ht="13.15">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ht="13.15">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ht="13.15">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ht="13.15">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ht="13.15">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ht="13.15">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ht="13.15">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ht="13.15">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ht="13.15">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ht="13.15">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ht="13.15">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ht="13.15">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ht="13.15">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ht="13.15">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ht="13.15">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ht="13.15">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ht="13.15">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ht="13.15">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ht="13.15">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ht="13.15">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ht="13.15">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ht="13.15">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ht="13.15">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ht="13.15">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ht="13.15">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ht="13.15">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ht="13.15">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ht="13.15">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ht="13.15">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ht="13.15">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ht="13.15">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ht="13.15">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ht="13.15">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ht="13.15">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ht="13.15">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ht="13.15">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ht="13.15">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ht="13.15">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ht="13.15">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ht="13.15">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ht="13.15">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ht="13.15">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ht="13.15">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ht="13.15">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ht="13.15">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ht="13.15">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ht="13.15">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ht="13.15">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ht="13.15">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ht="13.15">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ht="13.15">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ht="13.15">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ht="13.15">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ht="13.15">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ht="13.15">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ht="13.15">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ht="13.15">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ht="13.15">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ht="13.15">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ht="13.15">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ht="13.15">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ht="13.15">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ht="13.15">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ht="13.15">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ht="13.15">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ht="13.15">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ht="13.15">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ht="13.15">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ht="13.15">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ht="13.15">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ht="13.15">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ht="13.15">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ht="13.15">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ht="13.15">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ht="13.15">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ht="13.15">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ht="13.15">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ht="13.15">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ht="13.15">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ht="13.15">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ht="13.15">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ht="13.15">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ht="13.15">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ht="13.15">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ht="13.15">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ht="13.15">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ht="13.15">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ht="13.15">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ht="13.15">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ht="13.15">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ht="13.15">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ht="13.15">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ht="13.15">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ht="13.15">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ht="13.15">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ht="13.15">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ht="13.15">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ht="13.15">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ht="13.15">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ht="13.15">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ht="13.15">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ht="13.15">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ht="13.15">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ht="13.15">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ht="13.15">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ht="13.15">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ht="13.15">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ht="13.15">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ht="13.15">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ht="13.15">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ht="13.15">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ht="13.15">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ht="13.15">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ht="13.15">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ht="13.15">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ht="13.15">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ht="13.15">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ht="13.15">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ht="13.15">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ht="13.15">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ht="13.15">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ht="13.15">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ht="13.15">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ht="13.15">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ht="13.15">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ht="13.15">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ht="13.15">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ht="13.15">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ht="13.15">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ht="13.15">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ht="13.15">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ht="13.15">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ht="13.15">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ht="13.15">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ht="13.15">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ht="13.15">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ht="13.15">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ht="13.15">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ht="13.15">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ht="13.15">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ht="13.15">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ht="13.15">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ht="13.15">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ht="13.15">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ht="13.15">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ht="13.15">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ht="13.15">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ht="13.15">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ht="13.15">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ht="13.15">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ht="13.15">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ht="13.15">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ht="13.15">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ht="13.15">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ht="13.15">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ht="13.15">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ht="13.15">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ht="13.15">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ht="13.15">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ht="13.15">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ht="13.15">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ht="13.15">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ht="13.15">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ht="13.15">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ht="13.15">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ht="13.15">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ht="13.15">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ht="13.15">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ht="13.15">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ht="13.15">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ht="13.15">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ht="13.15">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ht="13.15">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ht="13.15">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ht="13.15">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ht="13.15">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ht="13.15">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ht="13.15">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ht="13.15">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ht="13.15">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ht="13.15">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ht="13.15">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ht="13.15">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ht="13.15">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ht="13.15">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ht="13.15">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ht="13.15">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ht="13.15">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ht="13.15">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ht="13.15">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ht="13.15">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ht="13.15">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ht="13.15">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ht="13.15">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ht="13.15">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ht="13.15">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ht="13.15">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ht="13.15">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ht="13.15">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ht="13.15">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ht="13.15">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ht="13.15">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ht="13.15">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ht="13.15">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ht="13.15">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ht="13.15">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ht="13.15">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ht="13.15">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ht="13.15">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ht="13.15">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ht="13.15">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ht="13.15">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ht="13.15">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ht="13.15">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ht="13.15">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ht="13.15">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ht="13.15">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ht="13.15">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ht="13.15">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ht="13.15">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ht="13.15">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ht="13.15">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ht="13.15">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ht="13.15">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ht="13.15">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ht="13.15">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ht="13.15">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ht="13.15">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ht="13.15">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ht="13.15">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ht="13.15">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ht="13.15">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ht="13.15">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ht="13.15">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ht="13.15">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ht="13.15">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ht="13.15">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ht="13.15">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ht="13.15">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ht="13.15">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ht="13.15">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ht="13.15">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ht="13.15">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ht="13.15">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ht="13.15">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ht="13.15">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ht="13.15">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ht="13.15">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ht="13.15">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ht="13.15">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ht="13.15">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ht="13.15">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ht="13.15">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ht="13.15">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ht="13.15">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ht="13.15">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ht="13.15">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ht="13.15">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ht="13.15">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ht="13.15">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ht="13.15">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ht="13.15">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ht="13.15">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ht="13.15">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ht="13.15">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ht="13.15">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ht="13.15">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ht="13.15">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ht="13.15">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ht="13.15">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ht="13.15">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ht="13.15">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ht="13.15">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ht="13.15">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ht="13.15">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ht="13.15">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ht="13.15">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ht="13.15">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ht="13.15">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ht="13.15">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ht="13.15">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ht="13.15">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ht="13.15">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ht="13.15">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ht="13.15">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ht="13.15">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ht="13.15">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ht="13.15">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ht="13.15">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ht="13.15">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ht="13.15">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ht="13.15">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ht="13.15">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ht="13.15">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ht="13.15">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ht="13.15">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ht="13.15">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ht="13.15">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ht="13.15">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ht="13.15">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ht="13.15">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ht="13.15">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ht="13.15">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ht="13.15">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ht="13.15">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ht="13.15">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ht="13.15">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ht="13.15">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ht="13.15">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ht="13.15">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ht="13.15">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ht="13.15">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ht="13.15">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ht="13.15">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ht="13.15">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ht="13.15">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ht="13.15">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ht="13.15">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ht="13.15">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ht="13.15">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ht="13.15">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ht="13.15">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ht="13.15">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ht="13.15">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ht="13.15">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ht="13.15">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ht="13.15">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ht="13.15">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ht="13.15">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ht="13.15">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ht="13.15">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ht="13.15">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ht="13.15">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ht="13.15">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ht="13.15">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ht="13.15">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ht="13.15">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ht="13.15">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ht="13.15">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ht="13.15">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ht="13.15">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ht="13.15">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ht="13.15">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ht="13.15">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ht="13.15">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ht="13.15">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ht="13.15">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ht="13.15">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ht="13.15">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ht="13.15">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ht="13.15">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ht="13.15">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ht="13.15">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ht="13.15">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ht="13.15">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ht="13.15">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ht="13.15">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ht="13.15">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ht="13.15">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ht="13.15">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ht="13.15">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ht="13.15">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ht="13.15">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ht="13.15">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ht="13.15">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ht="13.15">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ht="13.15">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ht="13.15">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ht="13.15">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ht="13.15">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ht="13.15">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ht="13.15">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ht="13.15">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ht="13.15">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ht="13.15">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ht="13.15">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ht="13.15">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ht="13.15">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ht="13.15">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ht="13.15">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ht="13.15">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ht="13.15">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ht="13.15">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ht="13.15">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ht="13.15">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ht="13.15">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ht="13.15">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ht="13.15">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ht="13.15">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ht="13.15">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ht="13.15">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ht="13.15">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ht="13.15">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ht="13.15">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ht="13.15">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ht="13.15">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ht="13.15">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ht="13.15">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ht="13.15">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ht="13.15">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ht="13.15">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ht="13.15">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ht="13.15">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ht="13.15">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ht="13.15">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ht="13.15">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ht="13.15">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ht="13.15">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ht="13.15">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ht="13.15">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ht="13.15">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ht="13.15">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ht="13.15">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ht="13.15">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ht="13.15">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ht="13.15">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ht="13.15">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ht="13.15">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ht="13.15">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ht="13.15">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ht="13.15">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ht="13.15">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ht="13.15">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ht="13.15">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984375" defaultRowHeight="12.75"/>
  <cols>
    <col min="1" max="1" width="9.3984375" style="313" customWidth="1"/>
    <col min="2" max="2" width="29.265625" style="295" customWidth="1"/>
    <col min="3" max="3" width="12.1328125" style="295" customWidth="1"/>
    <col min="4" max="5" width="11.265625" style="316" customWidth="1"/>
    <col min="6" max="6" width="9.46484375" style="295" customWidth="1"/>
    <col min="7" max="7" width="31.86328125" style="295" customWidth="1"/>
    <col min="8" max="254" width="9" style="295" customWidth="1"/>
    <col min="255" max="16384" width="8.3984375" style="295"/>
  </cols>
  <sheetData>
    <row r="1" spans="1:7" s="244" customFormat="1" ht="20.65">
      <c r="A1" s="240" t="s">
        <v>83</v>
      </c>
      <c r="B1" s="241"/>
      <c r="C1" s="242"/>
      <c r="D1" s="242"/>
      <c r="E1" s="242"/>
      <c r="F1" s="242"/>
      <c r="G1" s="243"/>
    </row>
    <row r="2" spans="1:7" s="244" customFormat="1" ht="18" customHeight="1">
      <c r="A2" s="245" t="s">
        <v>84</v>
      </c>
      <c r="B2" s="246">
        <f ca="1">C52</f>
        <v>33639</v>
      </c>
      <c r="C2" s="2" t="s">
        <v>133</v>
      </c>
      <c r="D2" s="243"/>
      <c r="E2" s="243"/>
      <c r="F2" s="243"/>
      <c r="G2" s="243"/>
    </row>
    <row r="3" spans="1:7" s="244" customFormat="1" ht="18" customHeight="1" thickBot="1">
      <c r="A3" s="247" t="s">
        <v>85</v>
      </c>
      <c r="B3" s="248">
        <f ca="1">ROUND(B2*10000/'数据-汇总表'!E3,0)</f>
        <v>2015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ht="13.15">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3339</v>
      </c>
      <c r="D10" s="1035">
        <f>'数据-汇总表'!E6</f>
        <v>166960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1336</v>
      </c>
      <c r="D19" s="1039">
        <f>'数据-汇总表'!E3</f>
        <v>166960</v>
      </c>
      <c r="E19" s="255">
        <f>'数据-取费表'!B31</f>
        <v>80</v>
      </c>
      <c r="F19" s="275"/>
      <c r="G19" s="1" t="s">
        <v>1074</v>
      </c>
    </row>
    <row r="20" spans="1:7" s="258" customFormat="1" ht="13.5" customHeight="1">
      <c r="A20" s="951" t="s">
        <v>1057</v>
      </c>
      <c r="B20" s="254" t="s">
        <v>104</v>
      </c>
      <c r="C20" s="276">
        <f>ROUND((C5+C19)*F20,0)</f>
        <v>439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155</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v>
      </c>
      <c r="D24" s="282"/>
      <c r="E24" s="282"/>
      <c r="F24" s="283"/>
      <c r="G24" s="284" t="s">
        <v>109</v>
      </c>
    </row>
    <row r="25" spans="1:7" s="258" customFormat="1" ht="25.5">
      <c r="A25" s="954" t="s">
        <v>793</v>
      </c>
      <c r="B25" s="259" t="s">
        <v>1058</v>
      </c>
      <c r="C25" s="1358">
        <f ca="1">ROUND(IF('数据-取费表'!B22&lt;=1,C20*F22*'数据-取费表'!B23/2,C20*(POWER((1+F22),'数据-取费表'!B23/2)-1)),0)</f>
        <v>2</v>
      </c>
      <c r="D25" s="282"/>
      <c r="E25" s="285"/>
      <c r="F25" s="283"/>
      <c r="G25" s="286" t="s">
        <v>110</v>
      </c>
    </row>
    <row r="26" spans="1:7" s="258" customFormat="1" ht="13.15">
      <c r="A26" s="954" t="s">
        <v>795</v>
      </c>
      <c r="B26" s="259" t="s">
        <v>1060</v>
      </c>
      <c r="C26" s="282">
        <f ca="1">ROUND(IF('数据-取费表'!B22&lt;=1,F21*F22*'数据-取费表'!B23/2,F21*(POWER((1+F22),'数据-取费表'!B23/2)-1)),4)</f>
        <v>1E-4</v>
      </c>
      <c r="D26" s="282"/>
      <c r="E26" s="285"/>
      <c r="F26" s="283"/>
      <c r="G26" s="287"/>
    </row>
    <row r="27" spans="1:7" s="258" customFormat="1" ht="26.25">
      <c r="A27" s="951" t="s">
        <v>787</v>
      </c>
      <c r="B27" s="288" t="s">
        <v>112</v>
      </c>
      <c r="C27" s="289">
        <f>C28</f>
        <v>224</v>
      </c>
      <c r="D27" s="279">
        <f>C29</f>
        <v>2.0000000000000001E-4</v>
      </c>
      <c r="E27" s="280" t="s">
        <v>126</v>
      </c>
      <c r="F27" s="290">
        <f>'数据-取费表'!Q16</f>
        <v>0.1</v>
      </c>
      <c r="G27" s="291" t="s">
        <v>1069</v>
      </c>
    </row>
    <row r="28" spans="1:7" s="258" customFormat="1" ht="13.5" customHeight="1">
      <c r="A28" s="954" t="s">
        <v>794</v>
      </c>
      <c r="B28" s="292" t="s">
        <v>1062</v>
      </c>
      <c r="C28" s="293">
        <f>ROUND((C5+C19+C20)*F27*'数据-取费表'!B21/'数据-取费表'!B20,0)</f>
        <v>224</v>
      </c>
      <c r="D28" s="279"/>
      <c r="E28" s="280"/>
      <c r="F28" s="290"/>
      <c r="G28" s="291"/>
    </row>
    <row r="29" spans="1:7" s="258" customFormat="1" ht="13.5" customHeight="1">
      <c r="A29" s="954" t="s">
        <v>792</v>
      </c>
      <c r="B29" s="292" t="s">
        <v>1063</v>
      </c>
      <c r="C29" s="282">
        <f>ROUND(C21*F27*'数据-取费表'!B21/'数据-取费表'!B20,4)</f>
        <v>2.0000000000000001E-4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24573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7446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6678</v>
      </c>
      <c r="D34" s="261"/>
      <c r="E34" s="264"/>
      <c r="F34" s="301">
        <f>IF('数据-取费表'!B24=0,1,'数据-取费表'!N16)</f>
        <v>0.1</v>
      </c>
      <c r="G34" s="263" t="s">
        <v>116</v>
      </c>
    </row>
    <row r="35" spans="1:7" ht="13.5" customHeight="1">
      <c r="A35" s="954" t="s">
        <v>796</v>
      </c>
      <c r="B35" s="259" t="s">
        <v>60</v>
      </c>
      <c r="C35" s="264">
        <f>ROUND(C34*F35,0)</f>
        <v>334</v>
      </c>
      <c r="D35" s="264"/>
      <c r="E35" s="264"/>
      <c r="F35" s="303">
        <f>'数据-取费表'!B33</f>
        <v>0.05</v>
      </c>
      <c r="G35" s="263" t="s">
        <v>117</v>
      </c>
    </row>
    <row r="36" spans="1:7" ht="25.5">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334</v>
      </c>
      <c r="D37" s="261">
        <f>'数据-汇总表'!E3</f>
        <v>166960</v>
      </c>
      <c r="E37" s="293">
        <f>'数据-取费表'!B35</f>
        <v>200</v>
      </c>
      <c r="F37" s="303"/>
      <c r="G37" s="305" t="s">
        <v>119</v>
      </c>
    </row>
    <row r="38" spans="1:7" ht="13.5" customHeight="1">
      <c r="A38" s="954" t="s">
        <v>799</v>
      </c>
      <c r="B38" s="259" t="s">
        <v>63</v>
      </c>
      <c r="C38" s="264">
        <f>ROUND(C34*F38,0)</f>
        <v>100</v>
      </c>
      <c r="D38" s="264"/>
      <c r="E38" s="264"/>
      <c r="F38" s="303">
        <f>'数据-取费表'!B36</f>
        <v>1.4999999999999999E-2</v>
      </c>
      <c r="G38" s="263" t="s">
        <v>117</v>
      </c>
    </row>
    <row r="39" spans="1:7" s="258" customFormat="1" ht="13.5" customHeight="1">
      <c r="A39" s="951" t="s">
        <v>783</v>
      </c>
      <c r="B39" s="254" t="s">
        <v>104</v>
      </c>
      <c r="C39" s="276">
        <f>ROUND(C33*F20,0)</f>
        <v>149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27</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26</v>
      </c>
      <c r="D42" s="282"/>
      <c r="E42" s="282"/>
      <c r="F42" s="283"/>
      <c r="G42" s="3211" t="s">
        <v>121</v>
      </c>
    </row>
    <row r="43" spans="1:7" ht="13.5" customHeight="1">
      <c r="A43" s="954" t="s">
        <v>792</v>
      </c>
      <c r="B43" s="259" t="s">
        <v>1064</v>
      </c>
      <c r="C43" s="282">
        <f ca="1">ROUND(IF('数据-取费表'!B22&lt;=1,C39*F22*'数据-取费表'!B21/2,C39*(POWER((1+F22),'数据-取费表'!B21/2)-1)),0)</f>
        <v>1</v>
      </c>
      <c r="D43" s="282"/>
      <c r="E43" s="282"/>
      <c r="F43" s="283"/>
      <c r="G43" s="3212"/>
    </row>
    <row r="44" spans="1:7" ht="13.5" customHeight="1">
      <c r="A44" s="954" t="s">
        <v>793</v>
      </c>
      <c r="B44" s="259" t="s">
        <v>1066</v>
      </c>
      <c r="C44" s="282">
        <f ca="1">ROUND(IF('数据-取费表'!B22&lt;=1,C40*F22*'数据-取费表'!B21/2,C40*(POWER((1+F22),'数据-取费表'!B21/2)-1)),4)</f>
        <v>1E-4</v>
      </c>
      <c r="D44" s="282"/>
      <c r="E44" s="282"/>
      <c r="F44" s="283"/>
      <c r="G44" s="3213"/>
    </row>
    <row r="45" spans="1:7" s="258" customFormat="1" ht="13.5" customHeight="1">
      <c r="A45" s="951" t="s">
        <v>786</v>
      </c>
      <c r="B45" s="288" t="s">
        <v>112</v>
      </c>
      <c r="C45" s="289">
        <f>C46</f>
        <v>760</v>
      </c>
      <c r="D45" s="279">
        <f>C47</f>
        <v>2E-3</v>
      </c>
      <c r="E45" s="280" t="s">
        <v>129</v>
      </c>
      <c r="F45" s="290"/>
      <c r="G45" s="291" t="s">
        <v>1072</v>
      </c>
    </row>
    <row r="46" spans="1:7" s="258" customFormat="1" ht="13.5" customHeight="1">
      <c r="A46" s="954" t="s">
        <v>794</v>
      </c>
      <c r="B46" s="292" t="s">
        <v>1065</v>
      </c>
      <c r="C46" s="293">
        <f>ROUND((C33+C39)*F27,0)</f>
        <v>760</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9066</v>
      </c>
      <c r="D49" s="276"/>
      <c r="E49" s="276"/>
      <c r="F49" s="308"/>
      <c r="G49" s="278" t="s">
        <v>1073</v>
      </c>
    </row>
    <row r="50" spans="1:7" s="302" customFormat="1" ht="25.5">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9066</v>
      </c>
      <c r="D51" s="276"/>
      <c r="E51" s="276"/>
      <c r="F51" s="308"/>
      <c r="G51" s="278" t="s">
        <v>64</v>
      </c>
    </row>
    <row r="52" spans="1:7" s="252" customFormat="1" ht="16.149999999999999" thickBot="1">
      <c r="A52" s="309" t="s">
        <v>65</v>
      </c>
      <c r="B52" s="310"/>
      <c r="C52" s="311">
        <f ca="1">C31+C51</f>
        <v>33639</v>
      </c>
      <c r="D52" s="310"/>
      <c r="E52" s="310"/>
      <c r="F52" s="310"/>
      <c r="G52" s="312"/>
    </row>
    <row r="55" spans="1:7" ht="15">
      <c r="B55" s="314" t="s">
        <v>66</v>
      </c>
      <c r="C55" s="315"/>
    </row>
    <row r="56" spans="1:7" ht="13.15">
      <c r="B56" s="317" t="s">
        <v>67</v>
      </c>
      <c r="C56" s="318">
        <f ca="1">ROUND(C51/C52,3)</f>
        <v>0.27</v>
      </c>
    </row>
    <row r="57" spans="1:7" ht="13.15">
      <c r="B57" s="317" t="s">
        <v>68</v>
      </c>
      <c r="C57" s="319">
        <f ca="1">1-C56</f>
        <v>0.73</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59765625" style="855" customWidth="1"/>
    <col min="2" max="5" width="10.265625" style="813" customWidth="1"/>
    <col min="6" max="6" width="9" style="813"/>
    <col min="7" max="8" width="9" style="828"/>
    <col min="9" max="16384" width="9" style="813"/>
  </cols>
  <sheetData>
    <row r="1" spans="1:19">
      <c r="A1" s="3346" t="s">
        <v>156</v>
      </c>
      <c r="B1" s="3346"/>
      <c r="C1" s="3346"/>
      <c r="D1" s="3346"/>
      <c r="E1" s="3346"/>
      <c r="F1" s="334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3.9" thickBot="1">
      <c r="A2" s="3347" t="s">
        <v>169</v>
      </c>
      <c r="B2" s="3347"/>
      <c r="C2" s="3347"/>
      <c r="D2" s="3347"/>
      <c r="E2" s="3347"/>
      <c r="F2" s="334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59765625" style="855" customWidth="1"/>
    <col min="2" max="2" width="10.265625" style="813" customWidth="1"/>
  </cols>
  <sheetData>
    <row r="1" spans="1:6">
      <c r="A1" s="3346" t="s">
        <v>871</v>
      </c>
      <c r="B1" s="3346"/>
    </row>
    <row r="2" spans="1:6" ht="13.9" thickBot="1">
      <c r="A2" s="1060"/>
      <c r="B2" s="1060"/>
    </row>
    <row r="3" spans="1:6" ht="13.9" thickBot="1">
      <c r="A3" s="1060"/>
      <c r="B3" s="1060"/>
      <c r="C3" s="1064" t="s">
        <v>874</v>
      </c>
      <c r="D3" s="1064" t="s">
        <v>875</v>
      </c>
      <c r="E3" s="1064" t="s">
        <v>876</v>
      </c>
      <c r="F3" s="1064" t="s">
        <v>877</v>
      </c>
    </row>
    <row r="4" spans="1:6" ht="13.9" thickBot="1">
      <c r="A4" s="1062" t="s">
        <v>872</v>
      </c>
      <c r="B4" s="1063" t="s">
        <v>873</v>
      </c>
      <c r="C4" s="1064"/>
      <c r="D4" s="1064"/>
      <c r="E4" s="1064"/>
      <c r="F4" s="1064"/>
    </row>
    <row r="5" spans="1:6" ht="13.9" thickBot="1">
      <c r="A5" s="840" t="s">
        <v>878</v>
      </c>
      <c r="B5" s="841" t="s">
        <v>879</v>
      </c>
      <c r="C5" s="1065">
        <v>8.8999999999999996E-2</v>
      </c>
      <c r="D5" s="1065">
        <v>7.3999999999999996E-2</v>
      </c>
      <c r="E5" s="1065">
        <v>7.4999999999999997E-2</v>
      </c>
      <c r="F5" s="1066">
        <v>0.1</v>
      </c>
    </row>
    <row r="6" spans="1:6" ht="13.9" thickBot="1">
      <c r="A6" s="840" t="s">
        <v>212</v>
      </c>
      <c r="B6" s="834" t="s">
        <v>880</v>
      </c>
      <c r="C6" s="1067">
        <v>0.1</v>
      </c>
      <c r="D6" s="1067">
        <v>9.0999999999999998E-2</v>
      </c>
      <c r="E6" s="1067">
        <v>9.0999999999999998E-2</v>
      </c>
      <c r="F6" s="1068">
        <v>0.1</v>
      </c>
    </row>
    <row r="7" spans="1:6" ht="13.9" thickBot="1">
      <c r="A7" s="840" t="s">
        <v>212</v>
      </c>
      <c r="B7" s="844" t="s">
        <v>201</v>
      </c>
      <c r="C7" s="1067">
        <v>8.5999999999999993E-2</v>
      </c>
      <c r="D7" s="1067">
        <v>9.6000000000000002E-2</v>
      </c>
      <c r="E7" s="1067">
        <v>7.5999999999999998E-2</v>
      </c>
      <c r="F7" s="1068">
        <v>0.1</v>
      </c>
    </row>
    <row r="8" spans="1:6" ht="13.9" thickBot="1">
      <c r="A8" s="840" t="s">
        <v>212</v>
      </c>
      <c r="B8" s="834" t="s">
        <v>213</v>
      </c>
      <c r="C8" s="1067">
        <v>9.9000000000000005E-2</v>
      </c>
      <c r="D8" s="1067">
        <v>9.8000000000000004E-2</v>
      </c>
      <c r="E8" s="1067">
        <v>9.8000000000000004E-2</v>
      </c>
      <c r="F8" s="1068">
        <v>0.1</v>
      </c>
    </row>
    <row r="9" spans="1:6" ht="13.9" thickBot="1">
      <c r="A9" s="850" t="s">
        <v>212</v>
      </c>
      <c r="B9" s="845" t="s">
        <v>225</v>
      </c>
      <c r="C9" s="1069">
        <v>0.05</v>
      </c>
      <c r="D9" s="1077"/>
      <c r="E9" s="1077"/>
      <c r="F9" s="1078"/>
    </row>
    <row r="10" spans="1:6" ht="13.9" thickBot="1">
      <c r="A10" s="840" t="s">
        <v>269</v>
      </c>
      <c r="B10" s="841" t="s">
        <v>881</v>
      </c>
      <c r="C10" s="1065">
        <v>8.8999999999999996E-2</v>
      </c>
      <c r="D10" s="1065">
        <v>7.2999999999999995E-2</v>
      </c>
      <c r="E10" s="1065">
        <v>8.2000000000000003E-2</v>
      </c>
      <c r="F10" s="1066">
        <v>0.1</v>
      </c>
    </row>
    <row r="11" spans="1:6" ht="13.9" thickBot="1">
      <c r="A11" s="840" t="s">
        <v>269</v>
      </c>
      <c r="B11" s="844" t="s">
        <v>188</v>
      </c>
      <c r="C11" s="1067">
        <v>8.8999999999999996E-2</v>
      </c>
      <c r="D11" s="1067">
        <v>7.2999999999999995E-2</v>
      </c>
      <c r="E11" s="1067">
        <v>8.2000000000000003E-2</v>
      </c>
      <c r="F11" s="1068">
        <v>0.1</v>
      </c>
    </row>
    <row r="12" spans="1:6" ht="13.9" thickBot="1">
      <c r="A12" s="840" t="s">
        <v>269</v>
      </c>
      <c r="B12" s="844" t="s">
        <v>138</v>
      </c>
      <c r="C12" s="1067">
        <v>6.0999999999999999E-2</v>
      </c>
      <c r="D12" s="1067">
        <v>7.0999999999999994E-2</v>
      </c>
      <c r="E12" s="1067">
        <v>9.6000000000000002E-2</v>
      </c>
      <c r="F12" s="1068">
        <v>0.1</v>
      </c>
    </row>
    <row r="13" spans="1:6" ht="13.9" thickBot="1">
      <c r="A13" s="840" t="s">
        <v>269</v>
      </c>
      <c r="B13" s="844" t="s">
        <v>214</v>
      </c>
      <c r="C13" s="1067">
        <v>6.9000000000000006E-2</v>
      </c>
      <c r="D13" s="1067">
        <v>6.5000000000000002E-2</v>
      </c>
      <c r="E13" s="1067">
        <v>6.6000000000000003E-2</v>
      </c>
      <c r="F13" s="1068">
        <v>0.1</v>
      </c>
    </row>
    <row r="14" spans="1:6" ht="13.9" thickBot="1">
      <c r="A14" s="840" t="s">
        <v>269</v>
      </c>
      <c r="B14" s="844" t="s">
        <v>226</v>
      </c>
      <c r="C14" s="1067">
        <v>0.1</v>
      </c>
      <c r="D14" s="1067">
        <v>6.5000000000000002E-2</v>
      </c>
      <c r="E14" s="1067">
        <v>7.0000000000000007E-2</v>
      </c>
      <c r="F14" s="1068">
        <v>0.1</v>
      </c>
    </row>
    <row r="15" spans="1:6" ht="13.9" thickBot="1">
      <c r="A15" s="840" t="s">
        <v>269</v>
      </c>
      <c r="B15" s="844" t="s">
        <v>237</v>
      </c>
      <c r="C15" s="1067">
        <v>9.8000000000000004E-2</v>
      </c>
      <c r="D15" s="1067">
        <v>8.8999999999999996E-2</v>
      </c>
      <c r="E15" s="1067">
        <v>8.8999999999999996E-2</v>
      </c>
      <c r="F15" s="1068">
        <v>0.1</v>
      </c>
    </row>
    <row r="16" spans="1:6" ht="13.9" thickBot="1">
      <c r="A16" s="840" t="s">
        <v>269</v>
      </c>
      <c r="B16" s="844" t="s">
        <v>248</v>
      </c>
      <c r="C16" s="1067">
        <v>7.0000000000000007E-2</v>
      </c>
      <c r="D16" s="1067">
        <v>9.2999999999999999E-2</v>
      </c>
      <c r="E16" s="1067">
        <v>9.6000000000000002E-2</v>
      </c>
      <c r="F16" s="1068">
        <v>0.1</v>
      </c>
    </row>
    <row r="17" spans="1:6" ht="13.9" thickBot="1">
      <c r="A17" s="840" t="s">
        <v>269</v>
      </c>
      <c r="B17" s="844" t="s">
        <v>259</v>
      </c>
      <c r="C17" s="1067">
        <v>9.5000000000000001E-2</v>
      </c>
      <c r="D17" s="1067">
        <v>0.1</v>
      </c>
      <c r="E17" s="1067">
        <v>0.1</v>
      </c>
      <c r="F17" s="1079"/>
    </row>
    <row r="18" spans="1:6" ht="13.9" thickBot="1">
      <c r="A18" s="840" t="s">
        <v>269</v>
      </c>
      <c r="B18" s="844" t="s">
        <v>271</v>
      </c>
      <c r="C18" s="1067">
        <v>7.3999999999999996E-2</v>
      </c>
      <c r="D18" s="1067">
        <v>9.9000000000000005E-2</v>
      </c>
      <c r="E18" s="1067">
        <v>0.1</v>
      </c>
      <c r="F18" s="1079"/>
    </row>
    <row r="19" spans="1:6" ht="13.9" thickBot="1">
      <c r="A19" s="840" t="s">
        <v>269</v>
      </c>
      <c r="B19" s="844" t="s">
        <v>281</v>
      </c>
      <c r="C19" s="1067">
        <v>9.9000000000000005E-2</v>
      </c>
      <c r="D19" s="1067">
        <v>7.5999999999999998E-2</v>
      </c>
      <c r="E19" s="1067">
        <v>8.6999999999999994E-2</v>
      </c>
      <c r="F19" s="1079"/>
    </row>
    <row r="20" spans="1:6" ht="13.9" thickBot="1">
      <c r="A20" s="840" t="s">
        <v>269</v>
      </c>
      <c r="B20" s="844" t="s">
        <v>291</v>
      </c>
      <c r="C20" s="1067">
        <v>9.8000000000000004E-2</v>
      </c>
      <c r="D20" s="1067">
        <v>8.5000000000000006E-2</v>
      </c>
      <c r="E20" s="1067">
        <v>8.2000000000000003E-2</v>
      </c>
      <c r="F20" s="1079"/>
    </row>
    <row r="21" spans="1:6" ht="13.9" thickBot="1">
      <c r="A21" s="840" t="s">
        <v>269</v>
      </c>
      <c r="B21" s="844" t="s">
        <v>301</v>
      </c>
      <c r="C21" s="1067">
        <v>6.6000000000000003E-2</v>
      </c>
      <c r="D21" s="1067">
        <v>6.4000000000000001E-2</v>
      </c>
      <c r="E21" s="1067">
        <v>6.5000000000000002E-2</v>
      </c>
      <c r="F21" s="1079"/>
    </row>
    <row r="22" spans="1:6" ht="13.9" thickBot="1">
      <c r="A22" s="840" t="s">
        <v>269</v>
      </c>
      <c r="B22" s="844" t="s">
        <v>882</v>
      </c>
      <c r="C22" s="1067">
        <v>0.08</v>
      </c>
      <c r="D22" s="1067">
        <v>9.8000000000000004E-2</v>
      </c>
      <c r="E22" s="1067">
        <v>9.8000000000000004E-2</v>
      </c>
      <c r="F22" s="1079"/>
    </row>
    <row r="23" spans="1:6" ht="13.9" thickBot="1">
      <c r="A23" s="840" t="s">
        <v>269</v>
      </c>
      <c r="B23" s="844" t="s">
        <v>322</v>
      </c>
      <c r="C23" s="1067">
        <v>9.9000000000000005E-2</v>
      </c>
      <c r="D23" s="1067">
        <v>9.8000000000000004E-2</v>
      </c>
      <c r="E23" s="1067">
        <v>9.0999999999999998E-2</v>
      </c>
      <c r="F23" s="1079"/>
    </row>
    <row r="24" spans="1:6" ht="13.9" thickBot="1">
      <c r="A24" s="840" t="s">
        <v>269</v>
      </c>
      <c r="B24" s="844" t="s">
        <v>333</v>
      </c>
      <c r="C24" s="1067">
        <v>8.8999999999999996E-2</v>
      </c>
      <c r="D24" s="1067">
        <v>9.7000000000000003E-2</v>
      </c>
      <c r="E24" s="1067">
        <v>7.0000000000000007E-2</v>
      </c>
      <c r="F24" s="1079"/>
    </row>
    <row r="25" spans="1:6" ht="13.9" thickBot="1">
      <c r="A25" s="840" t="s">
        <v>269</v>
      </c>
      <c r="B25" s="844" t="s">
        <v>343</v>
      </c>
      <c r="C25" s="1067">
        <v>8.8999999999999996E-2</v>
      </c>
      <c r="D25" s="1067">
        <v>0.1</v>
      </c>
      <c r="E25" s="1067">
        <v>8.1000000000000003E-2</v>
      </c>
      <c r="F25" s="1079"/>
    </row>
    <row r="26" spans="1:6" ht="13.9" thickBot="1">
      <c r="A26" s="840" t="s">
        <v>269</v>
      </c>
      <c r="B26" s="844" t="s">
        <v>353</v>
      </c>
      <c r="C26" s="1080"/>
      <c r="D26" s="1067">
        <v>9.6000000000000002E-2</v>
      </c>
      <c r="E26" s="1067">
        <v>9.2999999999999999E-2</v>
      </c>
      <c r="F26" s="1079"/>
    </row>
    <row r="27" spans="1:6" ht="13.9" thickBot="1">
      <c r="A27" s="840" t="s">
        <v>269</v>
      </c>
      <c r="B27" s="844" t="s">
        <v>363</v>
      </c>
      <c r="C27" s="1080"/>
      <c r="D27" s="1067">
        <v>7.5999999999999998E-2</v>
      </c>
      <c r="E27" s="1067">
        <v>9.1999999999999998E-2</v>
      </c>
      <c r="F27" s="1079"/>
    </row>
    <row r="28" spans="1:6" ht="13.9" thickBot="1">
      <c r="A28" s="850" t="s">
        <v>269</v>
      </c>
      <c r="B28" s="845" t="s">
        <v>373</v>
      </c>
      <c r="C28" s="1077"/>
      <c r="D28" s="1069">
        <v>7.5999999999999998E-2</v>
      </c>
      <c r="E28" s="1069">
        <v>9.1999999999999998E-2</v>
      </c>
      <c r="F28" s="1078"/>
    </row>
    <row r="29" spans="1:6" ht="13.9" thickBot="1">
      <c r="A29" s="840" t="s">
        <v>442</v>
      </c>
      <c r="B29" s="841" t="s">
        <v>883</v>
      </c>
      <c r="C29" s="1065">
        <v>6.4000000000000001E-2</v>
      </c>
      <c r="D29" s="1065">
        <v>6.5000000000000002E-2</v>
      </c>
      <c r="E29" s="1065">
        <v>6.9000000000000006E-2</v>
      </c>
      <c r="F29" s="1066">
        <v>0.1</v>
      </c>
    </row>
    <row r="30" spans="1:6" ht="13.9" thickBot="1">
      <c r="A30" s="840" t="s">
        <v>442</v>
      </c>
      <c r="B30" s="844" t="s">
        <v>189</v>
      </c>
      <c r="C30" s="1067">
        <v>6.4000000000000001E-2</v>
      </c>
      <c r="D30" s="1067">
        <v>9.9000000000000005E-2</v>
      </c>
      <c r="E30" s="1067">
        <v>0.1</v>
      </c>
      <c r="F30" s="1068">
        <v>0.1</v>
      </c>
    </row>
    <row r="31" spans="1:6" ht="13.9" thickBot="1">
      <c r="A31" s="840" t="s">
        <v>442</v>
      </c>
      <c r="B31" s="844" t="s">
        <v>202</v>
      </c>
      <c r="C31" s="1067">
        <v>0.1</v>
      </c>
      <c r="D31" s="1067">
        <v>9.5000000000000001E-2</v>
      </c>
      <c r="E31" s="1067">
        <v>8.8999999999999996E-2</v>
      </c>
      <c r="F31" s="1068">
        <v>0.1</v>
      </c>
    </row>
    <row r="32" spans="1:6" ht="13.9" thickBot="1">
      <c r="A32" s="840" t="s">
        <v>442</v>
      </c>
      <c r="B32" s="844" t="s">
        <v>215</v>
      </c>
      <c r="C32" s="1067">
        <v>0.05</v>
      </c>
      <c r="D32" s="1067">
        <v>0.05</v>
      </c>
      <c r="E32" s="1067">
        <v>8.7999999999999995E-2</v>
      </c>
      <c r="F32" s="1068">
        <v>0.1</v>
      </c>
    </row>
    <row r="33" spans="1:6" ht="13.9" thickBot="1">
      <c r="A33" s="840" t="s">
        <v>442</v>
      </c>
      <c r="B33" s="844" t="s">
        <v>227</v>
      </c>
      <c r="C33" s="1067">
        <v>7.4999999999999997E-2</v>
      </c>
      <c r="D33" s="1067">
        <v>9.4E-2</v>
      </c>
      <c r="E33" s="1067">
        <v>9.7000000000000003E-2</v>
      </c>
      <c r="F33" s="1068">
        <v>0.1</v>
      </c>
    </row>
    <row r="34" spans="1:6" ht="13.9" thickBot="1">
      <c r="A34" s="840" t="s">
        <v>442</v>
      </c>
      <c r="B34" s="844" t="s">
        <v>238</v>
      </c>
      <c r="C34" s="1067">
        <v>9.8000000000000004E-2</v>
      </c>
      <c r="D34" s="1067">
        <v>8.5999999999999993E-2</v>
      </c>
      <c r="E34" s="1067">
        <v>9.7000000000000003E-2</v>
      </c>
      <c r="F34" s="1068">
        <v>0.1</v>
      </c>
    </row>
    <row r="35" spans="1:6" ht="13.9" thickBot="1">
      <c r="A35" s="840" t="s">
        <v>442</v>
      </c>
      <c r="B35" s="844" t="s">
        <v>249</v>
      </c>
      <c r="C35" s="1067">
        <v>5.8999999999999997E-2</v>
      </c>
      <c r="D35" s="1067">
        <v>6.5000000000000002E-2</v>
      </c>
      <c r="E35" s="1067">
        <v>7.0000000000000007E-2</v>
      </c>
      <c r="F35" s="1068">
        <v>0.1</v>
      </c>
    </row>
    <row r="36" spans="1:6" ht="13.9" thickBot="1">
      <c r="A36" s="840" t="s">
        <v>442</v>
      </c>
      <c r="B36" s="844" t="s">
        <v>260</v>
      </c>
      <c r="C36" s="1067">
        <v>6.3E-2</v>
      </c>
      <c r="D36" s="1067">
        <v>0.1</v>
      </c>
      <c r="E36" s="1067">
        <v>0.1</v>
      </c>
      <c r="F36" s="1068">
        <v>0.1</v>
      </c>
    </row>
    <row r="37" spans="1:6" ht="13.9" thickBot="1">
      <c r="A37" s="840" t="s">
        <v>442</v>
      </c>
      <c r="B37" s="844" t="s">
        <v>272</v>
      </c>
      <c r="C37" s="1067">
        <v>7.3999999999999996E-2</v>
      </c>
      <c r="D37" s="1067">
        <v>0.1</v>
      </c>
      <c r="E37" s="1067">
        <v>0.1</v>
      </c>
      <c r="F37" s="1068">
        <v>0.1</v>
      </c>
    </row>
    <row r="38" spans="1:6" ht="13.9" thickBot="1">
      <c r="A38" s="840" t="s">
        <v>442</v>
      </c>
      <c r="B38" s="844" t="s">
        <v>282</v>
      </c>
      <c r="C38" s="1067">
        <v>0.1</v>
      </c>
      <c r="D38" s="1067">
        <v>9.6000000000000002E-2</v>
      </c>
      <c r="E38" s="1067">
        <v>9.6000000000000002E-2</v>
      </c>
      <c r="F38" s="1079"/>
    </row>
    <row r="39" spans="1:6" ht="13.9" thickBot="1">
      <c r="A39" s="840" t="s">
        <v>442</v>
      </c>
      <c r="B39" s="844" t="s">
        <v>292</v>
      </c>
      <c r="C39" s="1067">
        <v>0.1</v>
      </c>
      <c r="D39" s="1067">
        <v>9.6000000000000002E-2</v>
      </c>
      <c r="E39" s="1067">
        <v>9.6000000000000002E-2</v>
      </c>
      <c r="F39" s="1079"/>
    </row>
    <row r="40" spans="1:6" ht="13.9" thickBot="1">
      <c r="A40" s="840" t="s">
        <v>442</v>
      </c>
      <c r="B40" s="844" t="s">
        <v>302</v>
      </c>
      <c r="C40" s="1067">
        <v>9.6000000000000002E-2</v>
      </c>
      <c r="D40" s="1067">
        <v>0.1</v>
      </c>
      <c r="E40" s="1067">
        <v>9.9000000000000005E-2</v>
      </c>
      <c r="F40" s="1079"/>
    </row>
    <row r="41" spans="1:6" ht="13.9" thickBot="1">
      <c r="A41" s="840" t="s">
        <v>442</v>
      </c>
      <c r="B41" s="844" t="s">
        <v>312</v>
      </c>
      <c r="C41" s="1067">
        <v>9.6000000000000002E-2</v>
      </c>
      <c r="D41" s="1067">
        <v>9.8000000000000004E-2</v>
      </c>
      <c r="E41" s="1067">
        <v>9.8000000000000004E-2</v>
      </c>
      <c r="F41" s="1079"/>
    </row>
    <row r="42" spans="1:6" ht="13.9" thickBot="1">
      <c r="A42" s="840" t="s">
        <v>442</v>
      </c>
      <c r="B42" s="844" t="s">
        <v>323</v>
      </c>
      <c r="C42" s="1067">
        <v>0.1</v>
      </c>
      <c r="D42" s="1067">
        <v>8.7999999999999995E-2</v>
      </c>
      <c r="E42" s="1067">
        <v>0.1</v>
      </c>
      <c r="F42" s="1079"/>
    </row>
    <row r="43" spans="1:6" ht="13.9" thickBot="1">
      <c r="A43" s="840" t="s">
        <v>442</v>
      </c>
      <c r="B43" s="844" t="s">
        <v>334</v>
      </c>
      <c r="C43" s="1067">
        <v>9.8000000000000004E-2</v>
      </c>
      <c r="D43" s="1067">
        <v>9.7000000000000003E-2</v>
      </c>
      <c r="E43" s="1067">
        <v>9.6000000000000002E-2</v>
      </c>
      <c r="F43" s="1079"/>
    </row>
    <row r="44" spans="1:6" ht="13.9" thickBot="1">
      <c r="A44" s="840" t="s">
        <v>442</v>
      </c>
      <c r="B44" s="844" t="s">
        <v>344</v>
      </c>
      <c r="C44" s="1067">
        <v>8.5999999999999993E-2</v>
      </c>
      <c r="D44" s="1067">
        <v>7.9000000000000001E-2</v>
      </c>
      <c r="E44" s="1067">
        <v>7.0999999999999994E-2</v>
      </c>
      <c r="F44" s="1079"/>
    </row>
    <row r="45" spans="1:6" ht="13.9" thickBot="1">
      <c r="A45" s="840" t="s">
        <v>442</v>
      </c>
      <c r="B45" s="844" t="s">
        <v>354</v>
      </c>
      <c r="C45" s="1067">
        <v>9.8000000000000004E-2</v>
      </c>
      <c r="D45" s="1067">
        <v>9.6000000000000002E-2</v>
      </c>
      <c r="E45" s="1067">
        <v>9.6000000000000002E-2</v>
      </c>
      <c r="F45" s="1079"/>
    </row>
    <row r="46" spans="1:6" ht="13.9" thickBot="1">
      <c r="A46" s="840" t="s">
        <v>442</v>
      </c>
      <c r="B46" s="844" t="s">
        <v>364</v>
      </c>
      <c r="C46" s="1067">
        <v>8.5999999999999993E-2</v>
      </c>
      <c r="D46" s="1067">
        <v>9.8000000000000004E-2</v>
      </c>
      <c r="E46" s="1067">
        <v>8.7999999999999995E-2</v>
      </c>
      <c r="F46" s="1079"/>
    </row>
    <row r="47" spans="1:6" ht="13.9" thickBot="1">
      <c r="A47" s="840" t="s">
        <v>442</v>
      </c>
      <c r="B47" s="844" t="s">
        <v>374</v>
      </c>
      <c r="C47" s="1067">
        <v>9.6000000000000002E-2</v>
      </c>
      <c r="D47" s="1080"/>
      <c r="E47" s="1067">
        <v>6.9000000000000006E-2</v>
      </c>
      <c r="F47" s="1079"/>
    </row>
    <row r="48" spans="1:6" ht="13.9" thickBot="1">
      <c r="A48" s="850" t="s">
        <v>442</v>
      </c>
      <c r="B48" s="845" t="s">
        <v>383</v>
      </c>
      <c r="C48" s="1069">
        <v>9.8000000000000004E-2</v>
      </c>
      <c r="D48" s="1077"/>
      <c r="E48" s="1069">
        <v>9.5000000000000001E-2</v>
      </c>
      <c r="F48" s="1078"/>
    </row>
    <row r="49" spans="1:6" ht="13.9" thickBot="1">
      <c r="A49" s="840" t="s">
        <v>137</v>
      </c>
      <c r="B49" s="841" t="s">
        <v>884</v>
      </c>
      <c r="C49" s="1065">
        <v>9.7000000000000003E-2</v>
      </c>
      <c r="D49" s="1065">
        <v>9.5000000000000001E-2</v>
      </c>
      <c r="E49" s="1065">
        <v>9.7000000000000003E-2</v>
      </c>
      <c r="F49" s="1066">
        <v>0.1</v>
      </c>
    </row>
    <row r="50" spans="1:6" ht="13.9" thickBot="1">
      <c r="A50" s="840" t="s">
        <v>137</v>
      </c>
      <c r="B50" s="834" t="s">
        <v>190</v>
      </c>
      <c r="C50" s="1067">
        <v>7.4999999999999997E-2</v>
      </c>
      <c r="D50" s="1067">
        <v>9.5000000000000001E-2</v>
      </c>
      <c r="E50" s="1067">
        <v>0.1</v>
      </c>
      <c r="F50" s="1068">
        <v>0.1</v>
      </c>
    </row>
    <row r="51" spans="1:6" ht="13.9" thickBot="1">
      <c r="A51" s="840" t="s">
        <v>137</v>
      </c>
      <c r="B51" s="834" t="s">
        <v>203</v>
      </c>
      <c r="C51" s="1067">
        <v>9.8000000000000004E-2</v>
      </c>
      <c r="D51" s="1067">
        <v>8.8999999999999996E-2</v>
      </c>
      <c r="E51" s="1067">
        <v>0.1</v>
      </c>
      <c r="F51" s="1068">
        <v>0.1</v>
      </c>
    </row>
    <row r="52" spans="1:6" ht="13.9" thickBot="1">
      <c r="A52" s="840" t="s">
        <v>137</v>
      </c>
      <c r="B52" s="834" t="s">
        <v>216</v>
      </c>
      <c r="C52" s="1067">
        <v>9.8000000000000004E-2</v>
      </c>
      <c r="D52" s="1067">
        <v>9.7000000000000003E-2</v>
      </c>
      <c r="E52" s="1067">
        <v>8.1000000000000003E-2</v>
      </c>
      <c r="F52" s="1068">
        <v>0.1</v>
      </c>
    </row>
    <row r="53" spans="1:6" ht="13.9" thickBot="1">
      <c r="A53" s="840" t="s">
        <v>137</v>
      </c>
      <c r="B53" s="834" t="s">
        <v>228</v>
      </c>
      <c r="C53" s="1067">
        <v>9.7000000000000003E-2</v>
      </c>
      <c r="D53" s="1067">
        <v>7.5999999999999998E-2</v>
      </c>
      <c r="E53" s="1067">
        <v>7.0999999999999994E-2</v>
      </c>
      <c r="F53" s="1068">
        <v>0.1</v>
      </c>
    </row>
    <row r="54" spans="1:6" ht="13.9" thickBot="1">
      <c r="A54" s="840" t="s">
        <v>137</v>
      </c>
      <c r="B54" s="834" t="s">
        <v>239</v>
      </c>
      <c r="C54" s="1067">
        <v>7.5999999999999998E-2</v>
      </c>
      <c r="D54" s="1067">
        <v>0.1</v>
      </c>
      <c r="E54" s="1067">
        <v>9.9000000000000005E-2</v>
      </c>
      <c r="F54" s="1068">
        <v>0.1</v>
      </c>
    </row>
    <row r="55" spans="1:6" ht="13.9" thickBot="1">
      <c r="A55" s="840" t="s">
        <v>137</v>
      </c>
      <c r="B55" s="834" t="s">
        <v>250</v>
      </c>
      <c r="C55" s="1067">
        <v>0.1</v>
      </c>
      <c r="D55" s="1067">
        <v>0.1</v>
      </c>
      <c r="E55" s="1067">
        <v>9.6000000000000002E-2</v>
      </c>
      <c r="F55" s="1068">
        <v>0.1</v>
      </c>
    </row>
    <row r="56" spans="1:6" ht="13.9" thickBot="1">
      <c r="A56" s="840" t="s">
        <v>137</v>
      </c>
      <c r="B56" s="834" t="s">
        <v>261</v>
      </c>
      <c r="C56" s="1067">
        <v>0.1</v>
      </c>
      <c r="D56" s="1067">
        <v>9.6000000000000002E-2</v>
      </c>
      <c r="E56" s="1067">
        <v>5.1999999999999998E-2</v>
      </c>
      <c r="F56" s="1068">
        <v>0.1</v>
      </c>
    </row>
    <row r="57" spans="1:6" ht="13.9" thickBot="1">
      <c r="A57" s="840" t="s">
        <v>137</v>
      </c>
      <c r="B57" s="834" t="s">
        <v>273</v>
      </c>
      <c r="C57" s="1067">
        <v>9.7000000000000003E-2</v>
      </c>
      <c r="D57" s="1067">
        <v>9.6000000000000002E-2</v>
      </c>
      <c r="E57" s="1067">
        <v>9.6000000000000002E-2</v>
      </c>
      <c r="F57" s="1068">
        <v>0.1</v>
      </c>
    </row>
    <row r="58" spans="1:6" ht="13.9" thickBot="1">
      <c r="A58" s="840" t="s">
        <v>137</v>
      </c>
      <c r="B58" s="834" t="s">
        <v>283</v>
      </c>
      <c r="C58" s="1067">
        <v>9.6000000000000002E-2</v>
      </c>
      <c r="D58" s="1067">
        <v>9.9000000000000005E-2</v>
      </c>
      <c r="E58" s="1067">
        <v>9.6000000000000002E-2</v>
      </c>
      <c r="F58" s="1068">
        <v>0.1</v>
      </c>
    </row>
    <row r="59" spans="1:6" ht="13.9" thickBot="1">
      <c r="A59" s="840" t="s">
        <v>137</v>
      </c>
      <c r="B59" s="834" t="s">
        <v>293</v>
      </c>
      <c r="C59" s="1067">
        <v>7.1999999999999995E-2</v>
      </c>
      <c r="D59" s="1067">
        <v>9.6000000000000002E-2</v>
      </c>
      <c r="E59" s="1067">
        <v>7.0999999999999994E-2</v>
      </c>
      <c r="F59" s="1068">
        <v>0.1</v>
      </c>
    </row>
    <row r="60" spans="1:6" ht="13.9" thickBot="1">
      <c r="A60" s="840" t="s">
        <v>137</v>
      </c>
      <c r="B60" s="834" t="s">
        <v>303</v>
      </c>
      <c r="C60" s="1067">
        <v>9.6000000000000002E-2</v>
      </c>
      <c r="D60" s="1067">
        <v>8.8999999999999996E-2</v>
      </c>
      <c r="E60" s="1067">
        <v>9.6000000000000002E-2</v>
      </c>
      <c r="F60" s="1068">
        <v>0.1</v>
      </c>
    </row>
    <row r="61" spans="1:6" ht="13.9" thickBot="1">
      <c r="A61" s="840" t="s">
        <v>137</v>
      </c>
      <c r="B61" s="834" t="s">
        <v>313</v>
      </c>
      <c r="C61" s="1067">
        <v>8.8999999999999996E-2</v>
      </c>
      <c r="D61" s="1067">
        <v>9.8000000000000004E-2</v>
      </c>
      <c r="E61" s="1067">
        <v>8.7999999999999995E-2</v>
      </c>
      <c r="F61" s="1079"/>
    </row>
    <row r="62" spans="1:6" ht="13.9" thickBot="1">
      <c r="A62" s="840" t="s">
        <v>137</v>
      </c>
      <c r="B62" s="834" t="s">
        <v>324</v>
      </c>
      <c r="C62" s="1067">
        <v>9.8000000000000004E-2</v>
      </c>
      <c r="D62" s="1067">
        <v>9.2999999999999999E-2</v>
      </c>
      <c r="E62" s="1067">
        <v>9.7000000000000003E-2</v>
      </c>
      <c r="F62" s="1079"/>
    </row>
    <row r="63" spans="1:6" ht="13.9" thickBot="1">
      <c r="A63" s="840" t="s">
        <v>137</v>
      </c>
      <c r="B63" s="834" t="s">
        <v>335</v>
      </c>
      <c r="C63" s="1067">
        <v>9.6000000000000002E-2</v>
      </c>
      <c r="D63" s="1067">
        <v>9.8000000000000004E-2</v>
      </c>
      <c r="E63" s="1067">
        <v>0.09</v>
      </c>
      <c r="F63" s="1079"/>
    </row>
    <row r="64" spans="1:6" ht="13.9" thickBot="1">
      <c r="A64" s="840" t="s">
        <v>137</v>
      </c>
      <c r="B64" s="834" t="s">
        <v>345</v>
      </c>
      <c r="C64" s="1067">
        <v>9.9000000000000005E-2</v>
      </c>
      <c r="D64" s="1067">
        <v>9.7000000000000003E-2</v>
      </c>
      <c r="E64" s="1067">
        <v>9.9000000000000005E-2</v>
      </c>
      <c r="F64" s="1079"/>
    </row>
    <row r="65" spans="1:6" ht="13.9" thickBot="1">
      <c r="A65" s="840" t="s">
        <v>137</v>
      </c>
      <c r="B65" s="834" t="s">
        <v>355</v>
      </c>
      <c r="C65" s="1067">
        <v>9.8000000000000004E-2</v>
      </c>
      <c r="D65" s="1067">
        <v>9.6000000000000002E-2</v>
      </c>
      <c r="E65" s="1067">
        <v>9.6000000000000002E-2</v>
      </c>
      <c r="F65" s="1079"/>
    </row>
    <row r="66" spans="1:6" ht="13.9" thickBot="1">
      <c r="A66" s="840" t="s">
        <v>137</v>
      </c>
      <c r="B66" s="834" t="s">
        <v>365</v>
      </c>
      <c r="C66" s="1067">
        <v>9.6000000000000002E-2</v>
      </c>
      <c r="D66" s="1067">
        <v>9.1999999999999998E-2</v>
      </c>
      <c r="E66" s="1067">
        <v>9.6000000000000002E-2</v>
      </c>
      <c r="F66" s="1079"/>
    </row>
    <row r="67" spans="1:6" ht="13.9" thickBot="1">
      <c r="A67" s="840" t="s">
        <v>137</v>
      </c>
      <c r="B67" s="834" t="s">
        <v>375</v>
      </c>
      <c r="C67" s="1067">
        <v>9.4E-2</v>
      </c>
      <c r="D67" s="1067">
        <v>0.1</v>
      </c>
      <c r="E67" s="1067">
        <v>8.7999999999999995E-2</v>
      </c>
      <c r="F67" s="1079"/>
    </row>
    <row r="68" spans="1:6" ht="13.9" thickBot="1">
      <c r="A68" s="840" t="s">
        <v>137</v>
      </c>
      <c r="B68" s="834" t="s">
        <v>384</v>
      </c>
      <c r="C68" s="1067">
        <v>0.1</v>
      </c>
      <c r="D68" s="1067">
        <v>8.7999999999999995E-2</v>
      </c>
      <c r="E68" s="1067">
        <v>9.7000000000000003E-2</v>
      </c>
      <c r="F68" s="1079"/>
    </row>
    <row r="69" spans="1:6" ht="13.9" thickBot="1">
      <c r="A69" s="840" t="s">
        <v>137</v>
      </c>
      <c r="B69" s="834" t="s">
        <v>393</v>
      </c>
      <c r="C69" s="1067">
        <v>6.4000000000000001E-2</v>
      </c>
      <c r="D69" s="1067">
        <v>0.1</v>
      </c>
      <c r="E69" s="1067">
        <v>0.1</v>
      </c>
      <c r="F69" s="1079"/>
    </row>
    <row r="70" spans="1:6" ht="13.9" thickBot="1">
      <c r="A70" s="840" t="s">
        <v>137</v>
      </c>
      <c r="B70" s="834" t="s">
        <v>401</v>
      </c>
      <c r="C70" s="1067">
        <v>9.0999999999999998E-2</v>
      </c>
      <c r="D70" s="1080"/>
      <c r="E70" s="1080"/>
      <c r="F70" s="1079"/>
    </row>
    <row r="71" spans="1:6" ht="13.9" thickBot="1">
      <c r="A71" s="840" t="s">
        <v>137</v>
      </c>
      <c r="B71" s="834" t="s">
        <v>408</v>
      </c>
      <c r="C71" s="1067">
        <v>0.1</v>
      </c>
      <c r="D71" s="1080"/>
      <c r="E71" s="1080"/>
      <c r="F71" s="1079"/>
    </row>
    <row r="72" spans="1:6" ht="25.9" thickBot="1">
      <c r="A72" s="840" t="s">
        <v>137</v>
      </c>
      <c r="B72" s="834" t="s">
        <v>885</v>
      </c>
      <c r="C72" s="1080"/>
      <c r="D72" s="1080"/>
      <c r="E72" s="1080"/>
      <c r="F72" s="1068">
        <v>0.05</v>
      </c>
    </row>
    <row r="73" spans="1:6" ht="25.9" thickBot="1">
      <c r="A73" s="840" t="s">
        <v>137</v>
      </c>
      <c r="B73" s="834" t="s">
        <v>886</v>
      </c>
      <c r="C73" s="1080"/>
      <c r="D73" s="1080"/>
      <c r="E73" s="1080"/>
      <c r="F73" s="1068">
        <v>0.05</v>
      </c>
    </row>
    <row r="74" spans="1:6" ht="25.9" thickBot="1">
      <c r="A74" s="840" t="s">
        <v>137</v>
      </c>
      <c r="B74" s="834" t="s">
        <v>887</v>
      </c>
      <c r="C74" s="1080"/>
      <c r="D74" s="1080"/>
      <c r="E74" s="1080"/>
      <c r="F74" s="1068">
        <v>0.05</v>
      </c>
    </row>
    <row r="75" spans="1:6" ht="25.9" thickBot="1">
      <c r="A75" s="850" t="s">
        <v>137</v>
      </c>
      <c r="B75" s="846" t="s">
        <v>888</v>
      </c>
      <c r="C75" s="1077"/>
      <c r="D75" s="1077"/>
      <c r="E75" s="1077"/>
      <c r="F75" s="1070">
        <v>0.05</v>
      </c>
    </row>
    <row r="76" spans="1:6" ht="13.9" thickBot="1">
      <c r="A76" s="840" t="s">
        <v>523</v>
      </c>
      <c r="B76" s="841" t="s">
        <v>889</v>
      </c>
      <c r="C76" s="1065">
        <v>0.1</v>
      </c>
      <c r="D76" s="1065">
        <v>0.1</v>
      </c>
      <c r="E76" s="1065">
        <v>0.1</v>
      </c>
      <c r="F76" s="1066">
        <v>0.1</v>
      </c>
    </row>
    <row r="77" spans="1:6" ht="13.9" thickBot="1">
      <c r="A77" s="840" t="s">
        <v>523</v>
      </c>
      <c r="B77" s="834" t="s">
        <v>191</v>
      </c>
      <c r="C77" s="1067">
        <v>8.7999999999999995E-2</v>
      </c>
      <c r="D77" s="1067">
        <v>8.6999999999999994E-2</v>
      </c>
      <c r="E77" s="1067">
        <v>7.9000000000000001E-2</v>
      </c>
      <c r="F77" s="1068">
        <v>0.1</v>
      </c>
    </row>
    <row r="78" spans="1:6" ht="13.9" thickBot="1">
      <c r="A78" s="840" t="s">
        <v>523</v>
      </c>
      <c r="B78" s="834" t="s">
        <v>204</v>
      </c>
      <c r="C78" s="1067">
        <v>8.6999999999999994E-2</v>
      </c>
      <c r="D78" s="1067">
        <v>8.4000000000000005E-2</v>
      </c>
      <c r="E78" s="1067">
        <v>9.6000000000000002E-2</v>
      </c>
      <c r="F78" s="1068">
        <v>0.1</v>
      </c>
    </row>
    <row r="79" spans="1:6" ht="13.9" thickBot="1">
      <c r="A79" s="840" t="s">
        <v>523</v>
      </c>
      <c r="B79" s="834" t="s">
        <v>217</v>
      </c>
      <c r="C79" s="1067">
        <v>9.8000000000000004E-2</v>
      </c>
      <c r="D79" s="1067">
        <v>9.8000000000000004E-2</v>
      </c>
      <c r="E79" s="1067">
        <v>9.0999999999999998E-2</v>
      </c>
      <c r="F79" s="1068">
        <v>0.1</v>
      </c>
    </row>
    <row r="80" spans="1:6" ht="13.9" thickBot="1">
      <c r="A80" s="840" t="s">
        <v>523</v>
      </c>
      <c r="B80" s="834" t="s">
        <v>229</v>
      </c>
      <c r="C80" s="1067">
        <v>9.6000000000000002E-2</v>
      </c>
      <c r="D80" s="1067">
        <v>9.6000000000000002E-2</v>
      </c>
      <c r="E80" s="1067">
        <v>0.1</v>
      </c>
      <c r="F80" s="1068">
        <v>0.1</v>
      </c>
    </row>
    <row r="81" spans="1:6" ht="13.9" thickBot="1">
      <c r="A81" s="840" t="s">
        <v>523</v>
      </c>
      <c r="B81" s="834" t="s">
        <v>240</v>
      </c>
      <c r="C81" s="1067">
        <v>9.9000000000000005E-2</v>
      </c>
      <c r="D81" s="1067">
        <v>9.9000000000000005E-2</v>
      </c>
      <c r="E81" s="1067">
        <v>9.8000000000000004E-2</v>
      </c>
      <c r="F81" s="1068">
        <v>0.1</v>
      </c>
    </row>
    <row r="82" spans="1:6" ht="13.9" thickBot="1">
      <c r="A82" s="840" t="s">
        <v>523</v>
      </c>
      <c r="B82" s="834" t="s">
        <v>251</v>
      </c>
      <c r="C82" s="1067">
        <v>9.9000000000000005E-2</v>
      </c>
      <c r="D82" s="1067">
        <v>9.9000000000000005E-2</v>
      </c>
      <c r="E82" s="1067">
        <v>9.7000000000000003E-2</v>
      </c>
      <c r="F82" s="1068">
        <v>0.1</v>
      </c>
    </row>
    <row r="83" spans="1:6" ht="13.9" thickBot="1">
      <c r="A83" s="840" t="s">
        <v>523</v>
      </c>
      <c r="B83" s="834" t="s">
        <v>262</v>
      </c>
      <c r="C83" s="1067">
        <v>9.8000000000000004E-2</v>
      </c>
      <c r="D83" s="1067">
        <v>9.8000000000000004E-2</v>
      </c>
      <c r="E83" s="1067">
        <v>9.8000000000000004E-2</v>
      </c>
      <c r="F83" s="1068">
        <v>0.1</v>
      </c>
    </row>
    <row r="84" spans="1:6" ht="13.9" thickBot="1">
      <c r="A84" s="840" t="s">
        <v>523</v>
      </c>
      <c r="B84" s="834" t="s">
        <v>274</v>
      </c>
      <c r="C84" s="1067">
        <v>9.9000000000000005E-2</v>
      </c>
      <c r="D84" s="1067">
        <v>9.9000000000000005E-2</v>
      </c>
      <c r="E84" s="1067">
        <v>9.9000000000000005E-2</v>
      </c>
      <c r="F84" s="1068">
        <v>0.1</v>
      </c>
    </row>
    <row r="85" spans="1:6" ht="13.9" thickBot="1">
      <c r="A85" s="840" t="s">
        <v>523</v>
      </c>
      <c r="B85" s="834" t="s">
        <v>284</v>
      </c>
      <c r="C85" s="1067">
        <v>9.9000000000000005E-2</v>
      </c>
      <c r="D85" s="1067">
        <v>9.9000000000000005E-2</v>
      </c>
      <c r="E85" s="1067">
        <v>9.9000000000000005E-2</v>
      </c>
      <c r="F85" s="1068">
        <v>0.1</v>
      </c>
    </row>
    <row r="86" spans="1:6" ht="13.9" thickBot="1">
      <c r="A86" s="840" t="s">
        <v>523</v>
      </c>
      <c r="B86" s="834" t="s">
        <v>294</v>
      </c>
      <c r="C86" s="1067">
        <v>0.1</v>
      </c>
      <c r="D86" s="1067">
        <v>0.1</v>
      </c>
      <c r="E86" s="1067">
        <v>7.6999999999999999E-2</v>
      </c>
      <c r="F86" s="1068">
        <v>0.1</v>
      </c>
    </row>
    <row r="87" spans="1:6" ht="13.9" thickBot="1">
      <c r="A87" s="840" t="s">
        <v>523</v>
      </c>
      <c r="B87" s="834" t="s">
        <v>304</v>
      </c>
      <c r="C87" s="1067">
        <v>0.1</v>
      </c>
      <c r="D87" s="1067">
        <v>0.1</v>
      </c>
      <c r="E87" s="1067">
        <v>9.8000000000000004E-2</v>
      </c>
      <c r="F87" s="1079"/>
    </row>
    <row r="88" spans="1:6" ht="13.9" thickBot="1">
      <c r="A88" s="840" t="s">
        <v>523</v>
      </c>
      <c r="B88" s="834" t="s">
        <v>314</v>
      </c>
      <c r="C88" s="1067">
        <v>9.1999999999999998E-2</v>
      </c>
      <c r="D88" s="1067">
        <v>8.5000000000000006E-2</v>
      </c>
      <c r="E88" s="1067">
        <v>9.6000000000000002E-2</v>
      </c>
      <c r="F88" s="1079"/>
    </row>
    <row r="89" spans="1:6" ht="13.9" thickBot="1">
      <c r="A89" s="840" t="s">
        <v>523</v>
      </c>
      <c r="B89" s="834" t="s">
        <v>325</v>
      </c>
      <c r="C89" s="1067">
        <v>0.1</v>
      </c>
      <c r="D89" s="1067">
        <v>0.1</v>
      </c>
      <c r="E89" s="1067">
        <v>9.7000000000000003E-2</v>
      </c>
      <c r="F89" s="1079"/>
    </row>
    <row r="90" spans="1:6" ht="13.9" thickBot="1">
      <c r="A90" s="840" t="s">
        <v>523</v>
      </c>
      <c r="B90" s="834" t="s">
        <v>336</v>
      </c>
      <c r="C90" s="1067">
        <v>9.8000000000000004E-2</v>
      </c>
      <c r="D90" s="1067">
        <v>9.8000000000000004E-2</v>
      </c>
      <c r="E90" s="1067">
        <v>8.7999999999999995E-2</v>
      </c>
      <c r="F90" s="1079"/>
    </row>
    <row r="91" spans="1:6" ht="13.9" thickBot="1">
      <c r="A91" s="840" t="s">
        <v>523</v>
      </c>
      <c r="B91" s="834" t="s">
        <v>346</v>
      </c>
      <c r="C91" s="1067">
        <v>9.9000000000000005E-2</v>
      </c>
      <c r="D91" s="1067">
        <v>9.9000000000000005E-2</v>
      </c>
      <c r="E91" s="1067">
        <v>9.0999999999999998E-2</v>
      </c>
      <c r="F91" s="1079"/>
    </row>
    <row r="92" spans="1:6" ht="13.9" thickBot="1">
      <c r="A92" s="840" t="s">
        <v>523</v>
      </c>
      <c r="B92" s="834" t="s">
        <v>356</v>
      </c>
      <c r="C92" s="1067">
        <v>9.6000000000000002E-2</v>
      </c>
      <c r="D92" s="1067">
        <v>9.6000000000000002E-2</v>
      </c>
      <c r="E92" s="1067">
        <v>7.2999999999999995E-2</v>
      </c>
      <c r="F92" s="1079"/>
    </row>
    <row r="93" spans="1:6" ht="13.9" thickBot="1">
      <c r="A93" s="840" t="s">
        <v>523</v>
      </c>
      <c r="B93" s="834" t="s">
        <v>366</v>
      </c>
      <c r="C93" s="1067">
        <v>9.6000000000000002E-2</v>
      </c>
      <c r="D93" s="1067">
        <v>9.6000000000000002E-2</v>
      </c>
      <c r="E93" s="1067">
        <v>9.9000000000000005E-2</v>
      </c>
      <c r="F93" s="1079"/>
    </row>
    <row r="94" spans="1:6" ht="13.9" thickBot="1">
      <c r="A94" s="840" t="s">
        <v>523</v>
      </c>
      <c r="B94" s="834" t="s">
        <v>376</v>
      </c>
      <c r="C94" s="1067">
        <v>7.5999999999999998E-2</v>
      </c>
      <c r="D94" s="1067">
        <v>7.3999999999999996E-2</v>
      </c>
      <c r="E94" s="1067">
        <v>9.7000000000000003E-2</v>
      </c>
      <c r="F94" s="1079"/>
    </row>
    <row r="95" spans="1:6" ht="13.9" thickBot="1">
      <c r="A95" s="840" t="s">
        <v>523</v>
      </c>
      <c r="B95" s="834" t="s">
        <v>385</v>
      </c>
      <c r="C95" s="1067">
        <v>9.9000000000000005E-2</v>
      </c>
      <c r="D95" s="1067">
        <v>9.4E-2</v>
      </c>
      <c r="E95" s="1067">
        <v>9.6000000000000002E-2</v>
      </c>
      <c r="F95" s="1079"/>
    </row>
    <row r="96" spans="1:6" ht="13.9" thickBot="1">
      <c r="A96" s="840" t="s">
        <v>523</v>
      </c>
      <c r="B96" s="834" t="s">
        <v>394</v>
      </c>
      <c r="C96" s="1067">
        <v>9.9000000000000005E-2</v>
      </c>
      <c r="D96" s="1067">
        <v>9.9000000000000005E-2</v>
      </c>
      <c r="E96" s="1067">
        <v>9.9000000000000005E-2</v>
      </c>
      <c r="F96" s="1079"/>
    </row>
    <row r="97" spans="1:6" ht="13.9" thickBot="1">
      <c r="A97" s="840" t="s">
        <v>523</v>
      </c>
      <c r="B97" s="834" t="s">
        <v>402</v>
      </c>
      <c r="C97" s="1067">
        <v>9.8000000000000004E-2</v>
      </c>
      <c r="D97" s="1067">
        <v>9.8000000000000004E-2</v>
      </c>
      <c r="E97" s="1067">
        <v>9.7000000000000003E-2</v>
      </c>
      <c r="F97" s="1079"/>
    </row>
    <row r="98" spans="1:6" ht="13.9" thickBot="1">
      <c r="A98" s="840" t="s">
        <v>523</v>
      </c>
      <c r="B98" s="834" t="s">
        <v>409</v>
      </c>
      <c r="C98" s="1067">
        <v>0.1</v>
      </c>
      <c r="D98" s="1067">
        <v>0.1</v>
      </c>
      <c r="E98" s="1067">
        <v>9.7000000000000003E-2</v>
      </c>
      <c r="F98" s="1079"/>
    </row>
    <row r="99" spans="1:6" ht="13.9" thickBot="1">
      <c r="A99" s="840" t="s">
        <v>523</v>
      </c>
      <c r="B99" s="834" t="s">
        <v>416</v>
      </c>
      <c r="C99" s="1067">
        <v>0.1</v>
      </c>
      <c r="D99" s="1067">
        <v>0.1</v>
      </c>
      <c r="E99" s="1080"/>
      <c r="F99" s="1079"/>
    </row>
    <row r="100" spans="1:6" ht="13.9" thickBot="1">
      <c r="A100" s="840" t="s">
        <v>523</v>
      </c>
      <c r="B100" s="834" t="s">
        <v>423</v>
      </c>
      <c r="C100" s="1067">
        <v>0.09</v>
      </c>
      <c r="D100" s="1067">
        <v>8.8999999999999996E-2</v>
      </c>
      <c r="E100" s="1080"/>
      <c r="F100" s="1079"/>
    </row>
    <row r="101" spans="1:6" ht="13.9" thickBot="1">
      <c r="A101" s="840" t="s">
        <v>523</v>
      </c>
      <c r="B101" s="834" t="s">
        <v>430</v>
      </c>
      <c r="C101" s="1067">
        <v>9.8000000000000004E-2</v>
      </c>
      <c r="D101" s="1067">
        <v>9.7000000000000003E-2</v>
      </c>
      <c r="E101" s="1080"/>
      <c r="F101" s="1079"/>
    </row>
    <row r="102" spans="1:6" ht="25.9" thickBot="1">
      <c r="A102" s="840" t="s">
        <v>523</v>
      </c>
      <c r="B102" s="834" t="s">
        <v>890</v>
      </c>
      <c r="C102" s="1080"/>
      <c r="D102" s="1080"/>
      <c r="E102" s="1080"/>
      <c r="F102" s="1068">
        <v>0.05</v>
      </c>
    </row>
    <row r="103" spans="1:6" ht="25.9" thickBot="1">
      <c r="A103" s="840" t="s">
        <v>523</v>
      </c>
      <c r="B103" s="834" t="s">
        <v>891</v>
      </c>
      <c r="C103" s="1080"/>
      <c r="D103" s="1080"/>
      <c r="E103" s="1080"/>
      <c r="F103" s="1068">
        <v>0.05</v>
      </c>
    </row>
    <row r="104" spans="1:6" ht="13.9" thickBot="1">
      <c r="A104" s="840" t="s">
        <v>523</v>
      </c>
      <c r="B104" s="834" t="s">
        <v>892</v>
      </c>
      <c r="C104" s="1080"/>
      <c r="D104" s="1080"/>
      <c r="E104" s="1080"/>
      <c r="F104" s="1068">
        <v>0.05</v>
      </c>
    </row>
    <row r="105" spans="1:6" ht="25.9" thickBot="1">
      <c r="A105" s="840" t="s">
        <v>523</v>
      </c>
      <c r="B105" s="834" t="s">
        <v>893</v>
      </c>
      <c r="C105" s="1080"/>
      <c r="D105" s="1080"/>
      <c r="E105" s="1080"/>
      <c r="F105" s="1068">
        <v>0.05</v>
      </c>
    </row>
    <row r="106" spans="1:6" ht="25.9" thickBot="1">
      <c r="A106" s="840" t="s">
        <v>523</v>
      </c>
      <c r="B106" s="834" t="s">
        <v>894</v>
      </c>
      <c r="C106" s="1080"/>
      <c r="D106" s="1080"/>
      <c r="E106" s="1080"/>
      <c r="F106" s="1068">
        <v>0.05</v>
      </c>
    </row>
    <row r="107" spans="1:6" ht="25.9" thickBot="1">
      <c r="A107" s="840" t="s">
        <v>523</v>
      </c>
      <c r="B107" s="834" t="s">
        <v>895</v>
      </c>
      <c r="C107" s="1080"/>
      <c r="D107" s="1080"/>
      <c r="E107" s="1080"/>
      <c r="F107" s="1068">
        <v>0.05</v>
      </c>
    </row>
    <row r="108" spans="1:6" ht="25.9" thickBot="1">
      <c r="A108" s="840" t="s">
        <v>523</v>
      </c>
      <c r="B108" s="834" t="s">
        <v>896</v>
      </c>
      <c r="C108" s="1080"/>
      <c r="D108" s="1080"/>
      <c r="E108" s="1080"/>
      <c r="F108" s="1068">
        <v>0.05</v>
      </c>
    </row>
    <row r="109" spans="1:6" ht="25.9" thickBot="1">
      <c r="A109" s="850" t="s">
        <v>523</v>
      </c>
      <c r="B109" s="846" t="s">
        <v>897</v>
      </c>
      <c r="C109" s="1077"/>
      <c r="D109" s="1077"/>
      <c r="E109" s="1077"/>
      <c r="F109" s="1070">
        <v>0.05</v>
      </c>
    </row>
    <row r="110" spans="1:6" ht="13.9" thickBot="1">
      <c r="A110" s="840" t="s">
        <v>56</v>
      </c>
      <c r="B110" s="841" t="s">
        <v>898</v>
      </c>
      <c r="C110" s="1065">
        <v>0.129</v>
      </c>
      <c r="D110" s="1065">
        <v>0.129</v>
      </c>
      <c r="E110" s="1065">
        <v>0.126</v>
      </c>
      <c r="F110" s="1066">
        <v>0.13</v>
      </c>
    </row>
    <row r="111" spans="1:6" ht="13.9" thickBot="1">
      <c r="A111" s="840" t="s">
        <v>56</v>
      </c>
      <c r="B111" s="834" t="s">
        <v>192</v>
      </c>
      <c r="C111" s="1067">
        <v>0.11</v>
      </c>
      <c r="D111" s="1067">
        <v>0.11</v>
      </c>
      <c r="E111" s="1067">
        <v>9.9000000000000005E-2</v>
      </c>
      <c r="F111" s="1068">
        <v>0.128</v>
      </c>
    </row>
    <row r="112" spans="1:6" ht="13.9" thickBot="1">
      <c r="A112" s="840" t="s">
        <v>56</v>
      </c>
      <c r="B112" s="834" t="s">
        <v>205</v>
      </c>
      <c r="C112" s="1067">
        <v>0.125</v>
      </c>
      <c r="D112" s="1067">
        <v>0.125</v>
      </c>
      <c r="E112" s="1067">
        <v>0.12</v>
      </c>
      <c r="F112" s="1068">
        <v>0.125</v>
      </c>
    </row>
    <row r="113" spans="1:6" ht="13.9" thickBot="1">
      <c r="A113" s="840" t="s">
        <v>56</v>
      </c>
      <c r="B113" s="834" t="s">
        <v>218</v>
      </c>
      <c r="C113" s="1067">
        <v>0.13</v>
      </c>
      <c r="D113" s="1067">
        <v>0.13</v>
      </c>
      <c r="E113" s="1067">
        <v>0.13</v>
      </c>
      <c r="F113" s="1068">
        <v>0.13</v>
      </c>
    </row>
    <row r="114" spans="1:6" ht="13.9" thickBot="1">
      <c r="A114" s="840" t="s">
        <v>56</v>
      </c>
      <c r="B114" s="834" t="s">
        <v>230</v>
      </c>
      <c r="C114" s="1067">
        <v>0.123</v>
      </c>
      <c r="D114" s="1067">
        <v>0.123</v>
      </c>
      <c r="E114" s="1067">
        <v>0.12</v>
      </c>
      <c r="F114" s="1068">
        <v>0.13</v>
      </c>
    </row>
    <row r="115" spans="1:6" ht="13.9" thickBot="1">
      <c r="A115" s="840" t="s">
        <v>56</v>
      </c>
      <c r="B115" s="834" t="s">
        <v>241</v>
      </c>
      <c r="C115" s="1067">
        <v>0.125</v>
      </c>
      <c r="D115" s="1067">
        <v>0.125</v>
      </c>
      <c r="E115" s="1067">
        <v>0.11700000000000001</v>
      </c>
      <c r="F115" s="1068">
        <v>0.13</v>
      </c>
    </row>
    <row r="116" spans="1:6" ht="13.9" thickBot="1">
      <c r="A116" s="840" t="s">
        <v>56</v>
      </c>
      <c r="B116" s="834" t="s">
        <v>252</v>
      </c>
      <c r="C116" s="1067">
        <v>0.11700000000000001</v>
      </c>
      <c r="D116" s="1067">
        <v>0.11700000000000001</v>
      </c>
      <c r="E116" s="1067">
        <v>8.7999999999999995E-2</v>
      </c>
      <c r="F116" s="1068">
        <v>0.13</v>
      </c>
    </row>
    <row r="117" spans="1:6" ht="13.9" thickBot="1">
      <c r="A117" s="840" t="s">
        <v>56</v>
      </c>
      <c r="B117" s="834" t="s">
        <v>263</v>
      </c>
      <c r="C117" s="1067">
        <v>0.13</v>
      </c>
      <c r="D117" s="1067">
        <v>0.13</v>
      </c>
      <c r="E117" s="1067">
        <v>0.129</v>
      </c>
      <c r="F117" s="1068">
        <v>0.13</v>
      </c>
    </row>
    <row r="118" spans="1:6" ht="13.9" thickBot="1">
      <c r="A118" s="840" t="s">
        <v>56</v>
      </c>
      <c r="B118" s="834" t="s">
        <v>275</v>
      </c>
      <c r="C118" s="1067">
        <v>0.123</v>
      </c>
      <c r="D118" s="1067">
        <v>0.123</v>
      </c>
      <c r="E118" s="1067">
        <v>0.11600000000000001</v>
      </c>
      <c r="F118" s="1068">
        <v>0.13</v>
      </c>
    </row>
    <row r="119" spans="1:6" ht="13.9" thickBot="1">
      <c r="A119" s="840" t="s">
        <v>56</v>
      </c>
      <c r="B119" s="834" t="s">
        <v>285</v>
      </c>
      <c r="C119" s="1067">
        <v>0.127</v>
      </c>
      <c r="D119" s="1067">
        <v>0.127</v>
      </c>
      <c r="E119" s="1067">
        <v>0.124</v>
      </c>
      <c r="F119" s="1068">
        <v>0.13</v>
      </c>
    </row>
    <row r="120" spans="1:6" ht="13.9" thickBot="1">
      <c r="A120" s="840" t="s">
        <v>56</v>
      </c>
      <c r="B120" s="834" t="s">
        <v>295</v>
      </c>
      <c r="C120" s="1067">
        <v>0.125</v>
      </c>
      <c r="D120" s="1067">
        <v>0.125</v>
      </c>
      <c r="E120" s="1067">
        <v>0.122</v>
      </c>
      <c r="F120" s="1068">
        <v>0.13</v>
      </c>
    </row>
    <row r="121" spans="1:6" ht="13.9" thickBot="1">
      <c r="A121" s="840" t="s">
        <v>56</v>
      </c>
      <c r="B121" s="834" t="s">
        <v>305</v>
      </c>
      <c r="C121" s="1067">
        <v>0.13</v>
      </c>
      <c r="D121" s="1067">
        <v>0.13</v>
      </c>
      <c r="E121" s="1067">
        <v>0.13</v>
      </c>
      <c r="F121" s="1068">
        <v>0.13</v>
      </c>
    </row>
    <row r="122" spans="1:6" ht="13.9" thickBot="1">
      <c r="A122" s="840" t="s">
        <v>56</v>
      </c>
      <c r="B122" s="834" t="s">
        <v>315</v>
      </c>
      <c r="C122" s="1067">
        <v>0.13</v>
      </c>
      <c r="D122" s="1067">
        <v>0.13</v>
      </c>
      <c r="E122" s="1067">
        <v>0.125</v>
      </c>
      <c r="F122" s="1068">
        <v>0.13</v>
      </c>
    </row>
    <row r="123" spans="1:6" ht="13.9" thickBot="1">
      <c r="A123" s="840" t="s">
        <v>56</v>
      </c>
      <c r="B123" s="834" t="s">
        <v>326</v>
      </c>
      <c r="C123" s="1067">
        <v>0.129</v>
      </c>
      <c r="D123" s="1067">
        <v>0.129</v>
      </c>
      <c r="E123" s="1067">
        <v>0.123</v>
      </c>
      <c r="F123" s="1068">
        <v>0.13</v>
      </c>
    </row>
    <row r="124" spans="1:6" ht="13.9" thickBot="1">
      <c r="A124" s="840" t="s">
        <v>56</v>
      </c>
      <c r="B124" s="834" t="s">
        <v>337</v>
      </c>
      <c r="C124" s="1067">
        <v>0.10199999999999999</v>
      </c>
      <c r="D124" s="1067">
        <v>0.10100000000000001</v>
      </c>
      <c r="E124" s="1067">
        <v>0.08</v>
      </c>
      <c r="F124" s="1079"/>
    </row>
    <row r="125" spans="1:6" ht="13.9" thickBot="1">
      <c r="A125" s="840" t="s">
        <v>56</v>
      </c>
      <c r="B125" s="834" t="s">
        <v>347</v>
      </c>
      <c r="C125" s="1067">
        <v>0.13</v>
      </c>
      <c r="D125" s="1067">
        <v>0.13</v>
      </c>
      <c r="E125" s="1067">
        <v>0.129</v>
      </c>
      <c r="F125" s="1079"/>
    </row>
    <row r="126" spans="1:6" ht="13.9" thickBot="1">
      <c r="A126" s="840" t="s">
        <v>56</v>
      </c>
      <c r="B126" s="834" t="s">
        <v>357</v>
      </c>
      <c r="C126" s="1067">
        <v>0.13</v>
      </c>
      <c r="D126" s="1067">
        <v>0.13</v>
      </c>
      <c r="E126" s="1067">
        <v>0.126</v>
      </c>
      <c r="F126" s="1079"/>
    </row>
    <row r="127" spans="1:6" ht="13.9" thickBot="1">
      <c r="A127" s="840" t="s">
        <v>56</v>
      </c>
      <c r="B127" s="834" t="s">
        <v>367</v>
      </c>
      <c r="C127" s="1067">
        <v>0.125</v>
      </c>
      <c r="D127" s="1067">
        <v>0.125</v>
      </c>
      <c r="E127" s="1067">
        <v>0.121</v>
      </c>
      <c r="F127" s="1079"/>
    </row>
    <row r="128" spans="1:6" ht="13.9" thickBot="1">
      <c r="A128" s="840" t="s">
        <v>56</v>
      </c>
      <c r="B128" s="834" t="s">
        <v>377</v>
      </c>
      <c r="C128" s="1067">
        <v>0.12</v>
      </c>
      <c r="D128" s="1067">
        <v>0.12</v>
      </c>
      <c r="E128" s="1067">
        <v>0.105</v>
      </c>
      <c r="F128" s="1079"/>
    </row>
    <row r="129" spans="1:6" ht="13.9" thickBot="1">
      <c r="A129" s="840" t="s">
        <v>56</v>
      </c>
      <c r="B129" s="834" t="s">
        <v>386</v>
      </c>
      <c r="C129" s="1067">
        <v>0.13</v>
      </c>
      <c r="D129" s="1067">
        <v>0.13</v>
      </c>
      <c r="E129" s="1067">
        <v>0.126</v>
      </c>
      <c r="F129" s="1079"/>
    </row>
    <row r="130" spans="1:6" ht="13.9" thickBot="1">
      <c r="A130" s="840" t="s">
        <v>56</v>
      </c>
      <c r="B130" s="834" t="s">
        <v>395</v>
      </c>
      <c r="C130" s="1067">
        <v>0.125</v>
      </c>
      <c r="D130" s="1067">
        <v>0.125</v>
      </c>
      <c r="E130" s="1067">
        <v>0.122</v>
      </c>
      <c r="F130" s="1079"/>
    </row>
    <row r="131" spans="1:6" ht="13.9" thickBot="1">
      <c r="A131" s="840" t="s">
        <v>56</v>
      </c>
      <c r="B131" s="834" t="s">
        <v>403</v>
      </c>
      <c r="C131" s="1067">
        <v>0.127</v>
      </c>
      <c r="D131" s="1067">
        <v>0.126</v>
      </c>
      <c r="E131" s="1067">
        <v>0.123</v>
      </c>
      <c r="F131" s="1079"/>
    </row>
    <row r="132" spans="1:6" ht="13.9" thickBot="1">
      <c r="A132" s="840" t="s">
        <v>56</v>
      </c>
      <c r="B132" s="834" t="s">
        <v>410</v>
      </c>
      <c r="C132" s="1067">
        <v>9.0999999999999998E-2</v>
      </c>
      <c r="D132" s="1067">
        <v>0.121</v>
      </c>
      <c r="E132" s="1067">
        <v>9.9000000000000005E-2</v>
      </c>
      <c r="F132" s="1079"/>
    </row>
    <row r="133" spans="1:6" ht="13.9" thickBot="1">
      <c r="A133" s="840" t="s">
        <v>56</v>
      </c>
      <c r="B133" s="834" t="s">
        <v>417</v>
      </c>
      <c r="C133" s="1067">
        <v>0.13</v>
      </c>
      <c r="D133" s="1067">
        <v>0.13</v>
      </c>
      <c r="E133" s="1067">
        <v>0.129</v>
      </c>
      <c r="F133" s="1079"/>
    </row>
    <row r="134" spans="1:6" ht="13.9" thickBot="1">
      <c r="A134" s="840" t="s">
        <v>56</v>
      </c>
      <c r="B134" s="834" t="s">
        <v>899</v>
      </c>
      <c r="C134" s="1067">
        <v>6.8000000000000005E-2</v>
      </c>
      <c r="D134" s="1067">
        <v>6.5000000000000002E-2</v>
      </c>
      <c r="E134" s="1067">
        <v>6.5000000000000002E-2</v>
      </c>
      <c r="F134" s="1068">
        <v>0.13</v>
      </c>
    </row>
    <row r="135" spans="1:6" ht="13.9" thickBot="1">
      <c r="A135" s="840" t="s">
        <v>56</v>
      </c>
      <c r="B135" s="834" t="s">
        <v>431</v>
      </c>
      <c r="C135" s="1067">
        <v>0.123</v>
      </c>
      <c r="D135" s="1067">
        <v>0.123</v>
      </c>
      <c r="E135" s="1067">
        <v>0.11</v>
      </c>
      <c r="F135" s="1079"/>
    </row>
    <row r="136" spans="1:6" ht="13.9" thickBot="1">
      <c r="A136" s="840" t="s">
        <v>56</v>
      </c>
      <c r="B136" s="834" t="s">
        <v>438</v>
      </c>
      <c r="C136" s="1067">
        <v>0.13</v>
      </c>
      <c r="D136" s="1067">
        <v>0.13</v>
      </c>
      <c r="E136" s="1067">
        <v>0.125</v>
      </c>
      <c r="F136" s="1079"/>
    </row>
    <row r="137" spans="1:6" ht="13.9" thickBot="1">
      <c r="A137" s="840" t="s">
        <v>56</v>
      </c>
      <c r="B137" s="834" t="s">
        <v>445</v>
      </c>
      <c r="C137" s="1067">
        <v>0.121</v>
      </c>
      <c r="D137" s="1067">
        <v>0.122</v>
      </c>
      <c r="E137" s="1067">
        <v>0.115</v>
      </c>
      <c r="F137" s="1079"/>
    </row>
    <row r="138" spans="1:6" ht="13.9" thickBot="1">
      <c r="A138" s="840" t="s">
        <v>56</v>
      </c>
      <c r="B138" s="834" t="s">
        <v>900</v>
      </c>
      <c r="C138" s="1067">
        <v>0.105</v>
      </c>
      <c r="D138" s="1067">
        <v>0.125</v>
      </c>
      <c r="E138" s="1067">
        <v>0.112</v>
      </c>
      <c r="F138" s="1079"/>
    </row>
    <row r="139" spans="1:6" ht="13.9" thickBot="1">
      <c r="A139" s="840" t="s">
        <v>56</v>
      </c>
      <c r="B139" s="834" t="s">
        <v>901</v>
      </c>
      <c r="C139" s="1067">
        <v>0.127</v>
      </c>
      <c r="D139" s="1067">
        <v>0.127</v>
      </c>
      <c r="E139" s="1067">
        <v>0.122</v>
      </c>
      <c r="F139" s="1068">
        <v>0.13</v>
      </c>
    </row>
    <row r="140" spans="1:6" ht="13.9" thickBot="1">
      <c r="A140" s="840" t="s">
        <v>56</v>
      </c>
      <c r="B140" s="834" t="s">
        <v>902</v>
      </c>
      <c r="C140" s="1067">
        <v>0.125</v>
      </c>
      <c r="D140" s="1067">
        <v>0.125</v>
      </c>
      <c r="E140" s="1067">
        <v>0.11899999999999999</v>
      </c>
      <c r="F140" s="1068">
        <v>0.13</v>
      </c>
    </row>
    <row r="141" spans="1:6" ht="13.9" thickBot="1">
      <c r="A141" s="840" t="s">
        <v>56</v>
      </c>
      <c r="B141" s="834" t="s">
        <v>464</v>
      </c>
      <c r="C141" s="1067">
        <v>0.125</v>
      </c>
      <c r="D141" s="1067">
        <v>0.125</v>
      </c>
      <c r="E141" s="1067">
        <v>0.11700000000000001</v>
      </c>
      <c r="F141" s="1079"/>
    </row>
    <row r="142" spans="1:6" ht="13.9" thickBot="1">
      <c r="A142" s="840" t="s">
        <v>56</v>
      </c>
      <c r="B142" s="834" t="s">
        <v>469</v>
      </c>
      <c r="C142" s="1067">
        <v>0.125</v>
      </c>
      <c r="D142" s="1067">
        <v>0.125</v>
      </c>
      <c r="E142" s="1067">
        <v>0.115</v>
      </c>
      <c r="F142" s="1079"/>
    </row>
    <row r="143" spans="1:6" ht="13.9" thickBot="1">
      <c r="A143" s="840" t="s">
        <v>56</v>
      </c>
      <c r="B143" s="834" t="s">
        <v>474</v>
      </c>
      <c r="C143" s="1067">
        <v>0.121</v>
      </c>
      <c r="D143" s="1067">
        <v>0.121</v>
      </c>
      <c r="E143" s="1067">
        <v>0.108</v>
      </c>
      <c r="F143" s="1079"/>
    </row>
    <row r="144" spans="1:6" ht="13.9" thickBot="1">
      <c r="A144" s="840" t="s">
        <v>56</v>
      </c>
      <c r="B144" s="1071" t="s">
        <v>903</v>
      </c>
      <c r="C144" s="1072">
        <v>0.126</v>
      </c>
      <c r="D144" s="1072">
        <v>0.126</v>
      </c>
      <c r="E144" s="1072">
        <v>0.121</v>
      </c>
      <c r="F144" s="1079"/>
    </row>
    <row r="145" spans="1:6" ht="13.9" thickBot="1">
      <c r="A145" s="850" t="s">
        <v>56</v>
      </c>
      <c r="B145" s="1073" t="s">
        <v>904</v>
      </c>
      <c r="C145" s="1081"/>
      <c r="D145" s="1081"/>
      <c r="E145" s="1081"/>
      <c r="F145" s="1074">
        <v>0.05</v>
      </c>
    </row>
    <row r="146" spans="1:6" ht="25.9" thickBot="1">
      <c r="A146" s="1075" t="s">
        <v>56</v>
      </c>
      <c r="B146" s="844" t="s">
        <v>905</v>
      </c>
      <c r="C146" s="1080"/>
      <c r="D146" s="1080"/>
      <c r="E146" s="1080"/>
      <c r="F146" s="1076">
        <v>0.05</v>
      </c>
    </row>
    <row r="147" spans="1:6" ht="25.9" thickBot="1">
      <c r="A147" s="840" t="s">
        <v>56</v>
      </c>
      <c r="B147" s="834" t="s">
        <v>906</v>
      </c>
      <c r="C147" s="1080"/>
      <c r="D147" s="1080"/>
      <c r="E147" s="1080"/>
      <c r="F147" s="1068">
        <v>0.05</v>
      </c>
    </row>
    <row r="148" spans="1:6" ht="25.9" thickBot="1">
      <c r="A148" s="840" t="s">
        <v>56</v>
      </c>
      <c r="B148" s="834" t="s">
        <v>907</v>
      </c>
      <c r="C148" s="1080"/>
      <c r="D148" s="1080"/>
      <c r="E148" s="1080"/>
      <c r="F148" s="1068">
        <v>0.05</v>
      </c>
    </row>
    <row r="149" spans="1:6" ht="25.9" thickBot="1">
      <c r="A149" s="840" t="s">
        <v>56</v>
      </c>
      <c r="B149" s="834" t="s">
        <v>908</v>
      </c>
      <c r="C149" s="1080"/>
      <c r="D149" s="1080"/>
      <c r="E149" s="1080"/>
      <c r="F149" s="1068">
        <v>0.05</v>
      </c>
    </row>
    <row r="150" spans="1:6" ht="25.9" thickBot="1">
      <c r="A150" s="840" t="s">
        <v>56</v>
      </c>
      <c r="B150" s="834" t="s">
        <v>909</v>
      </c>
      <c r="C150" s="1080"/>
      <c r="D150" s="1080"/>
      <c r="E150" s="1080"/>
      <c r="F150" s="1068">
        <v>0.05</v>
      </c>
    </row>
    <row r="151" spans="1:6" ht="25.9" thickBot="1">
      <c r="A151" s="840" t="s">
        <v>56</v>
      </c>
      <c r="B151" s="834" t="s">
        <v>910</v>
      </c>
      <c r="C151" s="1080"/>
      <c r="D151" s="1080"/>
      <c r="E151" s="1080"/>
      <c r="F151" s="1068">
        <v>0.05</v>
      </c>
    </row>
    <row r="152" spans="1:6" ht="25.9" thickBot="1">
      <c r="A152" s="840" t="s">
        <v>56</v>
      </c>
      <c r="B152" s="834" t="s">
        <v>507</v>
      </c>
      <c r="C152" s="1080"/>
      <c r="D152" s="1080"/>
      <c r="E152" s="1080"/>
      <c r="F152" s="1068">
        <v>0.05</v>
      </c>
    </row>
    <row r="153" spans="1:6" ht="13.9" thickBot="1">
      <c r="A153" s="840" t="s">
        <v>56</v>
      </c>
      <c r="B153" s="834" t="s">
        <v>911</v>
      </c>
      <c r="C153" s="1080"/>
      <c r="D153" s="1080"/>
      <c r="E153" s="1080"/>
      <c r="F153" s="1068">
        <v>0.05</v>
      </c>
    </row>
    <row r="154" spans="1:6" ht="13.9" thickBot="1">
      <c r="A154" s="840" t="s">
        <v>56</v>
      </c>
      <c r="B154" s="834" t="s">
        <v>912</v>
      </c>
      <c r="C154" s="1080"/>
      <c r="D154" s="1080"/>
      <c r="E154" s="1080"/>
      <c r="F154" s="1068">
        <v>0.05</v>
      </c>
    </row>
    <row r="155" spans="1:6" ht="25.9" thickBot="1">
      <c r="A155" s="840" t="s">
        <v>56</v>
      </c>
      <c r="B155" s="834" t="s">
        <v>913</v>
      </c>
      <c r="C155" s="1080"/>
      <c r="D155" s="1080"/>
      <c r="E155" s="1080"/>
      <c r="F155" s="1068">
        <v>0.05</v>
      </c>
    </row>
    <row r="156" spans="1:6" ht="25.9" thickBot="1">
      <c r="A156" s="840" t="s">
        <v>56</v>
      </c>
      <c r="B156" s="834" t="s">
        <v>914</v>
      </c>
      <c r="C156" s="1080"/>
      <c r="D156" s="1080"/>
      <c r="E156" s="1080"/>
      <c r="F156" s="1068">
        <v>0.05</v>
      </c>
    </row>
    <row r="157" spans="1:6" ht="13.9" thickBot="1">
      <c r="A157" s="850" t="s">
        <v>56</v>
      </c>
      <c r="B157" s="846" t="s">
        <v>915</v>
      </c>
      <c r="C157" s="1077"/>
      <c r="D157" s="1077"/>
      <c r="E157" s="1077"/>
      <c r="F157" s="1070">
        <v>0.05</v>
      </c>
    </row>
    <row r="158" spans="1:6" ht="13.9" thickBot="1">
      <c r="A158" s="840" t="s">
        <v>526</v>
      </c>
      <c r="B158" s="841" t="s">
        <v>916</v>
      </c>
      <c r="C158" s="1065">
        <v>0.13</v>
      </c>
      <c r="D158" s="1065">
        <v>0.13</v>
      </c>
      <c r="E158" s="1065">
        <v>0.13</v>
      </c>
      <c r="F158" s="1066">
        <v>0.13</v>
      </c>
    </row>
    <row r="159" spans="1:6" ht="13.9" thickBot="1">
      <c r="A159" s="840" t="s">
        <v>526</v>
      </c>
      <c r="B159" s="834" t="s">
        <v>193</v>
      </c>
      <c r="C159" s="1067">
        <v>0.13</v>
      </c>
      <c r="D159" s="1067">
        <v>0.13</v>
      </c>
      <c r="E159" s="1067">
        <v>0.13</v>
      </c>
      <c r="F159" s="1068">
        <v>0.13</v>
      </c>
    </row>
    <row r="160" spans="1:6" ht="13.9" thickBot="1">
      <c r="A160" s="840" t="s">
        <v>526</v>
      </c>
      <c r="B160" s="834" t="s">
        <v>206</v>
      </c>
      <c r="C160" s="1067">
        <v>0.13</v>
      </c>
      <c r="D160" s="1067">
        <v>0.13</v>
      </c>
      <c r="E160" s="1067">
        <v>0.129</v>
      </c>
      <c r="F160" s="1068">
        <v>0.13</v>
      </c>
    </row>
    <row r="161" spans="1:6" ht="13.9" thickBot="1">
      <c r="A161" s="840" t="s">
        <v>526</v>
      </c>
      <c r="B161" s="834" t="s">
        <v>219</v>
      </c>
      <c r="C161" s="1067">
        <v>0.128</v>
      </c>
      <c r="D161" s="1067">
        <v>0.128</v>
      </c>
      <c r="E161" s="1067">
        <v>0.125</v>
      </c>
      <c r="F161" s="1068">
        <v>0.13</v>
      </c>
    </row>
    <row r="162" spans="1:6" ht="13.9" thickBot="1">
      <c r="A162" s="840" t="s">
        <v>526</v>
      </c>
      <c r="B162" s="834" t="s">
        <v>231</v>
      </c>
      <c r="C162" s="1067">
        <v>0.122</v>
      </c>
      <c r="D162" s="1067">
        <v>0.122</v>
      </c>
      <c r="E162" s="1067">
        <v>0.126</v>
      </c>
      <c r="F162" s="1068">
        <v>0.122</v>
      </c>
    </row>
    <row r="163" spans="1:6" ht="13.9" thickBot="1">
      <c r="A163" s="840" t="s">
        <v>526</v>
      </c>
      <c r="B163" s="834" t="s">
        <v>242</v>
      </c>
      <c r="C163" s="1067">
        <v>0.13</v>
      </c>
      <c r="D163" s="1067">
        <v>0.13</v>
      </c>
      <c r="E163" s="1067">
        <v>0.125</v>
      </c>
      <c r="F163" s="1068">
        <v>0.13</v>
      </c>
    </row>
    <row r="164" spans="1:6" ht="13.9" thickBot="1">
      <c r="A164" s="840" t="s">
        <v>526</v>
      </c>
      <c r="B164" s="834" t="s">
        <v>253</v>
      </c>
      <c r="C164" s="1067">
        <v>0.13</v>
      </c>
      <c r="D164" s="1067">
        <v>0.13</v>
      </c>
      <c r="E164" s="1067">
        <v>0.13</v>
      </c>
      <c r="F164" s="1068">
        <v>0.13</v>
      </c>
    </row>
    <row r="165" spans="1:6" ht="13.9" thickBot="1">
      <c r="A165" s="840" t="s">
        <v>526</v>
      </c>
      <c r="B165" s="834" t="s">
        <v>264</v>
      </c>
      <c r="C165" s="1067">
        <v>0.13</v>
      </c>
      <c r="D165" s="1067">
        <v>0.13</v>
      </c>
      <c r="E165" s="1067">
        <v>0.124</v>
      </c>
      <c r="F165" s="1068">
        <v>0.13</v>
      </c>
    </row>
    <row r="166" spans="1:6" ht="13.9" thickBot="1">
      <c r="A166" s="840" t="s">
        <v>526</v>
      </c>
      <c r="B166" s="834" t="s">
        <v>276</v>
      </c>
      <c r="C166" s="1067">
        <v>0.13</v>
      </c>
      <c r="D166" s="1067">
        <v>0.13</v>
      </c>
      <c r="E166" s="1067">
        <v>0.13</v>
      </c>
      <c r="F166" s="1068">
        <v>0.13</v>
      </c>
    </row>
    <row r="167" spans="1:6" ht="13.9" thickBot="1">
      <c r="A167" s="840" t="s">
        <v>526</v>
      </c>
      <c r="B167" s="834" t="s">
        <v>286</v>
      </c>
      <c r="C167" s="1067">
        <v>0.125</v>
      </c>
      <c r="D167" s="1067">
        <v>0.125</v>
      </c>
      <c r="E167" s="1067">
        <v>0.121</v>
      </c>
      <c r="F167" s="1079"/>
    </row>
    <row r="168" spans="1:6" ht="13.9" thickBot="1">
      <c r="A168" s="840" t="s">
        <v>526</v>
      </c>
      <c r="B168" s="834" t="s">
        <v>296</v>
      </c>
      <c r="C168" s="1067">
        <v>0.13</v>
      </c>
      <c r="D168" s="1067">
        <v>0.13</v>
      </c>
      <c r="E168" s="1067">
        <v>0.126</v>
      </c>
      <c r="F168" s="1079"/>
    </row>
    <row r="169" spans="1:6" ht="13.9" thickBot="1">
      <c r="A169" s="840" t="s">
        <v>526</v>
      </c>
      <c r="B169" s="834" t="s">
        <v>306</v>
      </c>
      <c r="C169" s="1067">
        <v>0.128</v>
      </c>
      <c r="D169" s="1067">
        <v>0.129</v>
      </c>
      <c r="E169" s="1067">
        <v>0.13</v>
      </c>
      <c r="F169" s="1079"/>
    </row>
    <row r="170" spans="1:6" ht="13.9" thickBot="1">
      <c r="A170" s="840" t="s">
        <v>526</v>
      </c>
      <c r="B170" s="834" t="s">
        <v>316</v>
      </c>
      <c r="C170" s="1067">
        <v>0.14099999999999999</v>
      </c>
      <c r="D170" s="1067">
        <v>0.13</v>
      </c>
      <c r="E170" s="1067">
        <v>0.125</v>
      </c>
      <c r="F170" s="1079"/>
    </row>
    <row r="171" spans="1:6" ht="13.9" thickBot="1">
      <c r="A171" s="840" t="s">
        <v>526</v>
      </c>
      <c r="B171" s="834" t="s">
        <v>917</v>
      </c>
      <c r="C171" s="1067">
        <v>0.127</v>
      </c>
      <c r="D171" s="1067">
        <v>0.126</v>
      </c>
      <c r="E171" s="1067">
        <v>0.126</v>
      </c>
      <c r="F171" s="1068">
        <v>0.11799999999999999</v>
      </c>
    </row>
    <row r="172" spans="1:6" ht="13.9" thickBot="1">
      <c r="A172" s="840" t="s">
        <v>526</v>
      </c>
      <c r="B172" s="834" t="s">
        <v>918</v>
      </c>
      <c r="C172" s="1067">
        <v>0.13</v>
      </c>
      <c r="D172" s="1067">
        <v>0.13</v>
      </c>
      <c r="E172" s="1067">
        <v>0.13</v>
      </c>
      <c r="F172" s="1079"/>
    </row>
    <row r="173" spans="1:6" ht="13.9" thickBot="1">
      <c r="A173" s="840" t="s">
        <v>526</v>
      </c>
      <c r="B173" s="834" t="s">
        <v>348</v>
      </c>
      <c r="C173" s="1067">
        <v>0.13</v>
      </c>
      <c r="D173" s="1067">
        <v>0.13</v>
      </c>
      <c r="E173" s="1067">
        <v>0.13</v>
      </c>
      <c r="F173" s="1079"/>
    </row>
    <row r="174" spans="1:6" ht="13.9" thickBot="1">
      <c r="A174" s="840" t="s">
        <v>526</v>
      </c>
      <c r="B174" s="834" t="s">
        <v>919</v>
      </c>
      <c r="C174" s="1067">
        <v>0.13</v>
      </c>
      <c r="D174" s="1067">
        <v>0.13</v>
      </c>
      <c r="E174" s="1067">
        <v>0.13</v>
      </c>
      <c r="F174" s="1068">
        <v>0.13</v>
      </c>
    </row>
    <row r="175" spans="1:6" ht="13.9" thickBot="1">
      <c r="A175" s="840" t="s">
        <v>526</v>
      </c>
      <c r="B175" s="834" t="s">
        <v>920</v>
      </c>
      <c r="C175" s="1067">
        <v>0.13</v>
      </c>
      <c r="D175" s="1067">
        <v>0.13</v>
      </c>
      <c r="E175" s="1067">
        <v>0.13</v>
      </c>
      <c r="F175" s="1068">
        <v>0.13</v>
      </c>
    </row>
    <row r="176" spans="1:6" ht="13.9" thickBot="1">
      <c r="A176" s="840" t="s">
        <v>526</v>
      </c>
      <c r="B176" s="834" t="s">
        <v>378</v>
      </c>
      <c r="C176" s="1067">
        <v>0.13</v>
      </c>
      <c r="D176" s="1067">
        <v>0.13</v>
      </c>
      <c r="E176" s="1067">
        <v>0.13</v>
      </c>
      <c r="F176" s="1068">
        <v>0.13</v>
      </c>
    </row>
    <row r="177" spans="1:6" ht="13.9" thickBot="1">
      <c r="A177" s="840" t="s">
        <v>526</v>
      </c>
      <c r="B177" s="834" t="s">
        <v>921</v>
      </c>
      <c r="C177" s="1067">
        <v>0.13</v>
      </c>
      <c r="D177" s="1067">
        <v>0.13</v>
      </c>
      <c r="E177" s="1067">
        <v>0.13</v>
      </c>
      <c r="F177" s="1068">
        <v>0.13</v>
      </c>
    </row>
    <row r="178" spans="1:6" ht="13.9" thickBot="1">
      <c r="A178" s="840" t="s">
        <v>526</v>
      </c>
      <c r="B178" s="834" t="s">
        <v>396</v>
      </c>
      <c r="C178" s="1067">
        <v>0.13</v>
      </c>
      <c r="D178" s="1067">
        <v>0.13</v>
      </c>
      <c r="E178" s="1067">
        <v>0.13</v>
      </c>
      <c r="F178" s="1068">
        <v>0.127</v>
      </c>
    </row>
    <row r="179" spans="1:6" ht="13.9" thickBot="1">
      <c r="A179" s="840" t="s">
        <v>526</v>
      </c>
      <c r="B179" s="834" t="s">
        <v>404</v>
      </c>
      <c r="C179" s="1067">
        <v>0.13</v>
      </c>
      <c r="D179" s="1067">
        <v>0.13</v>
      </c>
      <c r="E179" s="1067">
        <v>0.13</v>
      </c>
      <c r="F179" s="1079"/>
    </row>
    <row r="180" spans="1:6" ht="13.9" thickBot="1">
      <c r="A180" s="840" t="s">
        <v>526</v>
      </c>
      <c r="B180" s="834" t="s">
        <v>922</v>
      </c>
      <c r="C180" s="1067">
        <v>0.13</v>
      </c>
      <c r="D180" s="1067">
        <v>0.13</v>
      </c>
      <c r="E180" s="1067">
        <v>0.125</v>
      </c>
      <c r="F180" s="1068">
        <v>0.13</v>
      </c>
    </row>
    <row r="181" spans="1:6" ht="13.9" thickBot="1">
      <c r="A181" s="840" t="s">
        <v>526</v>
      </c>
      <c r="B181" s="834" t="s">
        <v>418</v>
      </c>
      <c r="C181" s="1067">
        <v>0.122</v>
      </c>
      <c r="D181" s="1067">
        <v>0.123</v>
      </c>
      <c r="E181" s="1067">
        <v>0.126</v>
      </c>
      <c r="F181" s="1068">
        <v>0.121</v>
      </c>
    </row>
    <row r="182" spans="1:6" ht="13.9" thickBot="1">
      <c r="A182" s="840" t="s">
        <v>526</v>
      </c>
      <c r="B182" s="834" t="s">
        <v>425</v>
      </c>
      <c r="C182" s="1067">
        <v>0.125</v>
      </c>
      <c r="D182" s="1067">
        <v>0.125</v>
      </c>
      <c r="E182" s="1067">
        <v>0.11700000000000001</v>
      </c>
      <c r="F182" s="1068">
        <v>0.13</v>
      </c>
    </row>
    <row r="183" spans="1:6" ht="13.9" thickBot="1">
      <c r="A183" s="840" t="s">
        <v>526</v>
      </c>
      <c r="B183" s="834" t="s">
        <v>432</v>
      </c>
      <c r="C183" s="1067">
        <v>0.127</v>
      </c>
      <c r="D183" s="1067">
        <v>0.127</v>
      </c>
      <c r="E183" s="1067">
        <v>0.128</v>
      </c>
      <c r="F183" s="1079"/>
    </row>
    <row r="184" spans="1:6" ht="13.9" thickBot="1">
      <c r="A184" s="840" t="s">
        <v>526</v>
      </c>
      <c r="B184" s="834" t="s">
        <v>439</v>
      </c>
      <c r="C184" s="1067">
        <v>0.125</v>
      </c>
      <c r="D184" s="1067">
        <v>0.125</v>
      </c>
      <c r="E184" s="1067">
        <v>0.127</v>
      </c>
      <c r="F184" s="1079"/>
    </row>
    <row r="185" spans="1:6" ht="13.9" thickBot="1">
      <c r="A185" s="840" t="s">
        <v>526</v>
      </c>
      <c r="B185" s="834" t="s">
        <v>923</v>
      </c>
      <c r="C185" s="1067">
        <v>0.127</v>
      </c>
      <c r="D185" s="1067">
        <v>0.127</v>
      </c>
      <c r="E185" s="1067">
        <v>0.128</v>
      </c>
      <c r="F185" s="1068">
        <v>0.13</v>
      </c>
    </row>
    <row r="186" spans="1:6" ht="25.9" thickBot="1">
      <c r="A186" s="840" t="s">
        <v>526</v>
      </c>
      <c r="B186" s="834" t="s">
        <v>924</v>
      </c>
      <c r="C186" s="1080"/>
      <c r="D186" s="1080"/>
      <c r="E186" s="1080"/>
      <c r="F186" s="1068">
        <v>0.05</v>
      </c>
    </row>
    <row r="187" spans="1:6" ht="13.9" thickBot="1">
      <c r="A187" s="840" t="s">
        <v>526</v>
      </c>
      <c r="B187" s="834" t="s">
        <v>925</v>
      </c>
      <c r="C187" s="1080"/>
      <c r="D187" s="1080"/>
      <c r="E187" s="1080"/>
      <c r="F187" s="1068">
        <v>0.05</v>
      </c>
    </row>
    <row r="188" spans="1:6" ht="25.9" thickBot="1">
      <c r="A188" s="840" t="s">
        <v>526</v>
      </c>
      <c r="B188" s="834" t="s">
        <v>926</v>
      </c>
      <c r="C188" s="1080"/>
      <c r="D188" s="1080"/>
      <c r="E188" s="1080"/>
      <c r="F188" s="1068">
        <v>0.05</v>
      </c>
    </row>
    <row r="189" spans="1:6" ht="25.9" thickBot="1">
      <c r="A189" s="840" t="s">
        <v>526</v>
      </c>
      <c r="B189" s="834" t="s">
        <v>927</v>
      </c>
      <c r="C189" s="1080"/>
      <c r="D189" s="1080"/>
      <c r="E189" s="1080"/>
      <c r="F189" s="1068">
        <v>0.05</v>
      </c>
    </row>
    <row r="190" spans="1:6" ht="25.9" thickBot="1">
      <c r="A190" s="840" t="s">
        <v>526</v>
      </c>
      <c r="B190" s="834" t="s">
        <v>928</v>
      </c>
      <c r="C190" s="1080"/>
      <c r="D190" s="1080"/>
      <c r="E190" s="1080"/>
      <c r="F190" s="1068">
        <v>0.05</v>
      </c>
    </row>
    <row r="191" spans="1:6" ht="25.9" thickBot="1">
      <c r="A191" s="840" t="s">
        <v>526</v>
      </c>
      <c r="B191" s="834" t="s">
        <v>929</v>
      </c>
      <c r="C191" s="1080"/>
      <c r="D191" s="1080"/>
      <c r="E191" s="1080"/>
      <c r="F191" s="1068">
        <v>0.05</v>
      </c>
    </row>
    <row r="192" spans="1:6" ht="25.9" thickBot="1">
      <c r="A192" s="840" t="s">
        <v>526</v>
      </c>
      <c r="B192" s="834" t="s">
        <v>930</v>
      </c>
      <c r="C192" s="1080"/>
      <c r="D192" s="1080"/>
      <c r="E192" s="1080"/>
      <c r="F192" s="1068">
        <v>0.05</v>
      </c>
    </row>
    <row r="193" spans="1:6" ht="25.9" thickBot="1">
      <c r="A193" s="840" t="s">
        <v>526</v>
      </c>
      <c r="B193" s="834" t="s">
        <v>931</v>
      </c>
      <c r="C193" s="1080"/>
      <c r="D193" s="1080"/>
      <c r="E193" s="1080"/>
      <c r="F193" s="1068">
        <v>0.05</v>
      </c>
    </row>
    <row r="194" spans="1:6" ht="25.9" thickBot="1">
      <c r="A194" s="840" t="s">
        <v>526</v>
      </c>
      <c r="B194" s="834" t="s">
        <v>932</v>
      </c>
      <c r="C194" s="1080"/>
      <c r="D194" s="1080"/>
      <c r="E194" s="1080"/>
      <c r="F194" s="1068">
        <v>0.05</v>
      </c>
    </row>
    <row r="195" spans="1:6" ht="13.9" thickBot="1">
      <c r="A195" s="840" t="s">
        <v>526</v>
      </c>
      <c r="B195" s="834" t="s">
        <v>933</v>
      </c>
      <c r="C195" s="1080"/>
      <c r="D195" s="1080"/>
      <c r="E195" s="1080"/>
      <c r="F195" s="1068">
        <v>0.05</v>
      </c>
    </row>
    <row r="196" spans="1:6" ht="25.9" thickBot="1">
      <c r="A196" s="840" t="s">
        <v>526</v>
      </c>
      <c r="B196" s="834" t="s">
        <v>934</v>
      </c>
      <c r="C196" s="1080"/>
      <c r="D196" s="1080"/>
      <c r="E196" s="1080"/>
      <c r="F196" s="1068">
        <v>0.05</v>
      </c>
    </row>
    <row r="197" spans="1:6" ht="25.9" thickBot="1">
      <c r="A197" s="840" t="s">
        <v>526</v>
      </c>
      <c r="B197" s="834" t="s">
        <v>935</v>
      </c>
      <c r="C197" s="1080"/>
      <c r="D197" s="1080"/>
      <c r="E197" s="1080"/>
      <c r="F197" s="1068">
        <v>0.05</v>
      </c>
    </row>
    <row r="198" spans="1:6" ht="25.9" thickBot="1">
      <c r="A198" s="840" t="s">
        <v>526</v>
      </c>
      <c r="B198" s="834" t="s">
        <v>936</v>
      </c>
      <c r="C198" s="1080"/>
      <c r="D198" s="1080"/>
      <c r="E198" s="1080"/>
      <c r="F198" s="1068">
        <v>0.05</v>
      </c>
    </row>
    <row r="199" spans="1:6" ht="25.9" thickBot="1">
      <c r="A199" s="840" t="s">
        <v>526</v>
      </c>
      <c r="B199" s="834" t="s">
        <v>937</v>
      </c>
      <c r="C199" s="1080"/>
      <c r="D199" s="1080"/>
      <c r="E199" s="1080"/>
      <c r="F199" s="1068">
        <v>0.05</v>
      </c>
    </row>
    <row r="200" spans="1:6" ht="25.9" thickBot="1">
      <c r="A200" s="840" t="s">
        <v>526</v>
      </c>
      <c r="B200" s="834" t="s">
        <v>938</v>
      </c>
      <c r="C200" s="1080"/>
      <c r="D200" s="1080"/>
      <c r="E200" s="1080"/>
      <c r="F200" s="1068">
        <v>0.05</v>
      </c>
    </row>
    <row r="201" spans="1:6" ht="25.9" thickBot="1">
      <c r="A201" s="840" t="s">
        <v>526</v>
      </c>
      <c r="B201" s="834" t="s">
        <v>939</v>
      </c>
      <c r="C201" s="1080"/>
      <c r="D201" s="1080"/>
      <c r="E201" s="1080"/>
      <c r="F201" s="1068">
        <v>0.05</v>
      </c>
    </row>
    <row r="202" spans="1:6" ht="25.9" thickBot="1">
      <c r="A202" s="840" t="s">
        <v>526</v>
      </c>
      <c r="B202" s="834" t="s">
        <v>940</v>
      </c>
      <c r="C202" s="1080"/>
      <c r="D202" s="1080"/>
      <c r="E202" s="1080"/>
      <c r="F202" s="1068">
        <v>0.05</v>
      </c>
    </row>
    <row r="203" spans="1:6" ht="25.9" thickBot="1">
      <c r="A203" s="840" t="s">
        <v>526</v>
      </c>
      <c r="B203" s="834" t="s">
        <v>941</v>
      </c>
      <c r="C203" s="1080"/>
      <c r="D203" s="1080"/>
      <c r="E203" s="1080"/>
      <c r="F203" s="1068">
        <v>0.05</v>
      </c>
    </row>
    <row r="204" spans="1:6" ht="13.9" thickBot="1">
      <c r="A204" s="840" t="s">
        <v>526</v>
      </c>
      <c r="B204" s="834" t="s">
        <v>942</v>
      </c>
      <c r="C204" s="1080"/>
      <c r="D204" s="1080"/>
      <c r="E204" s="1080"/>
      <c r="F204" s="1068">
        <v>0.05</v>
      </c>
    </row>
    <row r="205" spans="1:6" ht="13.9" thickBot="1">
      <c r="A205" s="850" t="s">
        <v>526</v>
      </c>
      <c r="B205" s="846" t="s">
        <v>943</v>
      </c>
      <c r="C205" s="1077"/>
      <c r="D205" s="1077"/>
      <c r="E205" s="1077"/>
      <c r="F205" s="1070">
        <v>0.05</v>
      </c>
    </row>
    <row r="206" spans="1:6" ht="13.9" thickBot="1">
      <c r="A206" s="840" t="s">
        <v>528</v>
      </c>
      <c r="B206" s="841" t="s">
        <v>944</v>
      </c>
      <c r="C206" s="1065">
        <v>0.15</v>
      </c>
      <c r="D206" s="1065">
        <v>0.15</v>
      </c>
      <c r="E206" s="1065">
        <v>0.15</v>
      </c>
      <c r="F206" s="1066">
        <v>0.15</v>
      </c>
    </row>
    <row r="207" spans="1:6" ht="13.9" thickBot="1">
      <c r="A207" s="840" t="s">
        <v>528</v>
      </c>
      <c r="B207" s="834" t="s">
        <v>194</v>
      </c>
      <c r="C207" s="1067">
        <v>0.15</v>
      </c>
      <c r="D207" s="1067">
        <v>0.15</v>
      </c>
      <c r="E207" s="1067">
        <v>0.15</v>
      </c>
      <c r="F207" s="1068">
        <v>0.14399999999999999</v>
      </c>
    </row>
    <row r="208" spans="1:6" ht="13.9" thickBot="1">
      <c r="A208" s="840" t="s">
        <v>528</v>
      </c>
      <c r="B208" s="834" t="s">
        <v>207</v>
      </c>
      <c r="C208" s="1067">
        <v>0.15</v>
      </c>
      <c r="D208" s="1067">
        <v>0.15</v>
      </c>
      <c r="E208" s="1067">
        <v>0.15</v>
      </c>
      <c r="F208" s="1068">
        <v>0.15</v>
      </c>
    </row>
    <row r="209" spans="1:6" ht="13.9" thickBot="1">
      <c r="A209" s="840" t="s">
        <v>528</v>
      </c>
      <c r="B209" s="834" t="s">
        <v>220</v>
      </c>
      <c r="C209" s="1067">
        <v>0.13700000000000001</v>
      </c>
      <c r="D209" s="1067">
        <v>0.13700000000000001</v>
      </c>
      <c r="E209" s="1067">
        <v>0.14000000000000001</v>
      </c>
      <c r="F209" s="1068">
        <v>0.11700000000000001</v>
      </c>
    </row>
    <row r="210" spans="1:6" ht="13.9" thickBot="1">
      <c r="A210" s="840" t="s">
        <v>528</v>
      </c>
      <c r="B210" s="834" t="s">
        <v>945</v>
      </c>
      <c r="C210" s="1067">
        <v>0.15</v>
      </c>
      <c r="D210" s="1067">
        <v>0.15</v>
      </c>
      <c r="E210" s="1067">
        <v>0.15</v>
      </c>
      <c r="F210" s="1068">
        <v>0.13800000000000001</v>
      </c>
    </row>
    <row r="211" spans="1:6" ht="13.9" thickBot="1">
      <c r="A211" s="840" t="s">
        <v>528</v>
      </c>
      <c r="B211" s="834" t="s">
        <v>946</v>
      </c>
      <c r="C211" s="1067">
        <v>0.13700000000000001</v>
      </c>
      <c r="D211" s="1067">
        <v>0.13500000000000001</v>
      </c>
      <c r="E211" s="1067">
        <v>0.13600000000000001</v>
      </c>
      <c r="F211" s="1068">
        <v>0.1</v>
      </c>
    </row>
    <row r="212" spans="1:6" ht="13.9" thickBot="1">
      <c r="A212" s="840" t="s">
        <v>528</v>
      </c>
      <c r="B212" s="834" t="s">
        <v>947</v>
      </c>
      <c r="C212" s="1067">
        <v>0.15</v>
      </c>
      <c r="D212" s="1067">
        <v>0.15</v>
      </c>
      <c r="E212" s="1067">
        <v>0.14799999999999999</v>
      </c>
      <c r="F212" s="1068">
        <v>0.13600000000000001</v>
      </c>
    </row>
    <row r="213" spans="1:6" ht="13.9" thickBot="1">
      <c r="A213" s="840" t="s">
        <v>528</v>
      </c>
      <c r="B213" s="834" t="s">
        <v>265</v>
      </c>
      <c r="C213" s="1067">
        <v>0.15</v>
      </c>
      <c r="D213" s="1067">
        <v>0.15</v>
      </c>
      <c r="E213" s="1067">
        <v>0.15</v>
      </c>
      <c r="F213" s="1068">
        <v>0.13800000000000001</v>
      </c>
    </row>
    <row r="214" spans="1:6" ht="13.9" thickBot="1">
      <c r="A214" s="840" t="s">
        <v>528</v>
      </c>
      <c r="B214" s="834" t="s">
        <v>277</v>
      </c>
      <c r="C214" s="1067">
        <v>9.0999999999999998E-2</v>
      </c>
      <c r="D214" s="1067">
        <v>0.09</v>
      </c>
      <c r="E214" s="1067">
        <v>9.1999999999999998E-2</v>
      </c>
      <c r="F214" s="1079"/>
    </row>
    <row r="215" spans="1:6" ht="13.9" thickBot="1">
      <c r="A215" s="840" t="s">
        <v>528</v>
      </c>
      <c r="B215" s="834" t="s">
        <v>948</v>
      </c>
      <c r="C215" s="1067">
        <v>0.15</v>
      </c>
      <c r="D215" s="1067">
        <v>0.15</v>
      </c>
      <c r="E215" s="1067">
        <v>0.15</v>
      </c>
      <c r="F215" s="1068">
        <v>0.15</v>
      </c>
    </row>
    <row r="216" spans="1:6" ht="13.9" thickBot="1">
      <c r="A216" s="840" t="s">
        <v>528</v>
      </c>
      <c r="B216" s="834" t="s">
        <v>297</v>
      </c>
      <c r="C216" s="1067">
        <v>0.14699999999999999</v>
      </c>
      <c r="D216" s="1067">
        <v>0.14699999999999999</v>
      </c>
      <c r="E216" s="1067">
        <v>0.15</v>
      </c>
      <c r="F216" s="1068">
        <v>0.14000000000000001</v>
      </c>
    </row>
    <row r="217" spans="1:6" ht="13.9" thickBot="1">
      <c r="A217" s="840" t="s">
        <v>528</v>
      </c>
      <c r="B217" s="834" t="s">
        <v>307</v>
      </c>
      <c r="C217" s="1067">
        <v>0.15</v>
      </c>
      <c r="D217" s="1067">
        <v>0.15</v>
      </c>
      <c r="E217" s="1067">
        <v>0.15</v>
      </c>
      <c r="F217" s="1068">
        <v>0.15</v>
      </c>
    </row>
    <row r="218" spans="1:6" ht="13.9" thickBot="1">
      <c r="A218" s="840" t="s">
        <v>528</v>
      </c>
      <c r="B218" s="834" t="s">
        <v>949</v>
      </c>
      <c r="C218" s="1067">
        <v>0.15</v>
      </c>
      <c r="D218" s="1067">
        <v>0.15</v>
      </c>
      <c r="E218" s="1067">
        <v>0.15</v>
      </c>
      <c r="F218" s="1068">
        <v>0.15</v>
      </c>
    </row>
    <row r="219" spans="1:6" ht="13.9" thickBot="1">
      <c r="A219" s="840" t="s">
        <v>528</v>
      </c>
      <c r="B219" s="834" t="s">
        <v>328</v>
      </c>
      <c r="C219" s="1067">
        <v>0.15</v>
      </c>
      <c r="D219" s="1067">
        <v>0.15</v>
      </c>
      <c r="E219" s="1067">
        <v>0.15</v>
      </c>
      <c r="F219" s="1068">
        <v>0.14799999999999999</v>
      </c>
    </row>
    <row r="220" spans="1:6" ht="13.9" thickBot="1">
      <c r="A220" s="840" t="s">
        <v>528</v>
      </c>
      <c r="B220" s="834" t="s">
        <v>950</v>
      </c>
      <c r="C220" s="1067">
        <v>0.15</v>
      </c>
      <c r="D220" s="1067">
        <v>0.15</v>
      </c>
      <c r="E220" s="1067">
        <v>0.15</v>
      </c>
      <c r="F220" s="1068">
        <v>0.15</v>
      </c>
    </row>
    <row r="221" spans="1:6" ht="13.9" thickBot="1">
      <c r="A221" s="840" t="s">
        <v>528</v>
      </c>
      <c r="B221" s="834" t="s">
        <v>349</v>
      </c>
      <c r="C221" s="1067"/>
      <c r="D221" s="1080"/>
      <c r="E221" s="1080"/>
      <c r="F221" s="1068">
        <v>0.14799999999999999</v>
      </c>
    </row>
    <row r="222" spans="1:6" ht="13.9" thickBot="1">
      <c r="A222" s="840" t="s">
        <v>528</v>
      </c>
      <c r="B222" s="834" t="s">
        <v>359</v>
      </c>
      <c r="C222" s="1067"/>
      <c r="D222" s="1080"/>
      <c r="E222" s="1080"/>
      <c r="F222" s="1068">
        <v>0.1</v>
      </c>
    </row>
    <row r="223" spans="1:6" ht="13.9" thickBot="1">
      <c r="A223" s="840" t="s">
        <v>528</v>
      </c>
      <c r="B223" s="834" t="s">
        <v>369</v>
      </c>
      <c r="C223" s="1067"/>
      <c r="D223" s="1080"/>
      <c r="E223" s="1080"/>
      <c r="F223" s="1068">
        <v>0.15</v>
      </c>
    </row>
    <row r="224" spans="1:6" ht="13.9" thickBot="1">
      <c r="A224" s="840" t="s">
        <v>528</v>
      </c>
      <c r="B224" s="834" t="s">
        <v>379</v>
      </c>
      <c r="C224" s="1067"/>
      <c r="D224" s="1080"/>
      <c r="E224" s="1080"/>
      <c r="F224" s="1068">
        <v>0.15</v>
      </c>
    </row>
    <row r="225" spans="1:6" ht="13.9" thickBot="1">
      <c r="A225" s="840" t="s">
        <v>528</v>
      </c>
      <c r="B225" s="834" t="s">
        <v>951</v>
      </c>
      <c r="C225" s="1067">
        <v>0.15</v>
      </c>
      <c r="D225" s="1067">
        <v>0.15</v>
      </c>
      <c r="E225" s="1067">
        <v>0.15</v>
      </c>
      <c r="F225" s="1068">
        <v>0.15</v>
      </c>
    </row>
    <row r="226" spans="1:6" ht="13.9" thickBot="1">
      <c r="A226" s="840" t="s">
        <v>528</v>
      </c>
      <c r="B226" s="834" t="s">
        <v>397</v>
      </c>
      <c r="C226" s="1067">
        <v>0.15</v>
      </c>
      <c r="D226" s="1067">
        <v>0.15</v>
      </c>
      <c r="E226" s="1067">
        <v>0.15</v>
      </c>
      <c r="F226" s="1068">
        <v>0.14799999999999999</v>
      </c>
    </row>
    <row r="227" spans="1:6" ht="13.9" thickBot="1">
      <c r="A227" s="840" t="s">
        <v>528</v>
      </c>
      <c r="B227" s="834" t="s">
        <v>952</v>
      </c>
      <c r="C227" s="1067">
        <v>0.15</v>
      </c>
      <c r="D227" s="1067">
        <v>0.15</v>
      </c>
      <c r="E227" s="1067">
        <v>0.15</v>
      </c>
      <c r="F227" s="1068">
        <v>0.15</v>
      </c>
    </row>
    <row r="228" spans="1:6" ht="13.9" thickBot="1">
      <c r="A228" s="840" t="s">
        <v>528</v>
      </c>
      <c r="B228" s="834" t="s">
        <v>412</v>
      </c>
      <c r="C228" s="1067">
        <v>0.15</v>
      </c>
      <c r="D228" s="1067">
        <v>0.15</v>
      </c>
      <c r="E228" s="1067">
        <v>0.15</v>
      </c>
      <c r="F228" s="1068">
        <v>0.15</v>
      </c>
    </row>
    <row r="229" spans="1:6" ht="13.9" thickBot="1">
      <c r="A229" s="840" t="s">
        <v>528</v>
      </c>
      <c r="B229" s="834" t="s">
        <v>419</v>
      </c>
      <c r="C229" s="1067">
        <v>0.15</v>
      </c>
      <c r="D229" s="1067">
        <v>0.15</v>
      </c>
      <c r="E229" s="1067">
        <v>0.15</v>
      </c>
      <c r="F229" s="1079"/>
    </row>
    <row r="230" spans="1:6" ht="13.9" thickBot="1">
      <c r="A230" s="840" t="s">
        <v>528</v>
      </c>
      <c r="B230" s="834" t="s">
        <v>426</v>
      </c>
      <c r="C230" s="1067">
        <v>0.14499999999999999</v>
      </c>
      <c r="D230" s="1067">
        <v>0.14499999999999999</v>
      </c>
      <c r="E230" s="1067">
        <v>0.14399999999999999</v>
      </c>
      <c r="F230" s="1079"/>
    </row>
    <row r="231" spans="1:6" ht="13.9" thickBot="1">
      <c r="A231" s="840" t="s">
        <v>528</v>
      </c>
      <c r="B231" s="834" t="s">
        <v>953</v>
      </c>
      <c r="C231" s="1067">
        <v>0.128</v>
      </c>
      <c r="D231" s="1067">
        <v>0.125</v>
      </c>
      <c r="E231" s="1067">
        <v>0.13200000000000001</v>
      </c>
      <c r="F231" s="1079"/>
    </row>
    <row r="232" spans="1:6" ht="13.9" thickBot="1">
      <c r="A232" s="840" t="s">
        <v>528</v>
      </c>
      <c r="B232" s="834" t="s">
        <v>954</v>
      </c>
      <c r="C232" s="1067">
        <v>0.14499999999999999</v>
      </c>
      <c r="D232" s="1067">
        <v>0.14399999999999999</v>
      </c>
      <c r="E232" s="1067">
        <v>0.14599999999999999</v>
      </c>
      <c r="F232" s="1068">
        <v>0.13800000000000001</v>
      </c>
    </row>
    <row r="233" spans="1:6" ht="13.9" thickBot="1">
      <c r="A233" s="840" t="s">
        <v>528</v>
      </c>
      <c r="B233" s="834" t="s">
        <v>955</v>
      </c>
      <c r="C233" s="1067">
        <v>0.14499999999999999</v>
      </c>
      <c r="D233" s="1067">
        <v>0.14299999999999999</v>
      </c>
      <c r="E233" s="1067">
        <v>0.14199999999999999</v>
      </c>
      <c r="F233" s="1079"/>
    </row>
    <row r="234" spans="1:6" ht="13.9" thickBot="1">
      <c r="A234" s="840" t="s">
        <v>528</v>
      </c>
      <c r="B234" s="834" t="s">
        <v>956</v>
      </c>
      <c r="C234" s="1067">
        <v>0.14000000000000001</v>
      </c>
      <c r="D234" s="1067">
        <v>0.14000000000000001</v>
      </c>
      <c r="E234" s="1067">
        <v>0.14399999999999999</v>
      </c>
      <c r="F234" s="1079"/>
    </row>
    <row r="235" spans="1:6" ht="13.9" thickBot="1">
      <c r="A235" s="840" t="s">
        <v>528</v>
      </c>
      <c r="B235" s="834" t="s">
        <v>957</v>
      </c>
      <c r="C235" s="1067">
        <v>0.14099999999999999</v>
      </c>
      <c r="D235" s="1067">
        <v>0.14199999999999999</v>
      </c>
      <c r="E235" s="1067">
        <v>0.14499999999999999</v>
      </c>
      <c r="F235" s="1068">
        <v>0.15</v>
      </c>
    </row>
    <row r="236" spans="1:6" ht="13.9" thickBot="1">
      <c r="A236" s="840" t="s">
        <v>528</v>
      </c>
      <c r="B236" s="834" t="s">
        <v>461</v>
      </c>
      <c r="C236" s="1080"/>
      <c r="D236" s="1080"/>
      <c r="E236" s="1080"/>
      <c r="F236" s="1068">
        <v>0.14299999999999999</v>
      </c>
    </row>
    <row r="237" spans="1:6" ht="25.9" thickBot="1">
      <c r="A237" s="840" t="s">
        <v>528</v>
      </c>
      <c r="B237" s="834" t="s">
        <v>958</v>
      </c>
      <c r="C237" s="1080"/>
      <c r="D237" s="1080"/>
      <c r="E237" s="1080"/>
      <c r="F237" s="1068">
        <v>0.05</v>
      </c>
    </row>
    <row r="238" spans="1:6" ht="25.9" thickBot="1">
      <c r="A238" s="840" t="s">
        <v>528</v>
      </c>
      <c r="B238" s="834" t="s">
        <v>959</v>
      </c>
      <c r="C238" s="1080"/>
      <c r="D238" s="1080"/>
      <c r="E238" s="1080"/>
      <c r="F238" s="1068">
        <v>0.05</v>
      </c>
    </row>
    <row r="239" spans="1:6" ht="25.9" thickBot="1">
      <c r="A239" s="840" t="s">
        <v>528</v>
      </c>
      <c r="B239" s="834" t="s">
        <v>960</v>
      </c>
      <c r="C239" s="1080"/>
      <c r="D239" s="1080"/>
      <c r="E239" s="1080"/>
      <c r="F239" s="1068">
        <v>0.05</v>
      </c>
    </row>
    <row r="240" spans="1:6" ht="25.9" thickBot="1">
      <c r="A240" s="840" t="s">
        <v>528</v>
      </c>
      <c r="B240" s="834" t="s">
        <v>961</v>
      </c>
      <c r="C240" s="1080"/>
      <c r="D240" s="1080"/>
      <c r="E240" s="1080"/>
      <c r="F240" s="1068">
        <v>0.05</v>
      </c>
    </row>
    <row r="241" spans="1:6" ht="25.9" thickBot="1">
      <c r="A241" s="840" t="s">
        <v>528</v>
      </c>
      <c r="B241" s="834" t="s">
        <v>962</v>
      </c>
      <c r="C241" s="1080"/>
      <c r="D241" s="1080"/>
      <c r="E241" s="1080"/>
      <c r="F241" s="1068">
        <v>0.05</v>
      </c>
    </row>
    <row r="242" spans="1:6" ht="25.9" thickBot="1">
      <c r="A242" s="840" t="s">
        <v>528</v>
      </c>
      <c r="B242" s="834" t="s">
        <v>963</v>
      </c>
      <c r="C242" s="1080"/>
      <c r="D242" s="1080"/>
      <c r="E242" s="1080"/>
      <c r="F242" s="1068">
        <v>0.05</v>
      </c>
    </row>
    <row r="243" spans="1:6" ht="25.9" thickBot="1">
      <c r="A243" s="840" t="s">
        <v>528</v>
      </c>
      <c r="B243" s="834" t="s">
        <v>964</v>
      </c>
      <c r="C243" s="1080"/>
      <c r="D243" s="1080"/>
      <c r="E243" s="1080"/>
      <c r="F243" s="1068">
        <v>0.05</v>
      </c>
    </row>
    <row r="244" spans="1:6" ht="25.9" thickBot="1">
      <c r="A244" s="850" t="s">
        <v>528</v>
      </c>
      <c r="B244" s="846" t="s">
        <v>965</v>
      </c>
      <c r="C244" s="1077"/>
      <c r="D244" s="1077"/>
      <c r="E244" s="1077"/>
      <c r="F244" s="1070">
        <v>0.05</v>
      </c>
    </row>
    <row r="245" spans="1:6" ht="13.9" thickBot="1">
      <c r="A245" s="840" t="s">
        <v>530</v>
      </c>
      <c r="B245" s="841" t="s">
        <v>966</v>
      </c>
      <c r="C245" s="1065">
        <v>0.15</v>
      </c>
      <c r="D245" s="1065">
        <v>0.15</v>
      </c>
      <c r="E245" s="1065">
        <v>0.15</v>
      </c>
      <c r="F245" s="1066">
        <v>0.14299999999999999</v>
      </c>
    </row>
    <row r="246" spans="1:6" ht="13.9" thickBot="1">
      <c r="A246" s="840" t="s">
        <v>530</v>
      </c>
      <c r="B246" s="834" t="s">
        <v>195</v>
      </c>
      <c r="C246" s="1067">
        <v>0.15</v>
      </c>
      <c r="D246" s="1067">
        <v>0.15</v>
      </c>
      <c r="E246" s="1067">
        <v>0.15</v>
      </c>
      <c r="F246" s="1068">
        <v>0.114</v>
      </c>
    </row>
    <row r="247" spans="1:6" ht="13.9" thickBot="1">
      <c r="A247" s="840" t="s">
        <v>530</v>
      </c>
      <c r="B247" s="834" t="s">
        <v>967</v>
      </c>
      <c r="C247" s="1067">
        <v>0.15</v>
      </c>
      <c r="D247" s="1067">
        <v>0.15</v>
      </c>
      <c r="E247" s="1067">
        <v>0.15</v>
      </c>
      <c r="F247" s="1068">
        <v>0.15</v>
      </c>
    </row>
    <row r="248" spans="1:6" ht="13.9" thickBot="1">
      <c r="A248" s="840" t="s">
        <v>530</v>
      </c>
      <c r="B248" s="834" t="s">
        <v>968</v>
      </c>
      <c r="C248" s="1067">
        <v>0.15</v>
      </c>
      <c r="D248" s="1067">
        <v>0.15</v>
      </c>
      <c r="E248" s="1067">
        <v>0.15</v>
      </c>
      <c r="F248" s="1068">
        <v>0.14000000000000001</v>
      </c>
    </row>
    <row r="249" spans="1:6" ht="13.9" thickBot="1">
      <c r="A249" s="840" t="s">
        <v>530</v>
      </c>
      <c r="B249" s="834" t="s">
        <v>969</v>
      </c>
      <c r="C249" s="1067">
        <v>0.15</v>
      </c>
      <c r="D249" s="1067">
        <v>0.14899999999999999</v>
      </c>
      <c r="E249" s="1067">
        <v>0.15</v>
      </c>
      <c r="F249" s="1068">
        <v>0.1</v>
      </c>
    </row>
    <row r="250" spans="1:6" ht="13.9" thickBot="1">
      <c r="A250" s="840" t="s">
        <v>530</v>
      </c>
      <c r="B250" s="834" t="s">
        <v>970</v>
      </c>
      <c r="C250" s="1067">
        <v>0.15</v>
      </c>
      <c r="D250" s="1067">
        <v>0.15</v>
      </c>
      <c r="E250" s="1067">
        <v>0.15</v>
      </c>
      <c r="F250" s="1068">
        <v>0.14399999999999999</v>
      </c>
    </row>
    <row r="251" spans="1:6" ht="13.9" thickBot="1">
      <c r="A251" s="840" t="s">
        <v>530</v>
      </c>
      <c r="B251" s="834" t="s">
        <v>255</v>
      </c>
      <c r="C251" s="1067">
        <v>0.15</v>
      </c>
      <c r="D251" s="1067">
        <v>0.15</v>
      </c>
      <c r="E251" s="1067">
        <v>0.15</v>
      </c>
      <c r="F251" s="1068">
        <v>0.14299999999999999</v>
      </c>
    </row>
    <row r="252" spans="1:6" ht="13.9" thickBot="1">
      <c r="A252" s="840" t="s">
        <v>530</v>
      </c>
      <c r="B252" s="834" t="s">
        <v>266</v>
      </c>
      <c r="C252" s="1067">
        <v>0.15</v>
      </c>
      <c r="D252" s="1067">
        <v>0.15</v>
      </c>
      <c r="E252" s="1067">
        <v>0.15</v>
      </c>
      <c r="F252" s="1068">
        <v>0.1</v>
      </c>
    </row>
    <row r="253" spans="1:6" ht="13.9" thickBot="1">
      <c r="A253" s="840" t="s">
        <v>530</v>
      </c>
      <c r="B253" s="834" t="s">
        <v>278</v>
      </c>
      <c r="C253" s="1067">
        <v>0.15</v>
      </c>
      <c r="D253" s="1067">
        <v>0.15</v>
      </c>
      <c r="E253" s="1067">
        <v>0.15</v>
      </c>
      <c r="F253" s="1068">
        <v>0.1</v>
      </c>
    </row>
    <row r="254" spans="1:6" ht="13.9" thickBot="1">
      <c r="A254" s="840" t="s">
        <v>530</v>
      </c>
      <c r="B254" s="834" t="s">
        <v>288</v>
      </c>
      <c r="C254" s="1080"/>
      <c r="D254" s="1080"/>
      <c r="E254" s="1080"/>
      <c r="F254" s="1068">
        <v>0.15</v>
      </c>
    </row>
    <row r="255" spans="1:6" ht="13.9" thickBot="1">
      <c r="A255" s="840" t="s">
        <v>530</v>
      </c>
      <c r="B255" s="834" t="s">
        <v>298</v>
      </c>
      <c r="C255" s="1080"/>
      <c r="D255" s="1080"/>
      <c r="E255" s="1080"/>
      <c r="F255" s="1068">
        <v>0.14299999999999999</v>
      </c>
    </row>
    <row r="256" spans="1:6" ht="13.9" thickBot="1">
      <c r="A256" s="840" t="s">
        <v>530</v>
      </c>
      <c r="B256" s="834" t="s">
        <v>971</v>
      </c>
      <c r="C256" s="1067">
        <v>0.14599999999999999</v>
      </c>
      <c r="D256" s="1067">
        <v>0.14699999999999999</v>
      </c>
      <c r="E256" s="1067">
        <v>0.15</v>
      </c>
      <c r="F256" s="1068">
        <v>0.13200000000000001</v>
      </c>
    </row>
    <row r="257" spans="1:6" ht="13.9" thickBot="1">
      <c r="A257" s="840" t="s">
        <v>530</v>
      </c>
      <c r="B257" s="834" t="s">
        <v>318</v>
      </c>
      <c r="C257" s="1067">
        <v>0.15</v>
      </c>
      <c r="D257" s="1067">
        <v>0.15</v>
      </c>
      <c r="E257" s="1067">
        <v>0.15</v>
      </c>
      <c r="F257" s="1068">
        <v>0.13900000000000001</v>
      </c>
    </row>
    <row r="258" spans="1:6" ht="13.9" thickBot="1">
      <c r="A258" s="840" t="s">
        <v>530</v>
      </c>
      <c r="B258" s="834" t="s">
        <v>329</v>
      </c>
      <c r="C258" s="1067">
        <v>0.15</v>
      </c>
      <c r="D258" s="1067">
        <v>0.15</v>
      </c>
      <c r="E258" s="1067">
        <v>0.15</v>
      </c>
      <c r="F258" s="1068">
        <v>0.13</v>
      </c>
    </row>
    <row r="259" spans="1:6" ht="13.9" thickBot="1">
      <c r="A259" s="840" t="s">
        <v>530</v>
      </c>
      <c r="B259" s="834" t="s">
        <v>972</v>
      </c>
      <c r="C259" s="1067">
        <v>0.14799999999999999</v>
      </c>
      <c r="D259" s="1067">
        <v>0.14899999999999999</v>
      </c>
      <c r="E259" s="1067">
        <v>0.15</v>
      </c>
      <c r="F259" s="1068">
        <v>0.13700000000000001</v>
      </c>
    </row>
    <row r="260" spans="1:6" ht="13.9" thickBot="1">
      <c r="A260" s="840" t="s">
        <v>530</v>
      </c>
      <c r="B260" s="834" t="s">
        <v>350</v>
      </c>
      <c r="C260" s="1067">
        <v>0.15</v>
      </c>
      <c r="D260" s="1067">
        <v>0.15</v>
      </c>
      <c r="E260" s="1067">
        <v>0.15</v>
      </c>
      <c r="F260" s="1068">
        <v>0.14199999999999999</v>
      </c>
    </row>
    <row r="261" spans="1:6" ht="13.9" thickBot="1">
      <c r="A261" s="840" t="s">
        <v>530</v>
      </c>
      <c r="B261" s="834" t="s">
        <v>360</v>
      </c>
      <c r="C261" s="1067">
        <v>0.15</v>
      </c>
      <c r="D261" s="1067">
        <v>0.15</v>
      </c>
      <c r="E261" s="1067">
        <v>0.14899999999999999</v>
      </c>
      <c r="F261" s="1068">
        <v>0.14799999999999999</v>
      </c>
    </row>
    <row r="262" spans="1:6" ht="13.9" thickBot="1">
      <c r="A262" s="840" t="s">
        <v>530</v>
      </c>
      <c r="B262" s="834" t="s">
        <v>370</v>
      </c>
      <c r="C262" s="1067">
        <v>0.15</v>
      </c>
      <c r="D262" s="1067">
        <v>0.15</v>
      </c>
      <c r="E262" s="1067">
        <v>0.15</v>
      </c>
      <c r="F262" s="1079"/>
    </row>
    <row r="263" spans="1:6" ht="13.9" thickBot="1">
      <c r="A263" s="840" t="s">
        <v>530</v>
      </c>
      <c r="B263" s="834" t="s">
        <v>973</v>
      </c>
      <c r="C263" s="1067">
        <v>0.14899999999999999</v>
      </c>
      <c r="D263" s="1067">
        <v>0.14899999999999999</v>
      </c>
      <c r="E263" s="1067">
        <v>0.15</v>
      </c>
      <c r="F263" s="1068">
        <v>0.13</v>
      </c>
    </row>
    <row r="264" spans="1:6" ht="13.9" thickBot="1">
      <c r="A264" s="840" t="s">
        <v>530</v>
      </c>
      <c r="B264" s="834" t="s">
        <v>389</v>
      </c>
      <c r="C264" s="1067">
        <v>0.14799999999999999</v>
      </c>
      <c r="D264" s="1067">
        <v>0.14699999999999999</v>
      </c>
      <c r="E264" s="1067">
        <v>0.15</v>
      </c>
      <c r="F264" s="1068">
        <v>7.8E-2</v>
      </c>
    </row>
    <row r="265" spans="1:6" ht="13.9" thickBot="1">
      <c r="A265" s="840" t="s">
        <v>530</v>
      </c>
      <c r="B265" s="834" t="s">
        <v>398</v>
      </c>
      <c r="C265" s="1067">
        <v>0.15</v>
      </c>
      <c r="D265" s="1067">
        <v>0.15</v>
      </c>
      <c r="E265" s="1067">
        <v>0.15</v>
      </c>
      <c r="F265" s="1068">
        <v>7.3999999999999996E-2</v>
      </c>
    </row>
    <row r="266" spans="1:6" ht="13.9" thickBot="1">
      <c r="A266" s="840" t="s">
        <v>530</v>
      </c>
      <c r="B266" s="834" t="s">
        <v>406</v>
      </c>
      <c r="C266" s="1067">
        <v>0.14699999999999999</v>
      </c>
      <c r="D266" s="1067">
        <v>0.14699999999999999</v>
      </c>
      <c r="E266" s="1067">
        <v>0.15</v>
      </c>
      <c r="F266" s="1068">
        <v>0.14299999999999999</v>
      </c>
    </row>
    <row r="267" spans="1:6" ht="13.9" thickBot="1">
      <c r="A267" s="840" t="s">
        <v>530</v>
      </c>
      <c r="B267" s="834" t="s">
        <v>413</v>
      </c>
      <c r="C267" s="1067">
        <v>0.14199999999999999</v>
      </c>
      <c r="D267" s="1067">
        <v>0.14299999999999999</v>
      </c>
      <c r="E267" s="1067">
        <v>0.15</v>
      </c>
      <c r="F267" s="1079"/>
    </row>
    <row r="268" spans="1:6" ht="13.9" thickBot="1">
      <c r="A268" s="840" t="s">
        <v>530</v>
      </c>
      <c r="B268" s="834" t="s">
        <v>974</v>
      </c>
      <c r="C268" s="1067">
        <v>0.15</v>
      </c>
      <c r="D268" s="1067">
        <v>0.15</v>
      </c>
      <c r="E268" s="1067">
        <v>0.15</v>
      </c>
      <c r="F268" s="1068">
        <v>0.13</v>
      </c>
    </row>
    <row r="269" spans="1:6" ht="13.9" thickBot="1">
      <c r="A269" s="840" t="s">
        <v>530</v>
      </c>
      <c r="B269" s="834" t="s">
        <v>427</v>
      </c>
      <c r="C269" s="1067">
        <v>0.15</v>
      </c>
      <c r="D269" s="1067">
        <v>0.15</v>
      </c>
      <c r="E269" s="1067">
        <v>0.15</v>
      </c>
      <c r="F269" s="1068">
        <v>0.14299999999999999</v>
      </c>
    </row>
    <row r="270" spans="1:6" ht="13.9" thickBot="1">
      <c r="A270" s="840" t="s">
        <v>530</v>
      </c>
      <c r="B270" s="834" t="s">
        <v>434</v>
      </c>
      <c r="C270" s="1067">
        <v>0.14499999999999999</v>
      </c>
      <c r="D270" s="1067">
        <v>0.14499999999999999</v>
      </c>
      <c r="E270" s="1067">
        <v>0.15</v>
      </c>
      <c r="F270" s="1068">
        <v>0.14699999999999999</v>
      </c>
    </row>
    <row r="271" spans="1:6" ht="13.9" thickBot="1">
      <c r="A271" s="840" t="s">
        <v>530</v>
      </c>
      <c r="B271" s="834" t="s">
        <v>441</v>
      </c>
      <c r="C271" s="1067">
        <v>0.15</v>
      </c>
      <c r="D271" s="1067">
        <v>0.15</v>
      </c>
      <c r="E271" s="1067">
        <v>0.15</v>
      </c>
      <c r="F271" s="1068">
        <v>0.13800000000000001</v>
      </c>
    </row>
    <row r="272" spans="1:6" ht="13.9" thickBot="1">
      <c r="A272" s="840" t="s">
        <v>530</v>
      </c>
      <c r="B272" s="834" t="s">
        <v>448</v>
      </c>
      <c r="C272" s="1080"/>
      <c r="D272" s="1080"/>
      <c r="E272" s="1080"/>
      <c r="F272" s="1068">
        <v>0.14000000000000001</v>
      </c>
    </row>
    <row r="273" spans="1:6" ht="13.9" thickBot="1">
      <c r="A273" s="840" t="s">
        <v>530</v>
      </c>
      <c r="B273" s="834" t="s">
        <v>975</v>
      </c>
      <c r="C273" s="1067">
        <v>0.14199999999999999</v>
      </c>
      <c r="D273" s="1067">
        <v>0.14299999999999999</v>
      </c>
      <c r="E273" s="1067">
        <v>0.15</v>
      </c>
      <c r="F273" s="1068">
        <v>0.1</v>
      </c>
    </row>
    <row r="274" spans="1:6" ht="13.9" thickBot="1">
      <c r="A274" s="840" t="s">
        <v>530</v>
      </c>
      <c r="B274" s="834" t="s">
        <v>976</v>
      </c>
      <c r="C274" s="1067">
        <v>0.14799999999999999</v>
      </c>
      <c r="D274" s="1067">
        <v>0.14799999999999999</v>
      </c>
      <c r="E274" s="1067">
        <v>0.15</v>
      </c>
      <c r="F274" s="1068">
        <v>6.7000000000000004E-2</v>
      </c>
    </row>
    <row r="275" spans="1:6" ht="13.9" thickBot="1">
      <c r="A275" s="840" t="s">
        <v>530</v>
      </c>
      <c r="B275" s="834" t="s">
        <v>977</v>
      </c>
      <c r="C275" s="1067">
        <v>0.15</v>
      </c>
      <c r="D275" s="1067">
        <v>0.15</v>
      </c>
      <c r="E275" s="1067">
        <v>0.15</v>
      </c>
      <c r="F275" s="1068">
        <v>0.15</v>
      </c>
    </row>
    <row r="276" spans="1:6" ht="13.9" thickBot="1">
      <c r="A276" s="840" t="s">
        <v>530</v>
      </c>
      <c r="B276" s="834" t="s">
        <v>978</v>
      </c>
      <c r="C276" s="1067">
        <v>0.14499999999999999</v>
      </c>
      <c r="D276" s="1067">
        <v>0.14299999999999999</v>
      </c>
      <c r="E276" s="1067">
        <v>0.15</v>
      </c>
      <c r="F276" s="1068">
        <v>5.8999999999999997E-2</v>
      </c>
    </row>
    <row r="277" spans="1:6" ht="13.9" thickBot="1">
      <c r="A277" s="840" t="s">
        <v>530</v>
      </c>
      <c r="B277" s="834" t="s">
        <v>979</v>
      </c>
      <c r="C277" s="1067">
        <v>0.15</v>
      </c>
      <c r="D277" s="1067">
        <v>0.15</v>
      </c>
      <c r="E277" s="1067">
        <v>0.15</v>
      </c>
      <c r="F277" s="1068">
        <v>0.121</v>
      </c>
    </row>
    <row r="278" spans="1:6" ht="13.9" thickBot="1">
      <c r="A278" s="840" t="s">
        <v>530</v>
      </c>
      <c r="B278" s="834" t="s">
        <v>980</v>
      </c>
      <c r="C278" s="1067">
        <v>0.15</v>
      </c>
      <c r="D278" s="1067">
        <v>0.15</v>
      </c>
      <c r="E278" s="1067">
        <v>0.15</v>
      </c>
      <c r="F278" s="1068">
        <v>0.13800000000000001</v>
      </c>
    </row>
    <row r="279" spans="1:6" ht="25.9" thickBot="1">
      <c r="A279" s="840" t="s">
        <v>530</v>
      </c>
      <c r="B279" s="834" t="s">
        <v>981</v>
      </c>
      <c r="C279" s="1080"/>
      <c r="D279" s="1080"/>
      <c r="E279" s="1080"/>
      <c r="F279" s="1068">
        <v>0.05</v>
      </c>
    </row>
    <row r="280" spans="1:6" ht="25.9" thickBot="1">
      <c r="A280" s="840" t="s">
        <v>530</v>
      </c>
      <c r="B280" s="834" t="s">
        <v>982</v>
      </c>
      <c r="C280" s="1080"/>
      <c r="D280" s="1080"/>
      <c r="E280" s="1080"/>
      <c r="F280" s="1068">
        <v>0.05</v>
      </c>
    </row>
    <row r="281" spans="1:6" ht="25.9" thickBot="1">
      <c r="A281" s="840" t="s">
        <v>530</v>
      </c>
      <c r="B281" s="834" t="s">
        <v>983</v>
      </c>
      <c r="C281" s="1080"/>
      <c r="D281" s="1080"/>
      <c r="E281" s="1080"/>
      <c r="F281" s="1068">
        <v>0.05</v>
      </c>
    </row>
    <row r="282" spans="1:6" ht="25.9" thickBot="1">
      <c r="A282" s="840" t="s">
        <v>530</v>
      </c>
      <c r="B282" s="834" t="s">
        <v>984</v>
      </c>
      <c r="C282" s="1080"/>
      <c r="D282" s="1080"/>
      <c r="E282" s="1080"/>
      <c r="F282" s="1068">
        <v>0.05</v>
      </c>
    </row>
    <row r="283" spans="1:6" ht="25.9" thickBot="1">
      <c r="A283" s="840" t="s">
        <v>530</v>
      </c>
      <c r="B283" s="834" t="s">
        <v>985</v>
      </c>
      <c r="C283" s="1080"/>
      <c r="D283" s="1080"/>
      <c r="E283" s="1080"/>
      <c r="F283" s="1068">
        <v>0.05</v>
      </c>
    </row>
    <row r="284" spans="1:6" ht="25.9" thickBot="1">
      <c r="A284" s="840" t="s">
        <v>530</v>
      </c>
      <c r="B284" s="834" t="s">
        <v>986</v>
      </c>
      <c r="C284" s="1080"/>
      <c r="D284" s="1080"/>
      <c r="E284" s="1080"/>
      <c r="F284" s="1068">
        <v>0.05</v>
      </c>
    </row>
    <row r="285" spans="1:6" ht="25.9" thickBot="1">
      <c r="A285" s="840" t="s">
        <v>530</v>
      </c>
      <c r="B285" s="834" t="s">
        <v>987</v>
      </c>
      <c r="C285" s="1080"/>
      <c r="D285" s="1080"/>
      <c r="E285" s="1080"/>
      <c r="F285" s="1068">
        <v>0.05</v>
      </c>
    </row>
    <row r="286" spans="1:6" ht="25.9" thickBot="1">
      <c r="A286" s="840" t="s">
        <v>530</v>
      </c>
      <c r="B286" s="834" t="s">
        <v>988</v>
      </c>
      <c r="C286" s="1080"/>
      <c r="D286" s="1080"/>
      <c r="E286" s="1080"/>
      <c r="F286" s="1068">
        <v>0.05</v>
      </c>
    </row>
    <row r="287" spans="1:6" ht="25.9" thickBot="1">
      <c r="A287" s="840" t="s">
        <v>530</v>
      </c>
      <c r="B287" s="834" t="s">
        <v>989</v>
      </c>
      <c r="C287" s="1080"/>
      <c r="D287" s="1080"/>
      <c r="E287" s="1080"/>
      <c r="F287" s="1068">
        <v>0.05</v>
      </c>
    </row>
    <row r="288" spans="1:6" ht="25.9" thickBot="1">
      <c r="A288" s="840" t="s">
        <v>530</v>
      </c>
      <c r="B288" s="834" t="s">
        <v>990</v>
      </c>
      <c r="C288" s="1080"/>
      <c r="D288" s="1080"/>
      <c r="E288" s="1080"/>
      <c r="F288" s="1068">
        <v>0.05</v>
      </c>
    </row>
    <row r="289" spans="1:6" ht="25.9" thickBot="1">
      <c r="A289" s="850" t="s">
        <v>530</v>
      </c>
      <c r="B289" s="846" t="s">
        <v>991</v>
      </c>
      <c r="C289" s="1077"/>
      <c r="D289" s="1077"/>
      <c r="E289" s="1077"/>
      <c r="F289" s="1070">
        <v>0.05</v>
      </c>
    </row>
    <row r="290" spans="1:6" ht="13.9" thickBot="1">
      <c r="A290" s="840" t="s">
        <v>534</v>
      </c>
      <c r="B290" s="841" t="s">
        <v>992</v>
      </c>
      <c r="C290" s="1065">
        <v>0.15</v>
      </c>
      <c r="D290" s="1065">
        <v>0.15</v>
      </c>
      <c r="E290" s="1065">
        <v>0.15</v>
      </c>
      <c r="F290" s="1082"/>
    </row>
    <row r="291" spans="1:6" ht="13.9" thickBot="1">
      <c r="A291" s="840" t="s">
        <v>534</v>
      </c>
      <c r="B291" s="834" t="s">
        <v>196</v>
      </c>
      <c r="C291" s="1067">
        <v>0.15</v>
      </c>
      <c r="D291" s="1067">
        <v>0.15</v>
      </c>
      <c r="E291" s="1067">
        <v>0.15</v>
      </c>
      <c r="F291" s="1079"/>
    </row>
    <row r="292" spans="1:6" ht="13.9" thickBot="1">
      <c r="A292" s="840" t="s">
        <v>534</v>
      </c>
      <c r="B292" s="834" t="s">
        <v>993</v>
      </c>
      <c r="C292" s="1067">
        <v>0.15</v>
      </c>
      <c r="D292" s="1067">
        <v>0.15</v>
      </c>
      <c r="E292" s="1067">
        <v>0.15</v>
      </c>
      <c r="F292" s="1068">
        <v>0.14699999999999999</v>
      </c>
    </row>
    <row r="293" spans="1:6" ht="13.9" thickBot="1">
      <c r="A293" s="840" t="s">
        <v>534</v>
      </c>
      <c r="B293" s="834" t="s">
        <v>994</v>
      </c>
      <c r="C293" s="1080"/>
      <c r="D293" s="1080"/>
      <c r="E293" s="1080"/>
      <c r="F293" s="1068">
        <v>0.1</v>
      </c>
    </row>
    <row r="294" spans="1:6" ht="13.9" thickBot="1">
      <c r="A294" s="840" t="s">
        <v>534</v>
      </c>
      <c r="B294" s="834" t="s">
        <v>995</v>
      </c>
      <c r="C294" s="1067">
        <v>0.15</v>
      </c>
      <c r="D294" s="1067">
        <v>0.15</v>
      </c>
      <c r="E294" s="1067">
        <v>0.15</v>
      </c>
      <c r="F294" s="1068">
        <v>0.15</v>
      </c>
    </row>
    <row r="295" spans="1:6" ht="13.9" thickBot="1">
      <c r="A295" s="840" t="s">
        <v>534</v>
      </c>
      <c r="B295" s="834" t="s">
        <v>234</v>
      </c>
      <c r="C295" s="1067">
        <v>0.15</v>
      </c>
      <c r="D295" s="1067">
        <v>0.15</v>
      </c>
      <c r="E295" s="1067">
        <v>0.15</v>
      </c>
      <c r="F295" s="1068">
        <v>0.15</v>
      </c>
    </row>
    <row r="296" spans="1:6" ht="13.9" thickBot="1">
      <c r="A296" s="840" t="s">
        <v>534</v>
      </c>
      <c r="B296" s="834" t="s">
        <v>996</v>
      </c>
      <c r="C296" s="1067">
        <v>0.15</v>
      </c>
      <c r="D296" s="1067">
        <v>0.15</v>
      </c>
      <c r="E296" s="1067">
        <v>0.15</v>
      </c>
      <c r="F296" s="1068">
        <v>0.15</v>
      </c>
    </row>
    <row r="297" spans="1:6" ht="13.9" thickBot="1">
      <c r="A297" s="840" t="s">
        <v>534</v>
      </c>
      <c r="B297" s="834" t="s">
        <v>997</v>
      </c>
      <c r="C297" s="1067">
        <v>0.14799999999999999</v>
      </c>
      <c r="D297" s="1067">
        <v>0.14899999999999999</v>
      </c>
      <c r="E297" s="1067">
        <v>0.15</v>
      </c>
      <c r="F297" s="1068">
        <v>0.13700000000000001</v>
      </c>
    </row>
    <row r="298" spans="1:6" ht="13.9" thickBot="1">
      <c r="A298" s="840" t="s">
        <v>534</v>
      </c>
      <c r="B298" s="834" t="s">
        <v>267</v>
      </c>
      <c r="C298" s="1067">
        <v>0.13400000000000001</v>
      </c>
      <c r="D298" s="1067">
        <v>0.13400000000000001</v>
      </c>
      <c r="E298" s="1067">
        <v>0.14499999999999999</v>
      </c>
      <c r="F298" s="1068">
        <v>0.14799999999999999</v>
      </c>
    </row>
    <row r="299" spans="1:6" ht="13.9" thickBot="1">
      <c r="A299" s="840" t="s">
        <v>534</v>
      </c>
      <c r="B299" s="834" t="s">
        <v>279</v>
      </c>
      <c r="C299" s="1067">
        <v>0.15</v>
      </c>
      <c r="D299" s="1067">
        <v>0.15</v>
      </c>
      <c r="E299" s="1067">
        <v>0.15</v>
      </c>
      <c r="F299" s="1079"/>
    </row>
    <row r="300" spans="1:6" ht="13.9" thickBot="1">
      <c r="A300" s="840" t="s">
        <v>534</v>
      </c>
      <c r="B300" s="834" t="s">
        <v>998</v>
      </c>
      <c r="C300" s="1067">
        <v>0.15</v>
      </c>
      <c r="D300" s="1067">
        <v>0.15</v>
      </c>
      <c r="E300" s="1067">
        <v>0.15</v>
      </c>
      <c r="F300" s="1068">
        <v>0.15</v>
      </c>
    </row>
    <row r="301" spans="1:6" ht="13.9" thickBot="1">
      <c r="A301" s="840" t="s">
        <v>534</v>
      </c>
      <c r="B301" s="834" t="s">
        <v>299</v>
      </c>
      <c r="C301" s="1067">
        <v>0.15</v>
      </c>
      <c r="D301" s="1067">
        <v>0.15</v>
      </c>
      <c r="E301" s="1067">
        <v>0.15</v>
      </c>
      <c r="F301" s="1079"/>
    </row>
    <row r="302" spans="1:6" ht="13.9" thickBot="1">
      <c r="A302" s="840" t="s">
        <v>534</v>
      </c>
      <c r="B302" s="834" t="s">
        <v>999</v>
      </c>
      <c r="C302" s="1067">
        <v>0.15</v>
      </c>
      <c r="D302" s="1067">
        <v>0.15</v>
      </c>
      <c r="E302" s="1067">
        <v>0.15</v>
      </c>
      <c r="F302" s="1068">
        <v>0.15</v>
      </c>
    </row>
    <row r="303" spans="1:6" ht="13.9" thickBot="1">
      <c r="A303" s="840" t="s">
        <v>534</v>
      </c>
      <c r="B303" s="834" t="s">
        <v>319</v>
      </c>
      <c r="C303" s="1067">
        <v>0.15</v>
      </c>
      <c r="D303" s="1067">
        <v>0.15</v>
      </c>
      <c r="E303" s="1067">
        <v>0.15</v>
      </c>
      <c r="F303" s="1068">
        <v>0.15</v>
      </c>
    </row>
    <row r="304" spans="1:6" ht="13.9" thickBot="1">
      <c r="A304" s="840" t="s">
        <v>534</v>
      </c>
      <c r="B304" s="834" t="s">
        <v>330</v>
      </c>
      <c r="C304" s="1067">
        <v>0.15</v>
      </c>
      <c r="D304" s="1067">
        <v>0.15</v>
      </c>
      <c r="E304" s="1067">
        <v>0.15</v>
      </c>
      <c r="F304" s="1079"/>
    </row>
    <row r="305" spans="1:6" ht="13.9" thickBot="1">
      <c r="A305" s="840" t="s">
        <v>534</v>
      </c>
      <c r="B305" s="834" t="s">
        <v>1000</v>
      </c>
      <c r="C305" s="1067">
        <v>0.15</v>
      </c>
      <c r="D305" s="1067">
        <v>0.15</v>
      </c>
      <c r="E305" s="1067">
        <v>0.15</v>
      </c>
      <c r="F305" s="1068">
        <v>0.14000000000000001</v>
      </c>
    </row>
    <row r="306" spans="1:6" ht="13.9" thickBot="1">
      <c r="A306" s="840" t="s">
        <v>534</v>
      </c>
      <c r="B306" s="834" t="s">
        <v>351</v>
      </c>
      <c r="C306" s="1067">
        <v>0.15</v>
      </c>
      <c r="D306" s="1067">
        <v>0.15</v>
      </c>
      <c r="E306" s="1067">
        <v>0.15</v>
      </c>
      <c r="F306" s="1079"/>
    </row>
    <row r="307" spans="1:6" ht="13.9" thickBot="1">
      <c r="A307" s="840" t="s">
        <v>534</v>
      </c>
      <c r="B307" s="834" t="s">
        <v>1001</v>
      </c>
      <c r="C307" s="1067">
        <v>0.15</v>
      </c>
      <c r="D307" s="1067">
        <v>0.15</v>
      </c>
      <c r="E307" s="1067">
        <v>0.15</v>
      </c>
      <c r="F307" s="1068">
        <v>0.14299999999999999</v>
      </c>
    </row>
    <row r="308" spans="1:6" ht="13.9" thickBot="1">
      <c r="A308" s="840" t="s">
        <v>534</v>
      </c>
      <c r="B308" s="834" t="s">
        <v>371</v>
      </c>
      <c r="C308" s="1067">
        <v>0.15</v>
      </c>
      <c r="D308" s="1067">
        <v>0.15</v>
      </c>
      <c r="E308" s="1067">
        <v>0.15</v>
      </c>
      <c r="F308" s="1068">
        <v>0.15</v>
      </c>
    </row>
    <row r="309" spans="1:6" ht="13.9" thickBot="1">
      <c r="A309" s="840" t="s">
        <v>534</v>
      </c>
      <c r="B309" s="834" t="s">
        <v>381</v>
      </c>
      <c r="C309" s="1067">
        <v>0.15</v>
      </c>
      <c r="D309" s="1067">
        <v>0.15</v>
      </c>
      <c r="E309" s="1067">
        <v>0.15</v>
      </c>
      <c r="F309" s="1079"/>
    </row>
    <row r="310" spans="1:6" ht="13.9" thickBot="1">
      <c r="A310" s="840" t="s">
        <v>534</v>
      </c>
      <c r="B310" s="834" t="s">
        <v>1002</v>
      </c>
      <c r="C310" s="1067">
        <v>0.15</v>
      </c>
      <c r="D310" s="1067">
        <v>0.15</v>
      </c>
      <c r="E310" s="1067">
        <v>0.15</v>
      </c>
      <c r="F310" s="1068">
        <v>0.13700000000000001</v>
      </c>
    </row>
    <row r="311" spans="1:6" ht="13.9" thickBot="1">
      <c r="A311" s="840" t="s">
        <v>534</v>
      </c>
      <c r="B311" s="834" t="s">
        <v>1003</v>
      </c>
      <c r="C311" s="1067">
        <v>0.15</v>
      </c>
      <c r="D311" s="1067">
        <v>0.15</v>
      </c>
      <c r="E311" s="1067">
        <v>0.15</v>
      </c>
      <c r="F311" s="1068">
        <v>0.15</v>
      </c>
    </row>
    <row r="312" spans="1:6" ht="13.9" thickBot="1">
      <c r="A312" s="840" t="s">
        <v>534</v>
      </c>
      <c r="B312" s="834" t="s">
        <v>407</v>
      </c>
      <c r="C312" s="1067">
        <v>0.15</v>
      </c>
      <c r="D312" s="1067">
        <v>0.15</v>
      </c>
      <c r="E312" s="1067">
        <v>0.15</v>
      </c>
      <c r="F312" s="1068">
        <v>0.1</v>
      </c>
    </row>
    <row r="313" spans="1:6" ht="13.9" thickBot="1">
      <c r="A313" s="840" t="s">
        <v>534</v>
      </c>
      <c r="B313" s="834" t="s">
        <v>1004</v>
      </c>
      <c r="C313" s="1067">
        <v>0.15</v>
      </c>
      <c r="D313" s="1067">
        <v>0.15</v>
      </c>
      <c r="E313" s="1067">
        <v>0.15</v>
      </c>
      <c r="F313" s="1068">
        <v>0.15</v>
      </c>
    </row>
    <row r="314" spans="1:6" ht="25.9" thickBot="1">
      <c r="A314" s="840" t="s">
        <v>534</v>
      </c>
      <c r="B314" s="834" t="s">
        <v>1005</v>
      </c>
      <c r="C314" s="1080"/>
      <c r="D314" s="1080"/>
      <c r="E314" s="1080"/>
      <c r="F314" s="1068">
        <v>0.05</v>
      </c>
    </row>
    <row r="315" spans="1:6" ht="25.9" thickBot="1">
      <c r="A315" s="840" t="s">
        <v>534</v>
      </c>
      <c r="B315" s="834" t="s">
        <v>1006</v>
      </c>
      <c r="C315" s="1080"/>
      <c r="D315" s="1080"/>
      <c r="E315" s="1080"/>
      <c r="F315" s="1068">
        <v>0.05</v>
      </c>
    </row>
    <row r="316" spans="1:6" ht="25.9" thickBot="1">
      <c r="A316" s="850" t="s">
        <v>534</v>
      </c>
      <c r="B316" s="846" t="s">
        <v>1007</v>
      </c>
      <c r="C316" s="1077"/>
      <c r="D316" s="1077"/>
      <c r="E316" s="1077"/>
      <c r="F316" s="1070">
        <v>0.05</v>
      </c>
    </row>
    <row r="317" spans="1:6" ht="13.9" thickBot="1">
      <c r="A317" s="840" t="s">
        <v>1008</v>
      </c>
      <c r="B317" s="841" t="s">
        <v>1009</v>
      </c>
      <c r="C317" s="1065">
        <v>0.15</v>
      </c>
      <c r="D317" s="1065">
        <v>0.15</v>
      </c>
      <c r="E317" s="1065">
        <v>0.15</v>
      </c>
      <c r="F317" s="1066">
        <v>0.15</v>
      </c>
    </row>
    <row r="318" spans="1:6" ht="13.9" thickBot="1">
      <c r="A318" s="840" t="s">
        <v>1008</v>
      </c>
      <c r="B318" s="834" t="s">
        <v>1010</v>
      </c>
      <c r="C318" s="1067">
        <v>0.107</v>
      </c>
      <c r="D318" s="1067">
        <v>0.11</v>
      </c>
      <c r="E318" s="1067">
        <v>0.112</v>
      </c>
      <c r="F318" s="1079"/>
    </row>
    <row r="319" spans="1:6" ht="13.9" thickBot="1">
      <c r="A319" s="840" t="s">
        <v>1008</v>
      </c>
      <c r="B319" s="834" t="s">
        <v>1011</v>
      </c>
      <c r="C319" s="1067">
        <v>0.15</v>
      </c>
      <c r="D319" s="1067">
        <v>0.15</v>
      </c>
      <c r="E319" s="1067">
        <v>0.15</v>
      </c>
      <c r="F319" s="1068">
        <v>0.15</v>
      </c>
    </row>
    <row r="320" spans="1:6" ht="13.9" thickBot="1">
      <c r="A320" s="840" t="s">
        <v>1008</v>
      </c>
      <c r="B320" s="834" t="s">
        <v>223</v>
      </c>
      <c r="C320" s="1067">
        <v>0.15</v>
      </c>
      <c r="D320" s="1067">
        <v>0.15</v>
      </c>
      <c r="E320" s="1067">
        <v>0.15</v>
      </c>
      <c r="F320" s="1079"/>
    </row>
    <row r="321" spans="1:6" ht="13.9" thickBot="1">
      <c r="A321" s="840" t="s">
        <v>1008</v>
      </c>
      <c r="B321" s="834" t="s">
        <v>1012</v>
      </c>
      <c r="C321" s="1067">
        <v>0.15</v>
      </c>
      <c r="D321" s="1067">
        <v>0.15</v>
      </c>
      <c r="E321" s="1067">
        <v>0.15</v>
      </c>
      <c r="F321" s="1079"/>
    </row>
    <row r="322" spans="1:6" ht="13.9" thickBot="1">
      <c r="A322" s="840" t="s">
        <v>1008</v>
      </c>
      <c r="B322" s="834" t="s">
        <v>1013</v>
      </c>
      <c r="C322" s="1067">
        <v>0.15</v>
      </c>
      <c r="D322" s="1067">
        <v>0.15</v>
      </c>
      <c r="E322" s="1067">
        <v>0.15</v>
      </c>
      <c r="F322" s="1068">
        <v>0.15</v>
      </c>
    </row>
    <row r="323" spans="1:6" ht="13.9" thickBot="1">
      <c r="A323" s="840" t="s">
        <v>1008</v>
      </c>
      <c r="B323" s="834" t="s">
        <v>1014</v>
      </c>
      <c r="C323" s="1067">
        <v>0.15</v>
      </c>
      <c r="D323" s="1067">
        <v>0.15</v>
      </c>
      <c r="E323" s="1067">
        <v>0.15</v>
      </c>
      <c r="F323" s="1079"/>
    </row>
    <row r="324" spans="1:6" ht="13.9" thickBot="1">
      <c r="A324" s="840" t="s">
        <v>1008</v>
      </c>
      <c r="B324" s="834" t="s">
        <v>1015</v>
      </c>
      <c r="C324" s="1067">
        <v>0.15</v>
      </c>
      <c r="D324" s="1067">
        <v>0.15</v>
      </c>
      <c r="E324" s="1067">
        <v>0.15</v>
      </c>
      <c r="F324" s="1079"/>
    </row>
    <row r="325" spans="1:6" ht="13.9" thickBot="1">
      <c r="A325" s="840" t="s">
        <v>1008</v>
      </c>
      <c r="B325" s="834" t="s">
        <v>1016</v>
      </c>
      <c r="C325" s="1067">
        <v>0.15</v>
      </c>
      <c r="D325" s="1067">
        <v>0.15</v>
      </c>
      <c r="E325" s="1067">
        <v>0.15</v>
      </c>
      <c r="F325" s="1068">
        <v>0.14699999999999999</v>
      </c>
    </row>
    <row r="326" spans="1:6" ht="13.9" thickBot="1">
      <c r="A326" s="840" t="s">
        <v>1008</v>
      </c>
      <c r="B326" s="834" t="s">
        <v>290</v>
      </c>
      <c r="C326" s="1067">
        <v>0.15</v>
      </c>
      <c r="D326" s="1067">
        <v>0.15</v>
      </c>
      <c r="E326" s="1067">
        <v>0.15</v>
      </c>
      <c r="F326" s="1079"/>
    </row>
    <row r="327" spans="1:6" ht="13.9" thickBot="1">
      <c r="A327" s="840" t="s">
        <v>1008</v>
      </c>
      <c r="B327" s="834" t="s">
        <v>1017</v>
      </c>
      <c r="C327" s="1067">
        <v>0.15</v>
      </c>
      <c r="D327" s="1067">
        <v>0.15</v>
      </c>
      <c r="E327" s="1067">
        <v>0.15</v>
      </c>
      <c r="F327" s="1068">
        <v>0.15</v>
      </c>
    </row>
    <row r="328" spans="1:6" ht="13.9" thickBot="1">
      <c r="A328" s="840" t="s">
        <v>1008</v>
      </c>
      <c r="B328" s="834" t="s">
        <v>310</v>
      </c>
      <c r="C328" s="1067">
        <v>0.15</v>
      </c>
      <c r="D328" s="1067">
        <v>0.15</v>
      </c>
      <c r="E328" s="1067">
        <v>0.15</v>
      </c>
      <c r="F328" s="1068">
        <v>0.14099999999999999</v>
      </c>
    </row>
    <row r="329" spans="1:6" ht="13.9" thickBot="1">
      <c r="A329" s="840" t="s">
        <v>1008</v>
      </c>
      <c r="B329" s="834" t="s">
        <v>320</v>
      </c>
      <c r="C329" s="1067">
        <v>0.15</v>
      </c>
      <c r="D329" s="1067">
        <v>0.15</v>
      </c>
      <c r="E329" s="1067">
        <v>0.15</v>
      </c>
      <c r="F329" s="1068">
        <v>0.15</v>
      </c>
    </row>
    <row r="330" spans="1:6" ht="13.9" thickBot="1">
      <c r="A330" s="840" t="s">
        <v>1008</v>
      </c>
      <c r="B330" s="834" t="s">
        <v>331</v>
      </c>
      <c r="C330" s="1067">
        <v>0.15</v>
      </c>
      <c r="D330" s="1067">
        <v>0.15</v>
      </c>
      <c r="E330" s="1067">
        <v>0.15</v>
      </c>
      <c r="F330" s="1079"/>
    </row>
    <row r="331" spans="1:6" ht="13.9" thickBot="1">
      <c r="A331" s="840" t="s">
        <v>1008</v>
      </c>
      <c r="B331" s="834" t="s">
        <v>1018</v>
      </c>
      <c r="C331" s="1067">
        <v>0.15</v>
      </c>
      <c r="D331" s="1067">
        <v>0.15</v>
      </c>
      <c r="E331" s="1067">
        <v>0.15</v>
      </c>
      <c r="F331" s="1068">
        <v>0.15</v>
      </c>
    </row>
    <row r="332" spans="1:6" ht="13.9" thickBot="1">
      <c r="A332" s="840" t="s">
        <v>1008</v>
      </c>
      <c r="B332" s="834" t="s">
        <v>352</v>
      </c>
      <c r="C332" s="1067">
        <v>0.15</v>
      </c>
      <c r="D332" s="1067">
        <v>0.15</v>
      </c>
      <c r="E332" s="1067">
        <v>0.15</v>
      </c>
      <c r="F332" s="1068">
        <v>0.15</v>
      </c>
    </row>
    <row r="333" spans="1:6" ht="13.9" thickBot="1">
      <c r="A333" s="840" t="s">
        <v>1008</v>
      </c>
      <c r="B333" s="834" t="s">
        <v>1019</v>
      </c>
      <c r="C333" s="1067">
        <v>0.15</v>
      </c>
      <c r="D333" s="1067">
        <v>0.15</v>
      </c>
      <c r="E333" s="1067">
        <v>0.15</v>
      </c>
      <c r="F333" s="1068">
        <v>0.14099999999999999</v>
      </c>
    </row>
    <row r="334" spans="1:6" ht="13.9" thickBot="1">
      <c r="A334" s="840" t="s">
        <v>1008</v>
      </c>
      <c r="B334" s="834" t="s">
        <v>372</v>
      </c>
      <c r="C334" s="1067">
        <v>0.15</v>
      </c>
      <c r="D334" s="1067">
        <v>0.15</v>
      </c>
      <c r="E334" s="1067">
        <v>0.15</v>
      </c>
      <c r="F334" s="1068">
        <v>0.15</v>
      </c>
    </row>
    <row r="335" spans="1:6" ht="13.9" thickBot="1">
      <c r="A335" s="840" t="s">
        <v>1008</v>
      </c>
      <c r="B335" s="834" t="s">
        <v>382</v>
      </c>
      <c r="C335" s="1067">
        <v>0.15</v>
      </c>
      <c r="D335" s="1067">
        <v>0.15</v>
      </c>
      <c r="E335" s="1067">
        <v>0.15</v>
      </c>
      <c r="F335" s="1079"/>
    </row>
    <row r="336" spans="1:6" ht="13.9" thickBot="1">
      <c r="A336" s="840" t="s">
        <v>1008</v>
      </c>
      <c r="B336" s="834" t="s">
        <v>1020</v>
      </c>
      <c r="C336" s="1067">
        <v>0.15</v>
      </c>
      <c r="D336" s="1067">
        <v>0.15</v>
      </c>
      <c r="E336" s="1067">
        <v>0.15</v>
      </c>
      <c r="F336" s="1068">
        <v>0.11799999999999999</v>
      </c>
    </row>
    <row r="337" spans="1:6" ht="13.9" thickBot="1">
      <c r="A337" s="850" t="s">
        <v>1008</v>
      </c>
      <c r="B337" s="846" t="s">
        <v>400</v>
      </c>
      <c r="C337" s="1077"/>
      <c r="D337" s="1077"/>
      <c r="E337" s="1077"/>
      <c r="F337" s="1070">
        <v>0.14299999999999999</v>
      </c>
    </row>
    <row r="338" spans="1:6" ht="13.9" thickBot="1">
      <c r="A338" s="840" t="s">
        <v>1021</v>
      </c>
      <c r="B338" s="841" t="s">
        <v>1022</v>
      </c>
      <c r="C338" s="1065">
        <v>0.15</v>
      </c>
      <c r="D338" s="1065">
        <v>0.15</v>
      </c>
      <c r="E338" s="1065">
        <v>0.15</v>
      </c>
      <c r="F338" s="1082"/>
    </row>
    <row r="339" spans="1:6" ht="13.9" thickBot="1">
      <c r="A339" s="840" t="s">
        <v>1021</v>
      </c>
      <c r="B339" s="834" t="s">
        <v>1023</v>
      </c>
      <c r="C339" s="1067">
        <v>0.15</v>
      </c>
      <c r="D339" s="1067">
        <v>0.15</v>
      </c>
      <c r="E339" s="1067">
        <v>0.15</v>
      </c>
      <c r="F339" s="1079"/>
    </row>
    <row r="340" spans="1:6" ht="13.9" thickBot="1">
      <c r="A340" s="840" t="s">
        <v>1021</v>
      </c>
      <c r="B340" s="834" t="s">
        <v>1024</v>
      </c>
      <c r="C340" s="1067">
        <v>0.15</v>
      </c>
      <c r="D340" s="1067">
        <v>0.15</v>
      </c>
      <c r="E340" s="1067">
        <v>0.15</v>
      </c>
      <c r="F340" s="1079"/>
    </row>
    <row r="341" spans="1:6" ht="13.9" thickBot="1">
      <c r="A341" s="840" t="s">
        <v>1021</v>
      </c>
      <c r="B341" s="834" t="s">
        <v>1025</v>
      </c>
      <c r="C341" s="1067">
        <v>0.15</v>
      </c>
      <c r="D341" s="1067">
        <v>0.15</v>
      </c>
      <c r="E341" s="1067">
        <v>0.15</v>
      </c>
      <c r="F341" s="1068">
        <v>0.15</v>
      </c>
    </row>
    <row r="342" spans="1:6" ht="13.9" thickBot="1">
      <c r="A342" s="840" t="s">
        <v>1021</v>
      </c>
      <c r="B342" s="834" t="s">
        <v>1026</v>
      </c>
      <c r="C342" s="1067">
        <v>0.15</v>
      </c>
      <c r="D342" s="1067">
        <v>0.15</v>
      </c>
      <c r="E342" s="1067">
        <v>0.15</v>
      </c>
      <c r="F342" s="1068">
        <v>0.15</v>
      </c>
    </row>
    <row r="343" spans="1:6" ht="13.9" thickBot="1">
      <c r="A343" s="840" t="s">
        <v>1021</v>
      </c>
      <c r="B343" s="834" t="s">
        <v>1027</v>
      </c>
      <c r="C343" s="1067">
        <v>0.15</v>
      </c>
      <c r="D343" s="1067">
        <v>0.15</v>
      </c>
      <c r="E343" s="1067">
        <v>0.15</v>
      </c>
      <c r="F343" s="1068">
        <v>0.15</v>
      </c>
    </row>
    <row r="344" spans="1:6" ht="13.9"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6328125" style="1641" customWidth="1"/>
    <col min="2" max="2" width="13.265625" style="1647" customWidth="1"/>
    <col min="3" max="3" width="15.59765625" style="1647" customWidth="1"/>
    <col min="4" max="4" width="9.3984375" style="1647" bestFit="1" customWidth="1"/>
    <col min="5" max="5" width="13.46484375" style="1647" customWidth="1"/>
    <col min="6" max="6" width="9" style="1647"/>
    <col min="7" max="7" width="9.3984375" style="1647" bestFit="1" customWidth="1"/>
    <col min="8" max="8" width="12.265625" style="1647" customWidth="1"/>
    <col min="9" max="9" width="9" style="1647"/>
    <col min="10" max="10" width="9.3984375" style="1647" bestFit="1" customWidth="1"/>
    <col min="11" max="11" width="4" style="1641" customWidth="1"/>
    <col min="12" max="12" width="5.1328125" style="1647" customWidth="1"/>
    <col min="13" max="13" width="13.73046875" style="1647" customWidth="1"/>
    <col min="14" max="256" width="9" style="1647"/>
    <col min="257" max="257" width="4.86328125" style="1638" customWidth="1"/>
    <col min="258" max="258" width="13.265625" style="1638" customWidth="1"/>
    <col min="259" max="259" width="15.59765625" style="1638" customWidth="1"/>
    <col min="260" max="260" width="9.3984375" style="1638" bestFit="1" customWidth="1"/>
    <col min="261" max="261" width="13.46484375" style="1638" customWidth="1"/>
    <col min="262" max="262" width="9" style="1638"/>
    <col min="263" max="263" width="9.3984375" style="1638" bestFit="1" customWidth="1"/>
    <col min="264" max="265" width="9" style="1638"/>
    <col min="266" max="266" width="9.3984375" style="1638" bestFit="1" customWidth="1"/>
    <col min="267" max="267" width="4" style="1638" customWidth="1"/>
    <col min="268" max="268" width="5.1328125" style="1638" customWidth="1"/>
    <col min="269" max="269" width="13.73046875" style="1638" customWidth="1"/>
    <col min="270" max="512" width="9" style="1638"/>
    <col min="513" max="513" width="4.86328125" style="1638" customWidth="1"/>
    <col min="514" max="514" width="13.265625" style="1638" customWidth="1"/>
    <col min="515" max="515" width="15.59765625" style="1638" customWidth="1"/>
    <col min="516" max="516" width="9.3984375" style="1638" bestFit="1" customWidth="1"/>
    <col min="517" max="517" width="13.46484375" style="1638" customWidth="1"/>
    <col min="518" max="518" width="9" style="1638"/>
    <col min="519" max="519" width="9.3984375" style="1638" bestFit="1" customWidth="1"/>
    <col min="520" max="521" width="9" style="1638"/>
    <col min="522" max="522" width="9.3984375" style="1638" bestFit="1" customWidth="1"/>
    <col min="523" max="523" width="4" style="1638" customWidth="1"/>
    <col min="524" max="524" width="5.1328125" style="1638" customWidth="1"/>
    <col min="525" max="525" width="13.73046875" style="1638" customWidth="1"/>
    <col min="526" max="768" width="9" style="1638"/>
    <col min="769" max="769" width="4.86328125" style="1638" customWidth="1"/>
    <col min="770" max="770" width="13.265625" style="1638" customWidth="1"/>
    <col min="771" max="771" width="15.59765625" style="1638" customWidth="1"/>
    <col min="772" max="772" width="9.3984375" style="1638" bestFit="1" customWidth="1"/>
    <col min="773" max="773" width="13.46484375" style="1638" customWidth="1"/>
    <col min="774" max="774" width="9" style="1638"/>
    <col min="775" max="775" width="9.3984375" style="1638" bestFit="1" customWidth="1"/>
    <col min="776" max="777" width="9" style="1638"/>
    <col min="778" max="778" width="9.3984375" style="1638" bestFit="1" customWidth="1"/>
    <col min="779" max="779" width="4" style="1638" customWidth="1"/>
    <col min="780" max="780" width="5.1328125" style="1638" customWidth="1"/>
    <col min="781" max="781" width="13.73046875" style="1638" customWidth="1"/>
    <col min="782" max="1024" width="9" style="1638"/>
    <col min="1025" max="1025" width="4.86328125" style="1638" customWidth="1"/>
    <col min="1026" max="1026" width="13.265625" style="1638" customWidth="1"/>
    <col min="1027" max="1027" width="15.59765625" style="1638" customWidth="1"/>
    <col min="1028" max="1028" width="9.3984375" style="1638" bestFit="1" customWidth="1"/>
    <col min="1029" max="1029" width="13.46484375" style="1638" customWidth="1"/>
    <col min="1030" max="1030" width="9" style="1638"/>
    <col min="1031" max="1031" width="9.3984375" style="1638" bestFit="1" customWidth="1"/>
    <col min="1032" max="1033" width="9" style="1638"/>
    <col min="1034" max="1034" width="9.3984375" style="1638" bestFit="1" customWidth="1"/>
    <col min="1035" max="1035" width="4" style="1638" customWidth="1"/>
    <col min="1036" max="1036" width="5.1328125" style="1638" customWidth="1"/>
    <col min="1037" max="1037" width="13.73046875" style="1638" customWidth="1"/>
    <col min="1038" max="1280" width="9" style="1638"/>
    <col min="1281" max="1281" width="4.86328125" style="1638" customWidth="1"/>
    <col min="1282" max="1282" width="13.265625" style="1638" customWidth="1"/>
    <col min="1283" max="1283" width="15.59765625" style="1638" customWidth="1"/>
    <col min="1284" max="1284" width="9.3984375" style="1638" bestFit="1" customWidth="1"/>
    <col min="1285" max="1285" width="13.46484375" style="1638" customWidth="1"/>
    <col min="1286" max="1286" width="9" style="1638"/>
    <col min="1287" max="1287" width="9.3984375" style="1638" bestFit="1" customWidth="1"/>
    <col min="1288" max="1289" width="9" style="1638"/>
    <col min="1290" max="1290" width="9.3984375" style="1638" bestFit="1" customWidth="1"/>
    <col min="1291" max="1291" width="4" style="1638" customWidth="1"/>
    <col min="1292" max="1292" width="5.1328125" style="1638" customWidth="1"/>
    <col min="1293" max="1293" width="13.73046875" style="1638" customWidth="1"/>
    <col min="1294" max="1536" width="9" style="1638"/>
    <col min="1537" max="1537" width="4.86328125" style="1638" customWidth="1"/>
    <col min="1538" max="1538" width="13.265625" style="1638" customWidth="1"/>
    <col min="1539" max="1539" width="15.59765625" style="1638" customWidth="1"/>
    <col min="1540" max="1540" width="9.3984375" style="1638" bestFit="1" customWidth="1"/>
    <col min="1541" max="1541" width="13.46484375" style="1638" customWidth="1"/>
    <col min="1542" max="1542" width="9" style="1638"/>
    <col min="1543" max="1543" width="9.3984375" style="1638" bestFit="1" customWidth="1"/>
    <col min="1544" max="1545" width="9" style="1638"/>
    <col min="1546" max="1546" width="9.3984375" style="1638" bestFit="1" customWidth="1"/>
    <col min="1547" max="1547" width="4" style="1638" customWidth="1"/>
    <col min="1548" max="1548" width="5.1328125" style="1638" customWidth="1"/>
    <col min="1549" max="1549" width="13.73046875" style="1638" customWidth="1"/>
    <col min="1550" max="1792" width="9" style="1638"/>
    <col min="1793" max="1793" width="4.86328125" style="1638" customWidth="1"/>
    <col min="1794" max="1794" width="13.265625" style="1638" customWidth="1"/>
    <col min="1795" max="1795" width="15.59765625" style="1638" customWidth="1"/>
    <col min="1796" max="1796" width="9.3984375" style="1638" bestFit="1" customWidth="1"/>
    <col min="1797" max="1797" width="13.46484375" style="1638" customWidth="1"/>
    <col min="1798" max="1798" width="9" style="1638"/>
    <col min="1799" max="1799" width="9.3984375" style="1638" bestFit="1" customWidth="1"/>
    <col min="1800" max="1801" width="9" style="1638"/>
    <col min="1802" max="1802" width="9.3984375" style="1638" bestFit="1" customWidth="1"/>
    <col min="1803" max="1803" width="4" style="1638" customWidth="1"/>
    <col min="1804" max="1804" width="5.1328125" style="1638" customWidth="1"/>
    <col min="1805" max="1805" width="13.73046875" style="1638" customWidth="1"/>
    <col min="1806" max="2048" width="9" style="1638"/>
    <col min="2049" max="2049" width="4.86328125" style="1638" customWidth="1"/>
    <col min="2050" max="2050" width="13.265625" style="1638" customWidth="1"/>
    <col min="2051" max="2051" width="15.59765625" style="1638" customWidth="1"/>
    <col min="2052" max="2052" width="9.3984375" style="1638" bestFit="1" customWidth="1"/>
    <col min="2053" max="2053" width="13.46484375" style="1638" customWidth="1"/>
    <col min="2054" max="2054" width="9" style="1638"/>
    <col min="2055" max="2055" width="9.3984375" style="1638" bestFit="1" customWidth="1"/>
    <col min="2056" max="2057" width="9" style="1638"/>
    <col min="2058" max="2058" width="9.3984375" style="1638" bestFit="1" customWidth="1"/>
    <col min="2059" max="2059" width="4" style="1638" customWidth="1"/>
    <col min="2060" max="2060" width="5.1328125" style="1638" customWidth="1"/>
    <col min="2061" max="2061" width="13.73046875" style="1638" customWidth="1"/>
    <col min="2062" max="2304" width="9" style="1638"/>
    <col min="2305" max="2305" width="4.86328125" style="1638" customWidth="1"/>
    <col min="2306" max="2306" width="13.265625" style="1638" customWidth="1"/>
    <col min="2307" max="2307" width="15.59765625" style="1638" customWidth="1"/>
    <col min="2308" max="2308" width="9.3984375" style="1638" bestFit="1" customWidth="1"/>
    <col min="2309" max="2309" width="13.46484375" style="1638" customWidth="1"/>
    <col min="2310" max="2310" width="9" style="1638"/>
    <col min="2311" max="2311" width="9.3984375" style="1638" bestFit="1" customWidth="1"/>
    <col min="2312" max="2313" width="9" style="1638"/>
    <col min="2314" max="2314" width="9.3984375" style="1638" bestFit="1" customWidth="1"/>
    <col min="2315" max="2315" width="4" style="1638" customWidth="1"/>
    <col min="2316" max="2316" width="5.1328125" style="1638" customWidth="1"/>
    <col min="2317" max="2317" width="13.73046875" style="1638" customWidth="1"/>
    <col min="2318" max="2560" width="9" style="1638"/>
    <col min="2561" max="2561" width="4.86328125" style="1638" customWidth="1"/>
    <col min="2562" max="2562" width="13.265625" style="1638" customWidth="1"/>
    <col min="2563" max="2563" width="15.59765625" style="1638" customWidth="1"/>
    <col min="2564" max="2564" width="9.3984375" style="1638" bestFit="1" customWidth="1"/>
    <col min="2565" max="2565" width="13.46484375" style="1638" customWidth="1"/>
    <col min="2566" max="2566" width="9" style="1638"/>
    <col min="2567" max="2567" width="9.3984375" style="1638" bestFit="1" customWidth="1"/>
    <col min="2568" max="2569" width="9" style="1638"/>
    <col min="2570" max="2570" width="9.3984375" style="1638" bestFit="1" customWidth="1"/>
    <col min="2571" max="2571" width="4" style="1638" customWidth="1"/>
    <col min="2572" max="2572" width="5.1328125" style="1638" customWidth="1"/>
    <col min="2573" max="2573" width="13.73046875" style="1638" customWidth="1"/>
    <col min="2574" max="2816" width="9" style="1638"/>
    <col min="2817" max="2817" width="4.86328125" style="1638" customWidth="1"/>
    <col min="2818" max="2818" width="13.265625" style="1638" customWidth="1"/>
    <col min="2819" max="2819" width="15.59765625" style="1638" customWidth="1"/>
    <col min="2820" max="2820" width="9.3984375" style="1638" bestFit="1" customWidth="1"/>
    <col min="2821" max="2821" width="13.46484375" style="1638" customWidth="1"/>
    <col min="2822" max="2822" width="9" style="1638"/>
    <col min="2823" max="2823" width="9.3984375" style="1638" bestFit="1" customWidth="1"/>
    <col min="2824" max="2825" width="9" style="1638"/>
    <col min="2826" max="2826" width="9.3984375" style="1638" bestFit="1" customWidth="1"/>
    <col min="2827" max="2827" width="4" style="1638" customWidth="1"/>
    <col min="2828" max="2828" width="5.1328125" style="1638" customWidth="1"/>
    <col min="2829" max="2829" width="13.73046875" style="1638" customWidth="1"/>
    <col min="2830" max="3072" width="9" style="1638"/>
    <col min="3073" max="3073" width="4.86328125" style="1638" customWidth="1"/>
    <col min="3074" max="3074" width="13.265625" style="1638" customWidth="1"/>
    <col min="3075" max="3075" width="15.59765625" style="1638" customWidth="1"/>
    <col min="3076" max="3076" width="9.3984375" style="1638" bestFit="1" customWidth="1"/>
    <col min="3077" max="3077" width="13.46484375" style="1638" customWidth="1"/>
    <col min="3078" max="3078" width="9" style="1638"/>
    <col min="3079" max="3079" width="9.3984375" style="1638" bestFit="1" customWidth="1"/>
    <col min="3080" max="3081" width="9" style="1638"/>
    <col min="3082" max="3082" width="9.3984375" style="1638" bestFit="1" customWidth="1"/>
    <col min="3083" max="3083" width="4" style="1638" customWidth="1"/>
    <col min="3084" max="3084" width="5.1328125" style="1638" customWidth="1"/>
    <col min="3085" max="3085" width="13.73046875" style="1638" customWidth="1"/>
    <col min="3086" max="3328" width="9" style="1638"/>
    <col min="3329" max="3329" width="4.86328125" style="1638" customWidth="1"/>
    <col min="3330" max="3330" width="13.265625" style="1638" customWidth="1"/>
    <col min="3331" max="3331" width="15.59765625" style="1638" customWidth="1"/>
    <col min="3332" max="3332" width="9.3984375" style="1638" bestFit="1" customWidth="1"/>
    <col min="3333" max="3333" width="13.46484375" style="1638" customWidth="1"/>
    <col min="3334" max="3334" width="9" style="1638"/>
    <col min="3335" max="3335" width="9.3984375" style="1638" bestFit="1" customWidth="1"/>
    <col min="3336" max="3337" width="9" style="1638"/>
    <col min="3338" max="3338" width="9.3984375" style="1638" bestFit="1" customWidth="1"/>
    <col min="3339" max="3339" width="4" style="1638" customWidth="1"/>
    <col min="3340" max="3340" width="5.1328125" style="1638" customWidth="1"/>
    <col min="3341" max="3341" width="13.73046875" style="1638" customWidth="1"/>
    <col min="3342" max="3584" width="9" style="1638"/>
    <col min="3585" max="3585" width="4.86328125" style="1638" customWidth="1"/>
    <col min="3586" max="3586" width="13.265625" style="1638" customWidth="1"/>
    <col min="3587" max="3587" width="15.59765625" style="1638" customWidth="1"/>
    <col min="3588" max="3588" width="9.3984375" style="1638" bestFit="1" customWidth="1"/>
    <col min="3589" max="3589" width="13.46484375" style="1638" customWidth="1"/>
    <col min="3590" max="3590" width="9" style="1638"/>
    <col min="3591" max="3591" width="9.3984375" style="1638" bestFit="1" customWidth="1"/>
    <col min="3592" max="3593" width="9" style="1638"/>
    <col min="3594" max="3594" width="9.3984375" style="1638" bestFit="1" customWidth="1"/>
    <col min="3595" max="3595" width="4" style="1638" customWidth="1"/>
    <col min="3596" max="3596" width="5.1328125" style="1638" customWidth="1"/>
    <col min="3597" max="3597" width="13.73046875" style="1638" customWidth="1"/>
    <col min="3598" max="3840" width="9" style="1638"/>
    <col min="3841" max="3841" width="4.86328125" style="1638" customWidth="1"/>
    <col min="3842" max="3842" width="13.265625" style="1638" customWidth="1"/>
    <col min="3843" max="3843" width="15.59765625" style="1638" customWidth="1"/>
    <col min="3844" max="3844" width="9.3984375" style="1638" bestFit="1" customWidth="1"/>
    <col min="3845" max="3845" width="13.46484375" style="1638" customWidth="1"/>
    <col min="3846" max="3846" width="9" style="1638"/>
    <col min="3847" max="3847" width="9.3984375" style="1638" bestFit="1" customWidth="1"/>
    <col min="3848" max="3849" width="9" style="1638"/>
    <col min="3850" max="3850" width="9.3984375" style="1638" bestFit="1" customWidth="1"/>
    <col min="3851" max="3851" width="4" style="1638" customWidth="1"/>
    <col min="3852" max="3852" width="5.1328125" style="1638" customWidth="1"/>
    <col min="3853" max="3853" width="13.73046875" style="1638" customWidth="1"/>
    <col min="3854" max="4096" width="9" style="1638"/>
    <col min="4097" max="4097" width="4.86328125" style="1638" customWidth="1"/>
    <col min="4098" max="4098" width="13.265625" style="1638" customWidth="1"/>
    <col min="4099" max="4099" width="15.59765625" style="1638" customWidth="1"/>
    <col min="4100" max="4100" width="9.3984375" style="1638" bestFit="1" customWidth="1"/>
    <col min="4101" max="4101" width="13.46484375" style="1638" customWidth="1"/>
    <col min="4102" max="4102" width="9" style="1638"/>
    <col min="4103" max="4103" width="9.3984375" style="1638" bestFit="1" customWidth="1"/>
    <col min="4104" max="4105" width="9" style="1638"/>
    <col min="4106" max="4106" width="9.3984375" style="1638" bestFit="1" customWidth="1"/>
    <col min="4107" max="4107" width="4" style="1638" customWidth="1"/>
    <col min="4108" max="4108" width="5.1328125" style="1638" customWidth="1"/>
    <col min="4109" max="4109" width="13.73046875" style="1638" customWidth="1"/>
    <col min="4110" max="4352" width="9" style="1638"/>
    <col min="4353" max="4353" width="4.86328125" style="1638" customWidth="1"/>
    <col min="4354" max="4354" width="13.265625" style="1638" customWidth="1"/>
    <col min="4355" max="4355" width="15.59765625" style="1638" customWidth="1"/>
    <col min="4356" max="4356" width="9.3984375" style="1638" bestFit="1" customWidth="1"/>
    <col min="4357" max="4357" width="13.46484375" style="1638" customWidth="1"/>
    <col min="4358" max="4358" width="9" style="1638"/>
    <col min="4359" max="4359" width="9.3984375" style="1638" bestFit="1" customWidth="1"/>
    <col min="4360" max="4361" width="9" style="1638"/>
    <col min="4362" max="4362" width="9.3984375" style="1638" bestFit="1" customWidth="1"/>
    <col min="4363" max="4363" width="4" style="1638" customWidth="1"/>
    <col min="4364" max="4364" width="5.1328125" style="1638" customWidth="1"/>
    <col min="4365" max="4365" width="13.73046875" style="1638" customWidth="1"/>
    <col min="4366" max="4608" width="9" style="1638"/>
    <col min="4609" max="4609" width="4.86328125" style="1638" customWidth="1"/>
    <col min="4610" max="4610" width="13.265625" style="1638" customWidth="1"/>
    <col min="4611" max="4611" width="15.59765625" style="1638" customWidth="1"/>
    <col min="4612" max="4612" width="9.3984375" style="1638" bestFit="1" customWidth="1"/>
    <col min="4613" max="4613" width="13.46484375" style="1638" customWidth="1"/>
    <col min="4614" max="4614" width="9" style="1638"/>
    <col min="4615" max="4615" width="9.3984375" style="1638" bestFit="1" customWidth="1"/>
    <col min="4616" max="4617" width="9" style="1638"/>
    <col min="4618" max="4618" width="9.3984375" style="1638" bestFit="1" customWidth="1"/>
    <col min="4619" max="4619" width="4" style="1638" customWidth="1"/>
    <col min="4620" max="4620" width="5.1328125" style="1638" customWidth="1"/>
    <col min="4621" max="4621" width="13.73046875" style="1638" customWidth="1"/>
    <col min="4622" max="4864" width="9" style="1638"/>
    <col min="4865" max="4865" width="4.86328125" style="1638" customWidth="1"/>
    <col min="4866" max="4866" width="13.265625" style="1638" customWidth="1"/>
    <col min="4867" max="4867" width="15.59765625" style="1638" customWidth="1"/>
    <col min="4868" max="4868" width="9.3984375" style="1638" bestFit="1" customWidth="1"/>
    <col min="4869" max="4869" width="13.46484375" style="1638" customWidth="1"/>
    <col min="4870" max="4870" width="9" style="1638"/>
    <col min="4871" max="4871" width="9.3984375" style="1638" bestFit="1" customWidth="1"/>
    <col min="4872" max="4873" width="9" style="1638"/>
    <col min="4874" max="4874" width="9.3984375" style="1638" bestFit="1" customWidth="1"/>
    <col min="4875" max="4875" width="4" style="1638" customWidth="1"/>
    <col min="4876" max="4876" width="5.1328125" style="1638" customWidth="1"/>
    <col min="4877" max="4877" width="13.73046875" style="1638" customWidth="1"/>
    <col min="4878" max="5120" width="9" style="1638"/>
    <col min="5121" max="5121" width="4.86328125" style="1638" customWidth="1"/>
    <col min="5122" max="5122" width="13.265625" style="1638" customWidth="1"/>
    <col min="5123" max="5123" width="15.59765625" style="1638" customWidth="1"/>
    <col min="5124" max="5124" width="9.3984375" style="1638" bestFit="1" customWidth="1"/>
    <col min="5125" max="5125" width="13.46484375" style="1638" customWidth="1"/>
    <col min="5126" max="5126" width="9" style="1638"/>
    <col min="5127" max="5127" width="9.3984375" style="1638" bestFit="1" customWidth="1"/>
    <col min="5128" max="5129" width="9" style="1638"/>
    <col min="5130" max="5130" width="9.3984375" style="1638" bestFit="1" customWidth="1"/>
    <col min="5131" max="5131" width="4" style="1638" customWidth="1"/>
    <col min="5132" max="5132" width="5.1328125" style="1638" customWidth="1"/>
    <col min="5133" max="5133" width="13.73046875" style="1638" customWidth="1"/>
    <col min="5134" max="5376" width="9" style="1638"/>
    <col min="5377" max="5377" width="4.86328125" style="1638" customWidth="1"/>
    <col min="5378" max="5378" width="13.265625" style="1638" customWidth="1"/>
    <col min="5379" max="5379" width="15.59765625" style="1638" customWidth="1"/>
    <col min="5380" max="5380" width="9.3984375" style="1638" bestFit="1" customWidth="1"/>
    <col min="5381" max="5381" width="13.46484375" style="1638" customWidth="1"/>
    <col min="5382" max="5382" width="9" style="1638"/>
    <col min="5383" max="5383" width="9.3984375" style="1638" bestFit="1" customWidth="1"/>
    <col min="5384" max="5385" width="9" style="1638"/>
    <col min="5386" max="5386" width="9.3984375" style="1638" bestFit="1" customWidth="1"/>
    <col min="5387" max="5387" width="4" style="1638" customWidth="1"/>
    <col min="5388" max="5388" width="5.1328125" style="1638" customWidth="1"/>
    <col min="5389" max="5389" width="13.73046875" style="1638" customWidth="1"/>
    <col min="5390" max="5632" width="9" style="1638"/>
    <col min="5633" max="5633" width="4.86328125" style="1638" customWidth="1"/>
    <col min="5634" max="5634" width="13.265625" style="1638" customWidth="1"/>
    <col min="5635" max="5635" width="15.59765625" style="1638" customWidth="1"/>
    <col min="5636" max="5636" width="9.3984375" style="1638" bestFit="1" customWidth="1"/>
    <col min="5637" max="5637" width="13.46484375" style="1638" customWidth="1"/>
    <col min="5638" max="5638" width="9" style="1638"/>
    <col min="5639" max="5639" width="9.3984375" style="1638" bestFit="1" customWidth="1"/>
    <col min="5640" max="5641" width="9" style="1638"/>
    <col min="5642" max="5642" width="9.3984375" style="1638" bestFit="1" customWidth="1"/>
    <col min="5643" max="5643" width="4" style="1638" customWidth="1"/>
    <col min="5644" max="5644" width="5.1328125" style="1638" customWidth="1"/>
    <col min="5645" max="5645" width="13.73046875" style="1638" customWidth="1"/>
    <col min="5646" max="5888" width="9" style="1638"/>
    <col min="5889" max="5889" width="4.86328125" style="1638" customWidth="1"/>
    <col min="5890" max="5890" width="13.265625" style="1638" customWidth="1"/>
    <col min="5891" max="5891" width="15.59765625" style="1638" customWidth="1"/>
    <col min="5892" max="5892" width="9.3984375" style="1638" bestFit="1" customWidth="1"/>
    <col min="5893" max="5893" width="13.46484375" style="1638" customWidth="1"/>
    <col min="5894" max="5894" width="9" style="1638"/>
    <col min="5895" max="5895" width="9.3984375" style="1638" bestFit="1" customWidth="1"/>
    <col min="5896" max="5897" width="9" style="1638"/>
    <col min="5898" max="5898" width="9.3984375" style="1638" bestFit="1" customWidth="1"/>
    <col min="5899" max="5899" width="4" style="1638" customWidth="1"/>
    <col min="5900" max="5900" width="5.1328125" style="1638" customWidth="1"/>
    <col min="5901" max="5901" width="13.73046875" style="1638" customWidth="1"/>
    <col min="5902" max="6144" width="9" style="1638"/>
    <col min="6145" max="6145" width="4.86328125" style="1638" customWidth="1"/>
    <col min="6146" max="6146" width="13.265625" style="1638" customWidth="1"/>
    <col min="6147" max="6147" width="15.59765625" style="1638" customWidth="1"/>
    <col min="6148" max="6148" width="9.3984375" style="1638" bestFit="1" customWidth="1"/>
    <col min="6149" max="6149" width="13.46484375" style="1638" customWidth="1"/>
    <col min="6150" max="6150" width="9" style="1638"/>
    <col min="6151" max="6151" width="9.3984375" style="1638" bestFit="1" customWidth="1"/>
    <col min="6152" max="6153" width="9" style="1638"/>
    <col min="6154" max="6154" width="9.3984375" style="1638" bestFit="1" customWidth="1"/>
    <col min="6155" max="6155" width="4" style="1638" customWidth="1"/>
    <col min="6156" max="6156" width="5.1328125" style="1638" customWidth="1"/>
    <col min="6157" max="6157" width="13.73046875" style="1638" customWidth="1"/>
    <col min="6158" max="6400" width="9" style="1638"/>
    <col min="6401" max="6401" width="4.86328125" style="1638" customWidth="1"/>
    <col min="6402" max="6402" width="13.265625" style="1638" customWidth="1"/>
    <col min="6403" max="6403" width="15.59765625" style="1638" customWidth="1"/>
    <col min="6404" max="6404" width="9.3984375" style="1638" bestFit="1" customWidth="1"/>
    <col min="6405" max="6405" width="13.46484375" style="1638" customWidth="1"/>
    <col min="6406" max="6406" width="9" style="1638"/>
    <col min="6407" max="6407" width="9.3984375" style="1638" bestFit="1" customWidth="1"/>
    <col min="6408" max="6409" width="9" style="1638"/>
    <col min="6410" max="6410" width="9.3984375" style="1638" bestFit="1" customWidth="1"/>
    <col min="6411" max="6411" width="4" style="1638" customWidth="1"/>
    <col min="6412" max="6412" width="5.1328125" style="1638" customWidth="1"/>
    <col min="6413" max="6413" width="13.73046875" style="1638" customWidth="1"/>
    <col min="6414" max="6656" width="9" style="1638"/>
    <col min="6657" max="6657" width="4.86328125" style="1638" customWidth="1"/>
    <col min="6658" max="6658" width="13.265625" style="1638" customWidth="1"/>
    <col min="6659" max="6659" width="15.59765625" style="1638" customWidth="1"/>
    <col min="6660" max="6660" width="9.3984375" style="1638" bestFit="1" customWidth="1"/>
    <col min="6661" max="6661" width="13.46484375" style="1638" customWidth="1"/>
    <col min="6662" max="6662" width="9" style="1638"/>
    <col min="6663" max="6663" width="9.3984375" style="1638" bestFit="1" customWidth="1"/>
    <col min="6664" max="6665" width="9" style="1638"/>
    <col min="6666" max="6666" width="9.3984375" style="1638" bestFit="1" customWidth="1"/>
    <col min="6667" max="6667" width="4" style="1638" customWidth="1"/>
    <col min="6668" max="6668" width="5.1328125" style="1638" customWidth="1"/>
    <col min="6669" max="6669" width="13.73046875" style="1638" customWidth="1"/>
    <col min="6670" max="6912" width="9" style="1638"/>
    <col min="6913" max="6913" width="4.86328125" style="1638" customWidth="1"/>
    <col min="6914" max="6914" width="13.265625" style="1638" customWidth="1"/>
    <col min="6915" max="6915" width="15.59765625" style="1638" customWidth="1"/>
    <col min="6916" max="6916" width="9.3984375" style="1638" bestFit="1" customWidth="1"/>
    <col min="6917" max="6917" width="13.46484375" style="1638" customWidth="1"/>
    <col min="6918" max="6918" width="9" style="1638"/>
    <col min="6919" max="6919" width="9.3984375" style="1638" bestFit="1" customWidth="1"/>
    <col min="6920" max="6921" width="9" style="1638"/>
    <col min="6922" max="6922" width="9.3984375" style="1638" bestFit="1" customWidth="1"/>
    <col min="6923" max="6923" width="4" style="1638" customWidth="1"/>
    <col min="6924" max="6924" width="5.1328125" style="1638" customWidth="1"/>
    <col min="6925" max="6925" width="13.73046875" style="1638" customWidth="1"/>
    <col min="6926" max="7168" width="9" style="1638"/>
    <col min="7169" max="7169" width="4.86328125" style="1638" customWidth="1"/>
    <col min="7170" max="7170" width="13.265625" style="1638" customWidth="1"/>
    <col min="7171" max="7171" width="15.59765625" style="1638" customWidth="1"/>
    <col min="7172" max="7172" width="9.3984375" style="1638" bestFit="1" customWidth="1"/>
    <col min="7173" max="7173" width="13.46484375" style="1638" customWidth="1"/>
    <col min="7174" max="7174" width="9" style="1638"/>
    <col min="7175" max="7175" width="9.3984375" style="1638" bestFit="1" customWidth="1"/>
    <col min="7176" max="7177" width="9" style="1638"/>
    <col min="7178" max="7178" width="9.3984375" style="1638" bestFit="1" customWidth="1"/>
    <col min="7179" max="7179" width="4" style="1638" customWidth="1"/>
    <col min="7180" max="7180" width="5.1328125" style="1638" customWidth="1"/>
    <col min="7181" max="7181" width="13.73046875" style="1638" customWidth="1"/>
    <col min="7182" max="7424" width="9" style="1638"/>
    <col min="7425" max="7425" width="4.86328125" style="1638" customWidth="1"/>
    <col min="7426" max="7426" width="13.265625" style="1638" customWidth="1"/>
    <col min="7427" max="7427" width="15.59765625" style="1638" customWidth="1"/>
    <col min="7428" max="7428" width="9.3984375" style="1638" bestFit="1" customWidth="1"/>
    <col min="7429" max="7429" width="13.46484375" style="1638" customWidth="1"/>
    <col min="7430" max="7430" width="9" style="1638"/>
    <col min="7431" max="7431" width="9.3984375" style="1638" bestFit="1" customWidth="1"/>
    <col min="7432" max="7433" width="9" style="1638"/>
    <col min="7434" max="7434" width="9.3984375" style="1638" bestFit="1" customWidth="1"/>
    <col min="7435" max="7435" width="4" style="1638" customWidth="1"/>
    <col min="7436" max="7436" width="5.1328125" style="1638" customWidth="1"/>
    <col min="7437" max="7437" width="13.73046875" style="1638" customWidth="1"/>
    <col min="7438" max="7680" width="9" style="1638"/>
    <col min="7681" max="7681" width="4.86328125" style="1638" customWidth="1"/>
    <col min="7682" max="7682" width="13.265625" style="1638" customWidth="1"/>
    <col min="7683" max="7683" width="15.59765625" style="1638" customWidth="1"/>
    <col min="7684" max="7684" width="9.3984375" style="1638" bestFit="1" customWidth="1"/>
    <col min="7685" max="7685" width="13.46484375" style="1638" customWidth="1"/>
    <col min="7686" max="7686" width="9" style="1638"/>
    <col min="7687" max="7687" width="9.3984375" style="1638" bestFit="1" customWidth="1"/>
    <col min="7688" max="7689" width="9" style="1638"/>
    <col min="7690" max="7690" width="9.3984375" style="1638" bestFit="1" customWidth="1"/>
    <col min="7691" max="7691" width="4" style="1638" customWidth="1"/>
    <col min="7692" max="7692" width="5.1328125" style="1638" customWidth="1"/>
    <col min="7693" max="7693" width="13.73046875" style="1638" customWidth="1"/>
    <col min="7694" max="7936" width="9" style="1638"/>
    <col min="7937" max="7937" width="4.86328125" style="1638" customWidth="1"/>
    <col min="7938" max="7938" width="13.265625" style="1638" customWidth="1"/>
    <col min="7939" max="7939" width="15.59765625" style="1638" customWidth="1"/>
    <col min="7940" max="7940" width="9.3984375" style="1638" bestFit="1" customWidth="1"/>
    <col min="7941" max="7941" width="13.46484375" style="1638" customWidth="1"/>
    <col min="7942" max="7942" width="9" style="1638"/>
    <col min="7943" max="7943" width="9.3984375" style="1638" bestFit="1" customWidth="1"/>
    <col min="7944" max="7945" width="9" style="1638"/>
    <col min="7946" max="7946" width="9.3984375" style="1638" bestFit="1" customWidth="1"/>
    <col min="7947" max="7947" width="4" style="1638" customWidth="1"/>
    <col min="7948" max="7948" width="5.1328125" style="1638" customWidth="1"/>
    <col min="7949" max="7949" width="13.73046875" style="1638" customWidth="1"/>
    <col min="7950" max="8192" width="9" style="1638"/>
    <col min="8193" max="8193" width="4.86328125" style="1638" customWidth="1"/>
    <col min="8194" max="8194" width="13.265625" style="1638" customWidth="1"/>
    <col min="8195" max="8195" width="15.59765625" style="1638" customWidth="1"/>
    <col min="8196" max="8196" width="9.3984375" style="1638" bestFit="1" customWidth="1"/>
    <col min="8197" max="8197" width="13.46484375" style="1638" customWidth="1"/>
    <col min="8198" max="8198" width="9" style="1638"/>
    <col min="8199" max="8199" width="9.3984375" style="1638" bestFit="1" customWidth="1"/>
    <col min="8200" max="8201" width="9" style="1638"/>
    <col min="8202" max="8202" width="9.3984375" style="1638" bestFit="1" customWidth="1"/>
    <col min="8203" max="8203" width="4" style="1638" customWidth="1"/>
    <col min="8204" max="8204" width="5.1328125" style="1638" customWidth="1"/>
    <col min="8205" max="8205" width="13.73046875" style="1638" customWidth="1"/>
    <col min="8206" max="8448" width="9" style="1638"/>
    <col min="8449" max="8449" width="4.86328125" style="1638" customWidth="1"/>
    <col min="8450" max="8450" width="13.265625" style="1638" customWidth="1"/>
    <col min="8451" max="8451" width="15.59765625" style="1638" customWidth="1"/>
    <col min="8452" max="8452" width="9.3984375" style="1638" bestFit="1" customWidth="1"/>
    <col min="8453" max="8453" width="13.46484375" style="1638" customWidth="1"/>
    <col min="8454" max="8454" width="9" style="1638"/>
    <col min="8455" max="8455" width="9.3984375" style="1638" bestFit="1" customWidth="1"/>
    <col min="8456" max="8457" width="9" style="1638"/>
    <col min="8458" max="8458" width="9.3984375" style="1638" bestFit="1" customWidth="1"/>
    <col min="8459" max="8459" width="4" style="1638" customWidth="1"/>
    <col min="8460" max="8460" width="5.1328125" style="1638" customWidth="1"/>
    <col min="8461" max="8461" width="13.73046875" style="1638" customWidth="1"/>
    <col min="8462" max="8704" width="9" style="1638"/>
    <col min="8705" max="8705" width="4.86328125" style="1638" customWidth="1"/>
    <col min="8706" max="8706" width="13.265625" style="1638" customWidth="1"/>
    <col min="8707" max="8707" width="15.59765625" style="1638" customWidth="1"/>
    <col min="8708" max="8708" width="9.3984375" style="1638" bestFit="1" customWidth="1"/>
    <col min="8709" max="8709" width="13.46484375" style="1638" customWidth="1"/>
    <col min="8710" max="8710" width="9" style="1638"/>
    <col min="8711" max="8711" width="9.3984375" style="1638" bestFit="1" customWidth="1"/>
    <col min="8712" max="8713" width="9" style="1638"/>
    <col min="8714" max="8714" width="9.3984375" style="1638" bestFit="1" customWidth="1"/>
    <col min="8715" max="8715" width="4" style="1638" customWidth="1"/>
    <col min="8716" max="8716" width="5.1328125" style="1638" customWidth="1"/>
    <col min="8717" max="8717" width="13.73046875" style="1638" customWidth="1"/>
    <col min="8718" max="8960" width="9" style="1638"/>
    <col min="8961" max="8961" width="4.86328125" style="1638" customWidth="1"/>
    <col min="8962" max="8962" width="13.265625" style="1638" customWidth="1"/>
    <col min="8963" max="8963" width="15.59765625" style="1638" customWidth="1"/>
    <col min="8964" max="8964" width="9.3984375" style="1638" bestFit="1" customWidth="1"/>
    <col min="8965" max="8965" width="13.46484375" style="1638" customWidth="1"/>
    <col min="8966" max="8966" width="9" style="1638"/>
    <col min="8967" max="8967" width="9.3984375" style="1638" bestFit="1" customWidth="1"/>
    <col min="8968" max="8969" width="9" style="1638"/>
    <col min="8970" max="8970" width="9.3984375" style="1638" bestFit="1" customWidth="1"/>
    <col min="8971" max="8971" width="4" style="1638" customWidth="1"/>
    <col min="8972" max="8972" width="5.1328125" style="1638" customWidth="1"/>
    <col min="8973" max="8973" width="13.73046875" style="1638" customWidth="1"/>
    <col min="8974" max="9216" width="9" style="1638"/>
    <col min="9217" max="9217" width="4.86328125" style="1638" customWidth="1"/>
    <col min="9218" max="9218" width="13.265625" style="1638" customWidth="1"/>
    <col min="9219" max="9219" width="15.59765625" style="1638" customWidth="1"/>
    <col min="9220" max="9220" width="9.3984375" style="1638" bestFit="1" customWidth="1"/>
    <col min="9221" max="9221" width="13.46484375" style="1638" customWidth="1"/>
    <col min="9222" max="9222" width="9" style="1638"/>
    <col min="9223" max="9223" width="9.3984375" style="1638" bestFit="1" customWidth="1"/>
    <col min="9224" max="9225" width="9" style="1638"/>
    <col min="9226" max="9226" width="9.3984375" style="1638" bestFit="1" customWidth="1"/>
    <col min="9227" max="9227" width="4" style="1638" customWidth="1"/>
    <col min="9228" max="9228" width="5.1328125" style="1638" customWidth="1"/>
    <col min="9229" max="9229" width="13.73046875" style="1638" customWidth="1"/>
    <col min="9230" max="9472" width="9" style="1638"/>
    <col min="9473" max="9473" width="4.86328125" style="1638" customWidth="1"/>
    <col min="9474" max="9474" width="13.265625" style="1638" customWidth="1"/>
    <col min="9475" max="9475" width="15.59765625" style="1638" customWidth="1"/>
    <col min="9476" max="9476" width="9.3984375" style="1638" bestFit="1" customWidth="1"/>
    <col min="9477" max="9477" width="13.46484375" style="1638" customWidth="1"/>
    <col min="9478" max="9478" width="9" style="1638"/>
    <col min="9479" max="9479" width="9.3984375" style="1638" bestFit="1" customWidth="1"/>
    <col min="9480" max="9481" width="9" style="1638"/>
    <col min="9482" max="9482" width="9.3984375" style="1638" bestFit="1" customWidth="1"/>
    <col min="9483" max="9483" width="4" style="1638" customWidth="1"/>
    <col min="9484" max="9484" width="5.1328125" style="1638" customWidth="1"/>
    <col min="9485" max="9485" width="13.73046875" style="1638" customWidth="1"/>
    <col min="9486" max="9728" width="9" style="1638"/>
    <col min="9729" max="9729" width="4.86328125" style="1638" customWidth="1"/>
    <col min="9730" max="9730" width="13.265625" style="1638" customWidth="1"/>
    <col min="9731" max="9731" width="15.59765625" style="1638" customWidth="1"/>
    <col min="9732" max="9732" width="9.3984375" style="1638" bestFit="1" customWidth="1"/>
    <col min="9733" max="9733" width="13.46484375" style="1638" customWidth="1"/>
    <col min="9734" max="9734" width="9" style="1638"/>
    <col min="9735" max="9735" width="9.3984375" style="1638" bestFit="1" customWidth="1"/>
    <col min="9736" max="9737" width="9" style="1638"/>
    <col min="9738" max="9738" width="9.3984375" style="1638" bestFit="1" customWidth="1"/>
    <col min="9739" max="9739" width="4" style="1638" customWidth="1"/>
    <col min="9740" max="9740" width="5.1328125" style="1638" customWidth="1"/>
    <col min="9741" max="9741" width="13.73046875" style="1638" customWidth="1"/>
    <col min="9742" max="9984" width="9" style="1638"/>
    <col min="9985" max="9985" width="4.86328125" style="1638" customWidth="1"/>
    <col min="9986" max="9986" width="13.265625" style="1638" customWidth="1"/>
    <col min="9987" max="9987" width="15.59765625" style="1638" customWidth="1"/>
    <col min="9988" max="9988" width="9.3984375" style="1638" bestFit="1" customWidth="1"/>
    <col min="9989" max="9989" width="13.46484375" style="1638" customWidth="1"/>
    <col min="9990" max="9990" width="9" style="1638"/>
    <col min="9991" max="9991" width="9.3984375" style="1638" bestFit="1" customWidth="1"/>
    <col min="9992" max="9993" width="9" style="1638"/>
    <col min="9994" max="9994" width="9.3984375" style="1638" bestFit="1" customWidth="1"/>
    <col min="9995" max="9995" width="4" style="1638" customWidth="1"/>
    <col min="9996" max="9996" width="5.1328125" style="1638" customWidth="1"/>
    <col min="9997" max="9997" width="13.73046875" style="1638" customWidth="1"/>
    <col min="9998" max="10240" width="9" style="1638"/>
    <col min="10241" max="10241" width="4.86328125" style="1638" customWidth="1"/>
    <col min="10242" max="10242" width="13.265625" style="1638" customWidth="1"/>
    <col min="10243" max="10243" width="15.59765625" style="1638" customWidth="1"/>
    <col min="10244" max="10244" width="9.3984375" style="1638" bestFit="1" customWidth="1"/>
    <col min="10245" max="10245" width="13.46484375" style="1638" customWidth="1"/>
    <col min="10246" max="10246" width="9" style="1638"/>
    <col min="10247" max="10247" width="9.3984375" style="1638" bestFit="1" customWidth="1"/>
    <col min="10248" max="10249" width="9" style="1638"/>
    <col min="10250" max="10250" width="9.3984375" style="1638" bestFit="1" customWidth="1"/>
    <col min="10251" max="10251" width="4" style="1638" customWidth="1"/>
    <col min="10252" max="10252" width="5.1328125" style="1638" customWidth="1"/>
    <col min="10253" max="10253" width="13.73046875" style="1638" customWidth="1"/>
    <col min="10254" max="10496" width="9" style="1638"/>
    <col min="10497" max="10497" width="4.86328125" style="1638" customWidth="1"/>
    <col min="10498" max="10498" width="13.265625" style="1638" customWidth="1"/>
    <col min="10499" max="10499" width="15.59765625" style="1638" customWidth="1"/>
    <col min="10500" max="10500" width="9.3984375" style="1638" bestFit="1" customWidth="1"/>
    <col min="10501" max="10501" width="13.46484375" style="1638" customWidth="1"/>
    <col min="10502" max="10502" width="9" style="1638"/>
    <col min="10503" max="10503" width="9.3984375" style="1638" bestFit="1" customWidth="1"/>
    <col min="10504" max="10505" width="9" style="1638"/>
    <col min="10506" max="10506" width="9.3984375" style="1638" bestFit="1" customWidth="1"/>
    <col min="10507" max="10507" width="4" style="1638" customWidth="1"/>
    <col min="10508" max="10508" width="5.1328125" style="1638" customWidth="1"/>
    <col min="10509" max="10509" width="13.73046875" style="1638" customWidth="1"/>
    <col min="10510" max="10752" width="9" style="1638"/>
    <col min="10753" max="10753" width="4.86328125" style="1638" customWidth="1"/>
    <col min="10754" max="10754" width="13.265625" style="1638" customWidth="1"/>
    <col min="10755" max="10755" width="15.59765625" style="1638" customWidth="1"/>
    <col min="10756" max="10756" width="9.3984375" style="1638" bestFit="1" customWidth="1"/>
    <col min="10757" max="10757" width="13.46484375" style="1638" customWidth="1"/>
    <col min="10758" max="10758" width="9" style="1638"/>
    <col min="10759" max="10759" width="9.3984375" style="1638" bestFit="1" customWidth="1"/>
    <col min="10760" max="10761" width="9" style="1638"/>
    <col min="10762" max="10762" width="9.3984375" style="1638" bestFit="1" customWidth="1"/>
    <col min="10763" max="10763" width="4" style="1638" customWidth="1"/>
    <col min="10764" max="10764" width="5.1328125" style="1638" customWidth="1"/>
    <col min="10765" max="10765" width="13.73046875" style="1638" customWidth="1"/>
    <col min="10766" max="11008" width="9" style="1638"/>
    <col min="11009" max="11009" width="4.86328125" style="1638" customWidth="1"/>
    <col min="11010" max="11010" width="13.265625" style="1638" customWidth="1"/>
    <col min="11011" max="11011" width="15.59765625" style="1638" customWidth="1"/>
    <col min="11012" max="11012" width="9.3984375" style="1638" bestFit="1" customWidth="1"/>
    <col min="11013" max="11013" width="13.46484375" style="1638" customWidth="1"/>
    <col min="11014" max="11014" width="9" style="1638"/>
    <col min="11015" max="11015" width="9.3984375" style="1638" bestFit="1" customWidth="1"/>
    <col min="11016" max="11017" width="9" style="1638"/>
    <col min="11018" max="11018" width="9.3984375" style="1638" bestFit="1" customWidth="1"/>
    <col min="11019" max="11019" width="4" style="1638" customWidth="1"/>
    <col min="11020" max="11020" width="5.1328125" style="1638" customWidth="1"/>
    <col min="11021" max="11021" width="13.73046875" style="1638" customWidth="1"/>
    <col min="11022" max="11264" width="9" style="1638"/>
    <col min="11265" max="11265" width="4.86328125" style="1638" customWidth="1"/>
    <col min="11266" max="11266" width="13.265625" style="1638" customWidth="1"/>
    <col min="11267" max="11267" width="15.59765625" style="1638" customWidth="1"/>
    <col min="11268" max="11268" width="9.3984375" style="1638" bestFit="1" customWidth="1"/>
    <col min="11269" max="11269" width="13.46484375" style="1638" customWidth="1"/>
    <col min="11270" max="11270" width="9" style="1638"/>
    <col min="11271" max="11271" width="9.3984375" style="1638" bestFit="1" customWidth="1"/>
    <col min="11272" max="11273" width="9" style="1638"/>
    <col min="11274" max="11274" width="9.3984375" style="1638" bestFit="1" customWidth="1"/>
    <col min="11275" max="11275" width="4" style="1638" customWidth="1"/>
    <col min="11276" max="11276" width="5.1328125" style="1638" customWidth="1"/>
    <col min="11277" max="11277" width="13.73046875" style="1638" customWidth="1"/>
    <col min="11278" max="11520" width="9" style="1638"/>
    <col min="11521" max="11521" width="4.86328125" style="1638" customWidth="1"/>
    <col min="11522" max="11522" width="13.265625" style="1638" customWidth="1"/>
    <col min="11523" max="11523" width="15.59765625" style="1638" customWidth="1"/>
    <col min="11524" max="11524" width="9.3984375" style="1638" bestFit="1" customWidth="1"/>
    <col min="11525" max="11525" width="13.46484375" style="1638" customWidth="1"/>
    <col min="11526" max="11526" width="9" style="1638"/>
    <col min="11527" max="11527" width="9.3984375" style="1638" bestFit="1" customWidth="1"/>
    <col min="11528" max="11529" width="9" style="1638"/>
    <col min="11530" max="11530" width="9.3984375" style="1638" bestFit="1" customWidth="1"/>
    <col min="11531" max="11531" width="4" style="1638" customWidth="1"/>
    <col min="11532" max="11532" width="5.1328125" style="1638" customWidth="1"/>
    <col min="11533" max="11533" width="13.73046875" style="1638" customWidth="1"/>
    <col min="11534" max="11776" width="9" style="1638"/>
    <col min="11777" max="11777" width="4.86328125" style="1638" customWidth="1"/>
    <col min="11778" max="11778" width="13.265625" style="1638" customWidth="1"/>
    <col min="11779" max="11779" width="15.59765625" style="1638" customWidth="1"/>
    <col min="11780" max="11780" width="9.3984375" style="1638" bestFit="1" customWidth="1"/>
    <col min="11781" max="11781" width="13.46484375" style="1638" customWidth="1"/>
    <col min="11782" max="11782" width="9" style="1638"/>
    <col min="11783" max="11783" width="9.3984375" style="1638" bestFit="1" customWidth="1"/>
    <col min="11784" max="11785" width="9" style="1638"/>
    <col min="11786" max="11786" width="9.3984375" style="1638" bestFit="1" customWidth="1"/>
    <col min="11787" max="11787" width="4" style="1638" customWidth="1"/>
    <col min="11788" max="11788" width="5.1328125" style="1638" customWidth="1"/>
    <col min="11789" max="11789" width="13.73046875" style="1638" customWidth="1"/>
    <col min="11790" max="12032" width="9" style="1638"/>
    <col min="12033" max="12033" width="4.86328125" style="1638" customWidth="1"/>
    <col min="12034" max="12034" width="13.265625" style="1638" customWidth="1"/>
    <col min="12035" max="12035" width="15.59765625" style="1638" customWidth="1"/>
    <col min="12036" max="12036" width="9.3984375" style="1638" bestFit="1" customWidth="1"/>
    <col min="12037" max="12037" width="13.46484375" style="1638" customWidth="1"/>
    <col min="12038" max="12038" width="9" style="1638"/>
    <col min="12039" max="12039" width="9.3984375" style="1638" bestFit="1" customWidth="1"/>
    <col min="12040" max="12041" width="9" style="1638"/>
    <col min="12042" max="12042" width="9.3984375" style="1638" bestFit="1" customWidth="1"/>
    <col min="12043" max="12043" width="4" style="1638" customWidth="1"/>
    <col min="12044" max="12044" width="5.1328125" style="1638" customWidth="1"/>
    <col min="12045" max="12045" width="13.73046875" style="1638" customWidth="1"/>
    <col min="12046" max="12288" width="9" style="1638"/>
    <col min="12289" max="12289" width="4.86328125" style="1638" customWidth="1"/>
    <col min="12290" max="12290" width="13.265625" style="1638" customWidth="1"/>
    <col min="12291" max="12291" width="15.59765625" style="1638" customWidth="1"/>
    <col min="12292" max="12292" width="9.3984375" style="1638" bestFit="1" customWidth="1"/>
    <col min="12293" max="12293" width="13.46484375" style="1638" customWidth="1"/>
    <col min="12294" max="12294" width="9" style="1638"/>
    <col min="12295" max="12295" width="9.3984375" style="1638" bestFit="1" customWidth="1"/>
    <col min="12296" max="12297" width="9" style="1638"/>
    <col min="12298" max="12298" width="9.3984375" style="1638" bestFit="1" customWidth="1"/>
    <col min="12299" max="12299" width="4" style="1638" customWidth="1"/>
    <col min="12300" max="12300" width="5.1328125" style="1638" customWidth="1"/>
    <col min="12301" max="12301" width="13.73046875" style="1638" customWidth="1"/>
    <col min="12302" max="12544" width="9" style="1638"/>
    <col min="12545" max="12545" width="4.86328125" style="1638" customWidth="1"/>
    <col min="12546" max="12546" width="13.265625" style="1638" customWidth="1"/>
    <col min="12547" max="12547" width="15.59765625" style="1638" customWidth="1"/>
    <col min="12548" max="12548" width="9.3984375" style="1638" bestFit="1" customWidth="1"/>
    <col min="12549" max="12549" width="13.46484375" style="1638" customWidth="1"/>
    <col min="12550" max="12550" width="9" style="1638"/>
    <col min="12551" max="12551" width="9.3984375" style="1638" bestFit="1" customWidth="1"/>
    <col min="12552" max="12553" width="9" style="1638"/>
    <col min="12554" max="12554" width="9.3984375" style="1638" bestFit="1" customWidth="1"/>
    <col min="12555" max="12555" width="4" style="1638" customWidth="1"/>
    <col min="12556" max="12556" width="5.1328125" style="1638" customWidth="1"/>
    <col min="12557" max="12557" width="13.73046875" style="1638" customWidth="1"/>
    <col min="12558" max="12800" width="9" style="1638"/>
    <col min="12801" max="12801" width="4.86328125" style="1638" customWidth="1"/>
    <col min="12802" max="12802" width="13.265625" style="1638" customWidth="1"/>
    <col min="12803" max="12803" width="15.59765625" style="1638" customWidth="1"/>
    <col min="12804" max="12804" width="9.3984375" style="1638" bestFit="1" customWidth="1"/>
    <col min="12805" max="12805" width="13.46484375" style="1638" customWidth="1"/>
    <col min="12806" max="12806" width="9" style="1638"/>
    <col min="12807" max="12807" width="9.3984375" style="1638" bestFit="1" customWidth="1"/>
    <col min="12808" max="12809" width="9" style="1638"/>
    <col min="12810" max="12810" width="9.3984375" style="1638" bestFit="1" customWidth="1"/>
    <col min="12811" max="12811" width="4" style="1638" customWidth="1"/>
    <col min="12812" max="12812" width="5.1328125" style="1638" customWidth="1"/>
    <col min="12813" max="12813" width="13.73046875" style="1638" customWidth="1"/>
    <col min="12814" max="13056" width="9" style="1638"/>
    <col min="13057" max="13057" width="4.86328125" style="1638" customWidth="1"/>
    <col min="13058" max="13058" width="13.265625" style="1638" customWidth="1"/>
    <col min="13059" max="13059" width="15.59765625" style="1638" customWidth="1"/>
    <col min="13060" max="13060" width="9.3984375" style="1638" bestFit="1" customWidth="1"/>
    <col min="13061" max="13061" width="13.46484375" style="1638" customWidth="1"/>
    <col min="13062" max="13062" width="9" style="1638"/>
    <col min="13063" max="13063" width="9.3984375" style="1638" bestFit="1" customWidth="1"/>
    <col min="13064" max="13065" width="9" style="1638"/>
    <col min="13066" max="13066" width="9.3984375" style="1638" bestFit="1" customWidth="1"/>
    <col min="13067" max="13067" width="4" style="1638" customWidth="1"/>
    <col min="13068" max="13068" width="5.1328125" style="1638" customWidth="1"/>
    <col min="13069" max="13069" width="13.73046875" style="1638" customWidth="1"/>
    <col min="13070" max="13312" width="9" style="1638"/>
    <col min="13313" max="13313" width="4.86328125" style="1638" customWidth="1"/>
    <col min="13314" max="13314" width="13.265625" style="1638" customWidth="1"/>
    <col min="13315" max="13315" width="15.59765625" style="1638" customWidth="1"/>
    <col min="13316" max="13316" width="9.3984375" style="1638" bestFit="1" customWidth="1"/>
    <col min="13317" max="13317" width="13.46484375" style="1638" customWidth="1"/>
    <col min="13318" max="13318" width="9" style="1638"/>
    <col min="13319" max="13319" width="9.3984375" style="1638" bestFit="1" customWidth="1"/>
    <col min="13320" max="13321" width="9" style="1638"/>
    <col min="13322" max="13322" width="9.3984375" style="1638" bestFit="1" customWidth="1"/>
    <col min="13323" max="13323" width="4" style="1638" customWidth="1"/>
    <col min="13324" max="13324" width="5.1328125" style="1638" customWidth="1"/>
    <col min="13325" max="13325" width="13.73046875" style="1638" customWidth="1"/>
    <col min="13326" max="13568" width="9" style="1638"/>
    <col min="13569" max="13569" width="4.86328125" style="1638" customWidth="1"/>
    <col min="13570" max="13570" width="13.265625" style="1638" customWidth="1"/>
    <col min="13571" max="13571" width="15.59765625" style="1638" customWidth="1"/>
    <col min="13572" max="13572" width="9.3984375" style="1638" bestFit="1" customWidth="1"/>
    <col min="13573" max="13573" width="13.46484375" style="1638" customWidth="1"/>
    <col min="13574" max="13574" width="9" style="1638"/>
    <col min="13575" max="13575" width="9.3984375" style="1638" bestFit="1" customWidth="1"/>
    <col min="13576" max="13577" width="9" style="1638"/>
    <col min="13578" max="13578" width="9.3984375" style="1638" bestFit="1" customWidth="1"/>
    <col min="13579" max="13579" width="4" style="1638" customWidth="1"/>
    <col min="13580" max="13580" width="5.1328125" style="1638" customWidth="1"/>
    <col min="13581" max="13581" width="13.73046875" style="1638" customWidth="1"/>
    <col min="13582" max="13824" width="9" style="1638"/>
    <col min="13825" max="13825" width="4.86328125" style="1638" customWidth="1"/>
    <col min="13826" max="13826" width="13.265625" style="1638" customWidth="1"/>
    <col min="13827" max="13827" width="15.59765625" style="1638" customWidth="1"/>
    <col min="13828" max="13828" width="9.3984375" style="1638" bestFit="1" customWidth="1"/>
    <col min="13829" max="13829" width="13.46484375" style="1638" customWidth="1"/>
    <col min="13830" max="13830" width="9" style="1638"/>
    <col min="13831" max="13831" width="9.3984375" style="1638" bestFit="1" customWidth="1"/>
    <col min="13832" max="13833" width="9" style="1638"/>
    <col min="13834" max="13834" width="9.3984375" style="1638" bestFit="1" customWidth="1"/>
    <col min="13835" max="13835" width="4" style="1638" customWidth="1"/>
    <col min="13836" max="13836" width="5.1328125" style="1638" customWidth="1"/>
    <col min="13837" max="13837" width="13.73046875" style="1638" customWidth="1"/>
    <col min="13838" max="14080" width="9" style="1638"/>
    <col min="14081" max="14081" width="4.86328125" style="1638" customWidth="1"/>
    <col min="14082" max="14082" width="13.265625" style="1638" customWidth="1"/>
    <col min="14083" max="14083" width="15.59765625" style="1638" customWidth="1"/>
    <col min="14084" max="14084" width="9.3984375" style="1638" bestFit="1" customWidth="1"/>
    <col min="14085" max="14085" width="13.46484375" style="1638" customWidth="1"/>
    <col min="14086" max="14086" width="9" style="1638"/>
    <col min="14087" max="14087" width="9.3984375" style="1638" bestFit="1" customWidth="1"/>
    <col min="14088" max="14089" width="9" style="1638"/>
    <col min="14090" max="14090" width="9.3984375" style="1638" bestFit="1" customWidth="1"/>
    <col min="14091" max="14091" width="4" style="1638" customWidth="1"/>
    <col min="14092" max="14092" width="5.1328125" style="1638" customWidth="1"/>
    <col min="14093" max="14093" width="13.73046875" style="1638" customWidth="1"/>
    <col min="14094" max="14336" width="9" style="1638"/>
    <col min="14337" max="14337" width="4.86328125" style="1638" customWidth="1"/>
    <col min="14338" max="14338" width="13.265625" style="1638" customWidth="1"/>
    <col min="14339" max="14339" width="15.59765625" style="1638" customWidth="1"/>
    <col min="14340" max="14340" width="9.3984375" style="1638" bestFit="1" customWidth="1"/>
    <col min="14341" max="14341" width="13.46484375" style="1638" customWidth="1"/>
    <col min="14342" max="14342" width="9" style="1638"/>
    <col min="14343" max="14343" width="9.3984375" style="1638" bestFit="1" customWidth="1"/>
    <col min="14344" max="14345" width="9" style="1638"/>
    <col min="14346" max="14346" width="9.3984375" style="1638" bestFit="1" customWidth="1"/>
    <col min="14347" max="14347" width="4" style="1638" customWidth="1"/>
    <col min="14348" max="14348" width="5.1328125" style="1638" customWidth="1"/>
    <col min="14349" max="14349" width="13.73046875" style="1638" customWidth="1"/>
    <col min="14350" max="14592" width="9" style="1638"/>
    <col min="14593" max="14593" width="4.86328125" style="1638" customWidth="1"/>
    <col min="14594" max="14594" width="13.265625" style="1638" customWidth="1"/>
    <col min="14595" max="14595" width="15.59765625" style="1638" customWidth="1"/>
    <col min="14596" max="14596" width="9.3984375" style="1638" bestFit="1" customWidth="1"/>
    <col min="14597" max="14597" width="13.46484375" style="1638" customWidth="1"/>
    <col min="14598" max="14598" width="9" style="1638"/>
    <col min="14599" max="14599" width="9.3984375" style="1638" bestFit="1" customWidth="1"/>
    <col min="14600" max="14601" width="9" style="1638"/>
    <col min="14602" max="14602" width="9.3984375" style="1638" bestFit="1" customWidth="1"/>
    <col min="14603" max="14603" width="4" style="1638" customWidth="1"/>
    <col min="14604" max="14604" width="5.1328125" style="1638" customWidth="1"/>
    <col min="14605" max="14605" width="13.73046875" style="1638" customWidth="1"/>
    <col min="14606" max="14848" width="9" style="1638"/>
    <col min="14849" max="14849" width="4.86328125" style="1638" customWidth="1"/>
    <col min="14850" max="14850" width="13.265625" style="1638" customWidth="1"/>
    <col min="14851" max="14851" width="15.59765625" style="1638" customWidth="1"/>
    <col min="14852" max="14852" width="9.3984375" style="1638" bestFit="1" customWidth="1"/>
    <col min="14853" max="14853" width="13.46484375" style="1638" customWidth="1"/>
    <col min="14854" max="14854" width="9" style="1638"/>
    <col min="14855" max="14855" width="9.3984375" style="1638" bestFit="1" customWidth="1"/>
    <col min="14856" max="14857" width="9" style="1638"/>
    <col min="14858" max="14858" width="9.3984375" style="1638" bestFit="1" customWidth="1"/>
    <col min="14859" max="14859" width="4" style="1638" customWidth="1"/>
    <col min="14860" max="14860" width="5.1328125" style="1638" customWidth="1"/>
    <col min="14861" max="14861" width="13.73046875" style="1638" customWidth="1"/>
    <col min="14862" max="15104" width="9" style="1638"/>
    <col min="15105" max="15105" width="4.86328125" style="1638" customWidth="1"/>
    <col min="15106" max="15106" width="13.265625" style="1638" customWidth="1"/>
    <col min="15107" max="15107" width="15.59765625" style="1638" customWidth="1"/>
    <col min="15108" max="15108" width="9.3984375" style="1638" bestFit="1" customWidth="1"/>
    <col min="15109" max="15109" width="13.46484375" style="1638" customWidth="1"/>
    <col min="15110" max="15110" width="9" style="1638"/>
    <col min="15111" max="15111" width="9.3984375" style="1638" bestFit="1" customWidth="1"/>
    <col min="15112" max="15113" width="9" style="1638"/>
    <col min="15114" max="15114" width="9.3984375" style="1638" bestFit="1" customWidth="1"/>
    <col min="15115" max="15115" width="4" style="1638" customWidth="1"/>
    <col min="15116" max="15116" width="5.1328125" style="1638" customWidth="1"/>
    <col min="15117" max="15117" width="13.73046875" style="1638" customWidth="1"/>
    <col min="15118" max="15360" width="9" style="1638"/>
    <col min="15361" max="15361" width="4.86328125" style="1638" customWidth="1"/>
    <col min="15362" max="15362" width="13.265625" style="1638" customWidth="1"/>
    <col min="15363" max="15363" width="15.59765625" style="1638" customWidth="1"/>
    <col min="15364" max="15364" width="9.3984375" style="1638" bestFit="1" customWidth="1"/>
    <col min="15365" max="15365" width="13.46484375" style="1638" customWidth="1"/>
    <col min="15366" max="15366" width="9" style="1638"/>
    <col min="15367" max="15367" width="9.3984375" style="1638" bestFit="1" customWidth="1"/>
    <col min="15368" max="15369" width="9" style="1638"/>
    <col min="15370" max="15370" width="9.3984375" style="1638" bestFit="1" customWidth="1"/>
    <col min="15371" max="15371" width="4" style="1638" customWidth="1"/>
    <col min="15372" max="15372" width="5.1328125" style="1638" customWidth="1"/>
    <col min="15373" max="15373" width="13.73046875" style="1638" customWidth="1"/>
    <col min="15374" max="15616" width="9" style="1638"/>
    <col min="15617" max="15617" width="4.86328125" style="1638" customWidth="1"/>
    <col min="15618" max="15618" width="13.265625" style="1638" customWidth="1"/>
    <col min="15619" max="15619" width="15.59765625" style="1638" customWidth="1"/>
    <col min="15620" max="15620" width="9.3984375" style="1638" bestFit="1" customWidth="1"/>
    <col min="15621" max="15621" width="13.46484375" style="1638" customWidth="1"/>
    <col min="15622" max="15622" width="9" style="1638"/>
    <col min="15623" max="15623" width="9.3984375" style="1638" bestFit="1" customWidth="1"/>
    <col min="15624" max="15625" width="9" style="1638"/>
    <col min="15626" max="15626" width="9.3984375" style="1638" bestFit="1" customWidth="1"/>
    <col min="15627" max="15627" width="4" style="1638" customWidth="1"/>
    <col min="15628" max="15628" width="5.1328125" style="1638" customWidth="1"/>
    <col min="15629" max="15629" width="13.73046875" style="1638" customWidth="1"/>
    <col min="15630" max="15872" width="9" style="1638"/>
    <col min="15873" max="15873" width="4.86328125" style="1638" customWidth="1"/>
    <col min="15874" max="15874" width="13.265625" style="1638" customWidth="1"/>
    <col min="15875" max="15875" width="15.59765625" style="1638" customWidth="1"/>
    <col min="15876" max="15876" width="9.3984375" style="1638" bestFit="1" customWidth="1"/>
    <col min="15877" max="15877" width="13.46484375" style="1638" customWidth="1"/>
    <col min="15878" max="15878" width="9" style="1638"/>
    <col min="15879" max="15879" width="9.3984375" style="1638" bestFit="1" customWidth="1"/>
    <col min="15880" max="15881" width="9" style="1638"/>
    <col min="15882" max="15882" width="9.3984375" style="1638" bestFit="1" customWidth="1"/>
    <col min="15883" max="15883" width="4" style="1638" customWidth="1"/>
    <col min="15884" max="15884" width="5.1328125" style="1638" customWidth="1"/>
    <col min="15885" max="15885" width="13.73046875" style="1638" customWidth="1"/>
    <col min="15886" max="16128" width="9" style="1638"/>
    <col min="16129" max="16129" width="4.86328125" style="1638" customWidth="1"/>
    <col min="16130" max="16130" width="13.265625" style="1638" customWidth="1"/>
    <col min="16131" max="16131" width="15.59765625" style="1638" customWidth="1"/>
    <col min="16132" max="16132" width="9.3984375" style="1638" bestFit="1" customWidth="1"/>
    <col min="16133" max="16133" width="13.46484375" style="1638" customWidth="1"/>
    <col min="16134" max="16134" width="9" style="1638"/>
    <col min="16135" max="16135" width="9.3984375" style="1638" bestFit="1" customWidth="1"/>
    <col min="16136" max="16137" width="9" style="1638"/>
    <col min="16138" max="16138" width="9.3984375" style="1638" bestFit="1" customWidth="1"/>
    <col min="16139" max="16139" width="4" style="1638" customWidth="1"/>
    <col min="16140" max="16140" width="5.1328125" style="1638" customWidth="1"/>
    <col min="16141" max="16141" width="13.73046875" style="1638" customWidth="1"/>
    <col min="16142" max="16384" width="9" style="1638"/>
  </cols>
  <sheetData>
    <row r="1" spans="1:257" s="1702" customFormat="1" ht="13.9" thickBot="1">
      <c r="A1" s="1696"/>
      <c r="B1" s="1703" t="s">
        <v>1300</v>
      </c>
      <c r="C1" s="1697">
        <f>项目基本情况!D3</f>
        <v>43215</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4.2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3.9"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3.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5.7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99999999999999">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6.25">
      <c r="A1" s="1785" t="s">
        <v>1372</v>
      </c>
      <c r="E1" s="1779" t="s">
        <v>1376</v>
      </c>
      <c r="F1" s="1780" t="s">
        <v>1380</v>
      </c>
    </row>
    <row r="2" spans="1:13" ht="20.25">
      <c r="A2" s="1786" t="s">
        <v>1373</v>
      </c>
    </row>
    <row r="3" spans="1:13" ht="15">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5"/>
  <cols>
    <col min="1" max="1" width="27.59765625" style="1948" customWidth="1"/>
    <col min="2" max="9" width="12.1328125" style="1948" customWidth="1"/>
    <col min="10" max="16384" width="9" style="1948"/>
  </cols>
  <sheetData>
    <row r="1" spans="1:9" ht="18"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1640</v>
      </c>
      <c r="B2" s="3012" t="s">
        <v>1641</v>
      </c>
      <c r="C2" s="3012" t="s">
        <v>1642</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75">
      <c r="A3" s="3013"/>
      <c r="B3" s="3013"/>
      <c r="C3" s="3013"/>
      <c r="D3" s="1047" t="s">
        <v>1637</v>
      </c>
      <c r="E3" s="1047" t="s">
        <v>1643</v>
      </c>
      <c r="F3" s="1047" t="s">
        <v>1637</v>
      </c>
      <c r="G3" s="1047" t="s">
        <v>1638</v>
      </c>
      <c r="H3" s="1047" t="s">
        <v>1637</v>
      </c>
      <c r="I3" s="1047" t="s">
        <v>1638</v>
      </c>
    </row>
    <row r="4" spans="1:9" ht="60">
      <c r="A4" s="1976" t="str">
        <f>项目基本情况!S2</f>
        <v>北京市丰台区花乡新发地农副产品批发市场B地块出让国有建设用地使用权及在建建筑物房地产</v>
      </c>
      <c r="B4" s="1047">
        <f>项目基本情况!C17</f>
        <v>166960</v>
      </c>
      <c r="C4" s="1047">
        <f>项目基本情况!C18</f>
        <v>51219.74</v>
      </c>
      <c r="D4" s="1047">
        <f ca="1">结果表!D118</f>
        <v>113571</v>
      </c>
      <c r="E4" s="1047">
        <f ca="1">结果表!E118</f>
        <v>6802</v>
      </c>
      <c r="F4" s="1047">
        <f ca="1">结果表!F118</f>
        <v>7895</v>
      </c>
      <c r="G4" s="1047">
        <f ca="1">结果表!G118</f>
        <v>473</v>
      </c>
      <c r="H4" s="1047">
        <f ca="1">结果表!H118</f>
        <v>121466</v>
      </c>
      <c r="I4" s="1047">
        <f ca="1">结果表!I118</f>
        <v>7275</v>
      </c>
    </row>
    <row r="5" spans="1:9" ht="30" customHeight="1">
      <c r="A5" s="3013" t="s">
        <v>1639</v>
      </c>
      <c r="B5" s="3013"/>
      <c r="C5" s="3013"/>
      <c r="D5" s="3014" t="str">
        <f ca="1">结果表!D119</f>
        <v>壹拾壹亿叁仟伍佰柒拾壹万元整</v>
      </c>
      <c r="E5" s="3014"/>
      <c r="F5" s="3014" t="str">
        <f ca="1">结果表!F119</f>
        <v>柒仟捌佰玖拾伍万元整</v>
      </c>
      <c r="G5" s="3014"/>
      <c r="H5" s="3014" t="str">
        <f ca="1">结果表!H119</f>
        <v>壹拾贰亿壹仟肆佰陆拾陆万元整</v>
      </c>
      <c r="I5" s="3014"/>
    </row>
    <row r="6" spans="1:9" ht="15">
      <c r="A6" s="3015" t="str">
        <f>结果表!A120</f>
        <v>估价师知悉的法定优先受偿款</v>
      </c>
      <c r="B6" s="3015"/>
      <c r="C6" s="3015"/>
      <c r="D6" s="3015">
        <f>结果表!D120</f>
        <v>0</v>
      </c>
      <c r="E6" s="3015"/>
      <c r="F6" s="3015"/>
      <c r="G6" s="3015"/>
      <c r="H6" s="3015"/>
      <c r="I6" s="3015"/>
    </row>
    <row r="7" spans="1:9" ht="15">
      <c r="A7" s="3013" t="s">
        <v>1639</v>
      </c>
      <c r="B7" s="3013"/>
      <c r="C7" s="3013"/>
      <c r="D7" s="3016" t="str">
        <f>结果表!D121</f>
        <v>零元整</v>
      </c>
      <c r="E7" s="3017"/>
      <c r="F7" s="3017"/>
      <c r="G7" s="3017"/>
      <c r="H7" s="3017"/>
      <c r="I7" s="3018"/>
    </row>
    <row r="8" spans="1:9" ht="15">
      <c r="A8" s="3015" t="str">
        <f>结果表!A122</f>
        <v>房地产抵押价值</v>
      </c>
      <c r="B8" s="3015"/>
      <c r="C8" s="3015"/>
      <c r="D8" s="3015">
        <f ca="1">结果表!D122</f>
        <v>121466</v>
      </c>
      <c r="E8" s="3015"/>
      <c r="F8" s="3015"/>
      <c r="G8" s="3015"/>
      <c r="H8" s="3015"/>
      <c r="I8" s="3015"/>
    </row>
    <row r="9" spans="1:9" ht="15">
      <c r="A9" s="3013" t="s">
        <v>1639</v>
      </c>
      <c r="B9" s="3013"/>
      <c r="C9" s="3013"/>
      <c r="D9" s="3014" t="str">
        <f ca="1">结果表!D123</f>
        <v>壹拾贰亿壹仟肆佰陆拾陆万元整</v>
      </c>
      <c r="E9" s="3014"/>
      <c r="F9" s="3014"/>
      <c r="G9" s="3014"/>
      <c r="H9" s="3014"/>
      <c r="I9" s="3014"/>
    </row>
    <row r="10" spans="1:9" ht="15">
      <c r="A10" s="3015" t="str">
        <f>结果表!A124</f>
        <v/>
      </c>
      <c r="B10" s="3015"/>
      <c r="C10" s="3015"/>
      <c r="D10" s="3015" t="str">
        <f>结果表!D124</f>
        <v>——</v>
      </c>
      <c r="E10" s="3015"/>
      <c r="F10" s="3015"/>
      <c r="G10" s="3015"/>
      <c r="H10" s="3015"/>
      <c r="I10" s="3015"/>
    </row>
    <row r="11" spans="1:9" ht="15">
      <c r="A11" s="3013" t="s">
        <v>1639</v>
      </c>
      <c r="B11" s="3013"/>
      <c r="C11" s="3013"/>
      <c r="D11" s="3014" t="e">
        <f>结果表!D125</f>
        <v>#VALUE!</v>
      </c>
      <c r="E11" s="3014"/>
      <c r="F11" s="3014"/>
      <c r="G11" s="3014"/>
      <c r="H11" s="3014"/>
      <c r="I11" s="3014"/>
    </row>
    <row r="12" spans="1:9" ht="15">
      <c r="A12" s="3015" t="str">
        <f>结果表!A126</f>
        <v/>
      </c>
      <c r="B12" s="3015"/>
      <c r="C12" s="3015"/>
      <c r="D12" s="3015" t="str">
        <f>结果表!D126</f>
        <v>——</v>
      </c>
      <c r="E12" s="3015"/>
      <c r="F12" s="3015"/>
      <c r="G12" s="3015"/>
      <c r="H12" s="3015"/>
      <c r="I12" s="3015"/>
    </row>
    <row r="13" spans="1:9" ht="15.4" thickBot="1">
      <c r="A13" s="3019" t="s">
        <v>1639</v>
      </c>
      <c r="B13" s="3019"/>
      <c r="C13" s="3019"/>
      <c r="D13" s="3020" t="e">
        <f>结果表!D127</f>
        <v>#VALUE!</v>
      </c>
      <c r="E13" s="3020"/>
      <c r="F13" s="3020"/>
      <c r="G13" s="3020"/>
      <c r="H13" s="3020"/>
      <c r="I13" s="3020"/>
    </row>
    <row r="14" spans="1:9" ht="13.9" thickTop="1">
      <c r="A14" s="3021" t="s">
        <v>1644</v>
      </c>
      <c r="B14" s="3021"/>
      <c r="C14" s="3021"/>
      <c r="D14" s="3021"/>
      <c r="E14" s="3021"/>
      <c r="F14" s="3021"/>
      <c r="G14" s="3021"/>
      <c r="H14" s="3021"/>
      <c r="I14" s="3021"/>
    </row>
    <row r="16" spans="1:9" ht="17.649999999999999">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5"/>
  <cols>
    <col min="1" max="1" width="16.59765625" style="1948" customWidth="1"/>
    <col min="2" max="3" width="22.3984375" style="1948" customWidth="1"/>
    <col min="4" max="4" width="23" style="1948" customWidth="1"/>
    <col min="5" max="16384" width="9" style="1948"/>
  </cols>
  <sheetData>
    <row r="1" spans="1:4" ht="17.649999999999999">
      <c r="A1" s="3022" t="s">
        <v>1661</v>
      </c>
      <c r="B1" s="3022"/>
      <c r="C1" s="3022"/>
      <c r="D1" s="3022"/>
    </row>
    <row r="2" spans="1:4" ht="17.649999999999999">
      <c r="A2" s="3023" t="s">
        <v>1645</v>
      </c>
      <c r="B2" s="3023"/>
      <c r="C2" s="3023"/>
      <c r="D2" s="3023"/>
    </row>
    <row r="3" spans="1:4" ht="17.649999999999999">
      <c r="A3" s="1980" t="s">
        <v>1646</v>
      </c>
      <c r="B3" s="1980" t="s">
        <v>1647</v>
      </c>
      <c r="C3" s="1980" t="s">
        <v>1648</v>
      </c>
      <c r="D3" s="1980" t="s">
        <v>1649</v>
      </c>
    </row>
    <row r="4" spans="1:4" ht="56.25" customHeight="1">
      <c r="A4" s="1981" t="str">
        <f>项目基本情况!B4</f>
        <v>郑燚</v>
      </c>
      <c r="B4" s="1982">
        <f ca="1">项目基本情况!C4</f>
        <v>1120070131</v>
      </c>
      <c r="C4" s="1983"/>
      <c r="D4" s="1984" t="s">
        <v>1650</v>
      </c>
    </row>
    <row r="5" spans="1:4" ht="56.25" customHeight="1">
      <c r="A5" s="1981" t="str">
        <f>项目基本情况!D4</f>
        <v>王鹏</v>
      </c>
      <c r="B5" s="1982">
        <f ca="1">项目基本情况!E4</f>
        <v>1120050019</v>
      </c>
      <c r="C5" s="1985"/>
      <c r="D5" s="1984" t="s">
        <v>1650</v>
      </c>
    </row>
    <row r="6" spans="1:4" ht="17.649999999999999">
      <c r="A6" s="3023" t="s">
        <v>1651</v>
      </c>
      <c r="B6" s="3023"/>
      <c r="C6" s="3023"/>
      <c r="D6" s="3023"/>
    </row>
    <row r="7" spans="1:4" ht="17.649999999999999">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7.649999999999999">
      <c r="A10" s="1987" t="s">
        <v>1653</v>
      </c>
      <c r="B10" s="728"/>
      <c r="C10" s="728"/>
      <c r="D10" s="728"/>
    </row>
    <row r="11" spans="1:4" ht="30" customHeight="1">
      <c r="A11" s="3024" t="s">
        <v>1654</v>
      </c>
      <c r="B11" s="3025"/>
      <c r="C11" s="3025"/>
      <c r="D11" s="3025"/>
    </row>
    <row r="12" spans="1:4" ht="1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5" t="str">
        <f>IF(项目基本情况!B8="抵押","4.本次评估估价师所知悉的法定优先受偿款情况说明如下：","——")</f>
        <v>4.本次评估估价师所知悉的法定优先受偿款情况说明如下：</v>
      </c>
      <c r="B14" s="3026"/>
      <c r="C14" s="3026"/>
      <c r="D14" s="3026"/>
    </row>
    <row r="15" spans="1:4" ht="42" customHeight="1">
      <c r="A15" s="3025" t="str">
        <f>IF(项目基本情况!B8="抵押","（1）"&amp;CONCATENATE(项目基本情况!L20,项目基本情况!L21,项目基本情况!L22),"——")</f>
        <v>（1）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8" t="s">
        <v>1655</v>
      </c>
      <c r="B16" s="3028"/>
      <c r="C16" s="3028"/>
      <c r="D16" s="3028"/>
    </row>
    <row r="17" spans="1:4" ht="144" customHeight="1">
      <c r="A17" s="3028" t="s">
        <v>1656</v>
      </c>
      <c r="B17" s="3028"/>
      <c r="C17" s="3028"/>
      <c r="D17" s="3028"/>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5"/>
      <c r="C20" s="3025"/>
      <c r="D20" s="3025"/>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9"/>
      <c r="C21" s="3029"/>
      <c r="D21" s="3029"/>
    </row>
    <row r="22" spans="1:4" ht="18.75" customHeight="1">
      <c r="A22" s="3030" t="s">
        <v>1657</v>
      </c>
      <c r="B22" s="3030"/>
      <c r="C22" s="3030"/>
      <c r="D22" s="3030"/>
    </row>
    <row r="23" spans="1:4">
      <c r="A23" s="1988"/>
      <c r="B23" s="1960"/>
      <c r="C23" s="1960"/>
      <c r="D23" s="1960"/>
    </row>
    <row r="24" spans="1:4">
      <c r="A24" s="1988"/>
      <c r="B24" s="1960"/>
      <c r="C24" s="1960"/>
      <c r="D24" s="1960"/>
    </row>
    <row r="25" spans="1:4" ht="17.649999999999999">
      <c r="A25" s="1989" t="s">
        <v>1658</v>
      </c>
    </row>
    <row r="26" spans="1:4" ht="17.25">
      <c r="A26" s="1958"/>
    </row>
    <row r="27" spans="1:4" ht="17.649999999999999">
      <c r="A27" s="1958" t="s">
        <v>1659</v>
      </c>
    </row>
    <row r="30" spans="1:4" ht="17.649999999999999">
      <c r="D30" s="1989" t="s">
        <v>1660</v>
      </c>
    </row>
    <row r="31" spans="1:4" ht="13.5" customHeight="1">
      <c r="C31" s="3027">
        <v>42551</v>
      </c>
      <c r="D31" s="30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328125" style="1946" customWidth="1"/>
    <col min="3" max="10" width="12.46484375" style="1946" customWidth="1"/>
    <col min="11" max="16384" width="9" style="1946"/>
  </cols>
  <sheetData>
    <row r="1" spans="1:10" ht="17.649999999999999">
      <c r="A1" s="1979" t="s">
        <v>870</v>
      </c>
      <c r="B1" s="1990"/>
      <c r="C1" s="1990"/>
      <c r="D1" s="1990"/>
      <c r="E1" s="1990"/>
      <c r="F1" s="1990"/>
      <c r="G1" s="1990"/>
      <c r="H1" s="1990"/>
      <c r="I1" s="1990"/>
      <c r="J1" s="1990"/>
    </row>
    <row r="2" spans="1:10" ht="17.64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6484375" defaultRowHeight="15.75"/>
  <cols>
    <col min="1" max="1" width="14.46484375" style="1996" customWidth="1"/>
    <col min="2" max="16384" width="14.46484375" style="1978"/>
  </cols>
  <sheetData>
    <row r="1" spans="1:7" s="1993" customFormat="1" ht="17.649999999999999">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36" t="s">
        <v>1668</v>
      </c>
      <c r="B15" s="3031" t="s">
        <v>136</v>
      </c>
      <c r="C15" s="3032"/>
    </row>
    <row r="16" spans="1:7" ht="13.5">
      <c r="A16" s="3037"/>
      <c r="B16" s="3031" t="s">
        <v>69</v>
      </c>
      <c r="C16" s="3032"/>
    </row>
    <row r="17" spans="1:3" ht="13.5">
      <c r="A17" s="3037"/>
      <c r="B17" s="3034" t="s">
        <v>1669</v>
      </c>
      <c r="C17" s="2003" t="s">
        <v>1668</v>
      </c>
    </row>
    <row r="18" spans="1:3" ht="13.5">
      <c r="A18" s="3037"/>
      <c r="B18" s="3034"/>
      <c r="C18" s="2003" t="s">
        <v>1670</v>
      </c>
    </row>
    <row r="19" spans="1:3" ht="13.5">
      <c r="A19" s="3037"/>
      <c r="B19" s="3034"/>
      <c r="C19" s="2003" t="s">
        <v>1671</v>
      </c>
    </row>
    <row r="20" spans="1:3" ht="13.5">
      <c r="A20" s="3038"/>
      <c r="B20" s="3033" t="s">
        <v>1672</v>
      </c>
      <c r="C20" s="3032"/>
    </row>
    <row r="21" spans="1:3" ht="13.5">
      <c r="A21" s="2004" t="s">
        <v>1673</v>
      </c>
      <c r="B21" s="2005"/>
      <c r="C21" s="2006"/>
    </row>
    <row r="22" spans="1:3" ht="13.5">
      <c r="A22" s="3035" t="s">
        <v>1674</v>
      </c>
      <c r="B22" s="3033" t="s">
        <v>1675</v>
      </c>
      <c r="C22" s="3032"/>
    </row>
    <row r="23" spans="1:3" ht="13.5">
      <c r="A23" s="3035"/>
      <c r="B23" s="3033" t="s">
        <v>1676</v>
      </c>
      <c r="C23" s="3032"/>
    </row>
    <row r="24" spans="1:3" ht="13.5">
      <c r="A24" s="3035"/>
      <c r="B24" s="3033" t="s">
        <v>1677</v>
      </c>
      <c r="C24" s="3032"/>
    </row>
    <row r="25" spans="1:3" ht="13.5">
      <c r="A25" s="3035"/>
      <c r="B25" s="3034" t="s">
        <v>1678</v>
      </c>
      <c r="C25" s="2003" t="s">
        <v>1679</v>
      </c>
    </row>
    <row r="26" spans="1:3" ht="13.5">
      <c r="A26" s="3035"/>
      <c r="B26" s="3034"/>
      <c r="C26" s="2003" t="s">
        <v>1680</v>
      </c>
    </row>
    <row r="27" spans="1:3" ht="13.5">
      <c r="A27" s="3035"/>
      <c r="B27" s="3034"/>
      <c r="C27" s="2003" t="s">
        <v>1681</v>
      </c>
    </row>
    <row r="28" spans="1:3" ht="13.5">
      <c r="A28" s="3035"/>
      <c r="B28" s="3034"/>
      <c r="C28" s="2003" t="s">
        <v>1682</v>
      </c>
    </row>
    <row r="29" spans="1:3" ht="13.5">
      <c r="A29" s="3035"/>
      <c r="B29" s="3034"/>
      <c r="C29" s="2003" t="s">
        <v>1683</v>
      </c>
    </row>
    <row r="30" spans="1:3" ht="13.5">
      <c r="A30" s="3035"/>
      <c r="B30" s="3034"/>
      <c r="C30" s="2003" t="s">
        <v>1684</v>
      </c>
    </row>
    <row r="31" spans="1:3" ht="13.5">
      <c r="A31" s="3035"/>
      <c r="B31" s="3034"/>
      <c r="C31" s="2003" t="s">
        <v>1685</v>
      </c>
    </row>
    <row r="32" spans="1:3" ht="13.5">
      <c r="A32" s="3035"/>
      <c r="B32" s="3034"/>
      <c r="C32" s="2003" t="s">
        <v>1686</v>
      </c>
    </row>
    <row r="33" spans="1:3" ht="13.5">
      <c r="A33" s="3035"/>
      <c r="B33" s="3034"/>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80" zoomScaleNormal="100" zoomScaleSheetLayoutView="80" workbookViewId="0">
      <selection activeCell="B49" sqref="B49"/>
    </sheetView>
  </sheetViews>
  <sheetFormatPr defaultColWidth="22.59765625" defaultRowHeight="24" customHeight="1"/>
  <cols>
    <col min="1" max="2" width="22.59765625" style="1018"/>
    <col min="3" max="3" width="23.59765625" style="1018" bestFit="1" customWidth="1"/>
    <col min="4" max="5" width="22.59765625" style="1018"/>
    <col min="6" max="6" width="25.59765625" style="1018" customWidth="1"/>
    <col min="7" max="16384" width="22.59765625" style="1018"/>
  </cols>
  <sheetData>
    <row r="2" spans="1:6" ht="24" customHeight="1">
      <c r="A2" s="1020" t="s">
        <v>825</v>
      </c>
      <c r="B2" s="1021">
        <f ca="1">TODAY()</f>
        <v>43216</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39" t="s">
        <v>846</v>
      </c>
      <c r="B25" s="3039"/>
      <c r="C25" s="3039"/>
      <c r="D25" s="3039"/>
      <c r="E25" s="3039"/>
      <c r="F25" s="3039"/>
      <c r="G25" s="3039"/>
    </row>
    <row r="26" spans="1:7" s="1028" customFormat="1" ht="24" customHeight="1">
      <c r="A26" s="3040" t="s">
        <v>847</v>
      </c>
      <c r="B26" s="3040"/>
      <c r="C26" s="3041"/>
      <c r="D26" s="3042" t="s">
        <v>848</v>
      </c>
      <c r="E26" s="3040"/>
      <c r="F26" s="3040"/>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基准地价修正 (2)</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基准地价修正!Print_Area</vt:lpstr>
      <vt:lpstr>'基准地价修正 (2)'!Print_Area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2018-04-26T05:54:37Z</cp:lastPrinted>
  <dcterms:created xsi:type="dcterms:W3CDTF">2015-07-13T07:17:23Z</dcterms:created>
  <dcterms:modified xsi:type="dcterms:W3CDTF">2018-04-26T06:44:01Z</dcterms:modified>
</cp:coreProperties>
</file>