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r:id="rId30"/>
    <sheet name="案例 (2)" sheetId="81"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D40" i="43"/>
  <c r="D42" i="43"/>
  <c r="V25" i="1"/>
  <c r="V26" i="1" s="1"/>
  <c r="V24" i="1"/>
  <c r="V23" i="1"/>
  <c r="U21" i="1"/>
  <c r="L25" i="1"/>
  <c r="L6" i="1" s="1"/>
  <c r="N24" i="1"/>
  <c r="N23" i="1"/>
  <c r="M23" i="1"/>
  <c r="N19" i="1"/>
  <c r="N21" i="1" s="1"/>
  <c r="I16" i="3"/>
  <c r="K15" i="3"/>
  <c r="K14" i="3"/>
  <c r="K13" i="3"/>
  <c r="X25" i="1" l="1"/>
  <c r="Z25" i="1" s="1"/>
  <c r="N25" i="1"/>
  <c r="M24" i="1"/>
  <c r="D105" i="34" l="1"/>
  <c r="E105" i="34" s="1"/>
  <c r="F105" i="34" s="1"/>
  <c r="G105" i="34" s="1"/>
  <c r="H105" i="34" s="1"/>
  <c r="D14" i="9"/>
  <c r="Y6" i="1"/>
  <c r="I33" i="37" l="1"/>
  <c r="G33" i="37"/>
  <c r="E33" i="37"/>
  <c r="I5" i="37"/>
  <c r="G5" i="37"/>
  <c r="E5" i="37"/>
  <c r="F104" i="37"/>
  <c r="E104" i="37"/>
  <c r="D104" i="37"/>
  <c r="C104" i="37"/>
  <c r="G102" i="37"/>
  <c r="F102" i="37"/>
  <c r="E102" i="37"/>
  <c r="D102" i="37"/>
  <c r="C102" i="37"/>
  <c r="F92" i="37"/>
  <c r="G92" i="37" s="1"/>
  <c r="H92" i="37" s="1"/>
  <c r="D92" i="37"/>
  <c r="C92" i="37"/>
  <c r="D60" i="37"/>
  <c r="E60" i="37" s="1"/>
  <c r="F60" i="37" s="1"/>
  <c r="G60" i="37" s="1"/>
  <c r="I37" i="34"/>
  <c r="G37" i="34"/>
  <c r="E37" i="34"/>
  <c r="I34" i="34"/>
  <c r="G34" i="34"/>
  <c r="E34" i="34"/>
  <c r="I5" i="34"/>
  <c r="G5" i="34"/>
  <c r="E5" i="34"/>
  <c r="F123" i="34"/>
  <c r="E123" i="34"/>
  <c r="D123" i="34"/>
  <c r="C123" i="34"/>
  <c r="G117" i="34"/>
  <c r="F117" i="34"/>
  <c r="E117" i="34"/>
  <c r="D117" i="34"/>
  <c r="C117" i="34"/>
  <c r="D67" i="34"/>
  <c r="E67" i="34" s="1"/>
  <c r="F67" i="34" s="1"/>
  <c r="G67" i="34" s="1"/>
  <c r="E4" i="82"/>
  <c r="I41" i="37" s="1"/>
  <c r="E3" i="82"/>
  <c r="G41" i="37" s="1"/>
  <c r="E2" i="82"/>
  <c r="E41" i="37" s="1"/>
  <c r="I48" i="34"/>
  <c r="G48" i="34"/>
  <c r="E48" i="34"/>
  <c r="I33" i="33" l="1"/>
  <c r="G33" i="33"/>
  <c r="E33" i="33"/>
  <c r="I36" i="33"/>
  <c r="G36" i="33"/>
  <c r="E36" i="33"/>
  <c r="I47" i="33"/>
  <c r="E47" i="33"/>
  <c r="F122" i="33"/>
  <c r="E122" i="33"/>
  <c r="D122" i="33"/>
  <c r="C122" i="33"/>
  <c r="G112" i="33"/>
  <c r="F112" i="33"/>
  <c r="E112" i="33"/>
  <c r="D112" i="33"/>
  <c r="C112" i="33"/>
  <c r="D104" i="33"/>
  <c r="E104" i="33" s="1"/>
  <c r="F104" i="33" s="1"/>
  <c r="G104" i="33" s="1"/>
  <c r="H104" i="33" s="1"/>
  <c r="I104" i="33" s="1"/>
  <c r="J104" i="33" s="1"/>
  <c r="K104" i="33" s="1"/>
  <c r="L104" i="33" s="1"/>
  <c r="D89" i="33"/>
  <c r="E89" i="33" s="1"/>
  <c r="F89" i="33" s="1"/>
  <c r="G89" i="33" s="1"/>
  <c r="E66" i="33"/>
  <c r="F66" i="33" s="1"/>
  <c r="D66" i="33"/>
  <c r="I5" i="33"/>
  <c r="G5" i="33"/>
  <c r="E5" i="33"/>
  <c r="E4" i="80"/>
  <c r="E3" i="80"/>
  <c r="G47" i="33" s="1"/>
  <c r="E2" i="80"/>
  <c r="J49" i="67" l="1"/>
  <c r="J52" i="15"/>
  <c r="J52" i="67" s="1"/>
  <c r="J49" i="15"/>
  <c r="B21" i="1"/>
  <c r="D3" i="4" l="1"/>
  <c r="B2" i="82" l="1"/>
  <c r="B2" i="80"/>
  <c r="G14" i="73"/>
  <c r="F14" i="73"/>
  <c r="E14" i="73"/>
  <c r="B4" i="80" l="1"/>
  <c r="I7" i="33" s="1"/>
  <c r="E7" i="33"/>
  <c r="B3" i="80"/>
  <c r="G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3" i="79" l="1"/>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O33" i="71"/>
  <c r="N33" i="7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C30" i="71"/>
  <c r="AB29" i="71"/>
  <c r="AA30" i="71"/>
  <c r="AA31" i="71"/>
  <c r="AA32" i="71"/>
  <c r="C34" i="71"/>
  <c r="C35" i="71" s="1"/>
  <c r="Y33" i="71"/>
  <c r="Z33" i="71" s="1"/>
  <c r="AB33" i="71"/>
  <c r="X34" i="71"/>
  <c r="AA34" i="71"/>
  <c r="X35" i="71"/>
  <c r="AA35" i="71"/>
  <c r="X36" i="71"/>
  <c r="AA36" i="71"/>
  <c r="C38" i="71"/>
  <c r="D38" i="71" s="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C27" i="71"/>
  <c r="C26" i="71" s="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51" i="71"/>
  <c r="D43" i="71"/>
  <c r="D39" i="71"/>
  <c r="C32" i="71"/>
  <c r="T32" i="71" s="1"/>
  <c r="D31" i="71"/>
  <c r="D26" i="71"/>
  <c r="D27" i="71"/>
  <c r="O66" i="71"/>
  <c r="O65" i="71"/>
  <c r="D32" i="71"/>
  <c r="T40" i="71"/>
  <c r="D40" i="71"/>
  <c r="T44"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5" i="40"/>
  <c r="S25" i="40"/>
  <c r="S18" i="36"/>
  <c r="F94" i="40"/>
  <c r="H25" i="40"/>
  <c r="AB25" i="40" s="1"/>
  <c r="G94" i="40"/>
  <c r="J25" i="40"/>
  <c r="AC25" i="40" s="1"/>
  <c r="H29" i="39"/>
  <c r="AB29" i="39" s="1"/>
  <c r="J29" i="39"/>
  <c r="AC29" i="39" s="1"/>
  <c r="J18" i="36"/>
  <c r="AC18" i="36" s="1"/>
  <c r="H18" i="35"/>
  <c r="AB18" i="35" s="1"/>
  <c r="S18" i="35"/>
  <c r="J18" i="35"/>
  <c r="W18" i="35" s="1"/>
  <c r="H21" i="37"/>
  <c r="AB21" i="37" s="1"/>
  <c r="F21" i="37"/>
  <c r="AA21" i="37" s="1"/>
  <c r="H21" i="34"/>
  <c r="AB21" i="34" s="1"/>
  <c r="H21" i="33"/>
  <c r="U21" i="33" s="1"/>
  <c r="F21" i="33"/>
  <c r="S21" i="33" s="1"/>
  <c r="H1" i="69"/>
  <c r="U25" i="40"/>
  <c r="U29" i="39"/>
  <c r="W29" i="39"/>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44" i="4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C51" i="36"/>
  <c r="F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J34" i="35" s="1"/>
  <c r="B77" i="35"/>
  <c r="B75" i="35"/>
  <c r="J24" i="35" s="1"/>
  <c r="AC24" i="35" s="1"/>
  <c r="B73" i="35"/>
  <c r="H23" i="35"/>
  <c r="U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B126" i="33"/>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c r="H9" i="34"/>
  <c r="AB9" i="34" s="1"/>
  <c r="J8" i="34"/>
  <c r="H8" i="34"/>
  <c r="U8" i="34" s="1"/>
  <c r="F8" i="34"/>
  <c r="S8" i="34" s="1"/>
  <c r="D121" i="33"/>
  <c r="E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H38" i="33"/>
  <c r="AB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W46" i="21" s="1"/>
  <c r="B128" i="21"/>
  <c r="J45" i="21"/>
  <c r="W45" i="21" s="1"/>
  <c r="B126" i="21"/>
  <c r="B98" i="2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F36" i="39"/>
  <c r="S36" i="39" s="1"/>
  <c r="J35" i="39"/>
  <c r="AC35" i="39" s="1"/>
  <c r="F35" i="39"/>
  <c r="AA35" i="39" s="1"/>
  <c r="J36" i="39"/>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H39" i="33"/>
  <c r="AB39" i="33" s="1"/>
  <c r="F26" i="33"/>
  <c r="AA26" i="33" s="1"/>
  <c r="S40" i="33"/>
  <c r="H39" i="37"/>
  <c r="AB39" i="37" s="1"/>
  <c r="F11" i="40"/>
  <c r="AA11" i="40" s="1"/>
  <c r="H11" i="40"/>
  <c r="AB11" i="40" s="1"/>
  <c r="W8" i="40"/>
  <c r="AA9" i="40"/>
  <c r="U9" i="40"/>
  <c r="S40" i="40"/>
  <c r="U34"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6"/>
  <c r="F37" i="39"/>
  <c r="AA37" i="39" s="1"/>
  <c r="J34" i="36"/>
  <c r="W34" i="36" s="1"/>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U42" i="34"/>
  <c r="E114" i="34"/>
  <c r="F114" i="34" s="1"/>
  <c r="G114" i="34" s="1"/>
  <c r="H114" i="34" s="1"/>
  <c r="I114" i="34" s="1"/>
  <c r="J114" i="34" s="1"/>
  <c r="K114" i="34" s="1"/>
  <c r="L114" i="34" s="1"/>
  <c r="M114" i="34" s="1"/>
  <c r="H36" i="34"/>
  <c r="U36" i="34" s="1"/>
  <c r="S35" i="34"/>
  <c r="F27" i="34"/>
  <c r="AA27" i="34" s="1"/>
  <c r="F25" i="34"/>
  <c r="S25" i="34" s="1"/>
  <c r="H23" i="34"/>
  <c r="U23" i="34" s="1"/>
  <c r="J23" i="34"/>
  <c r="F19" i="34"/>
  <c r="S19" i="34" s="1"/>
  <c r="F15" i="34"/>
  <c r="AA15" i="34" s="1"/>
  <c r="J15" i="34"/>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B30" i="36"/>
  <c r="U33" i="35"/>
  <c r="F29" i="35"/>
  <c r="H29" i="35"/>
  <c r="AB29" i="35" s="1"/>
  <c r="J43" i="34"/>
  <c r="W43" i="34" s="1"/>
  <c r="AB42" i="34"/>
  <c r="J40" i="34"/>
  <c r="W40" i="34" s="1"/>
  <c r="H38" i="34"/>
  <c r="AB38" i="34" s="1"/>
  <c r="J36" i="34"/>
  <c r="W36" i="34" s="1"/>
  <c r="H25" i="34"/>
  <c r="AB25" i="34"/>
  <c r="J25" i="34"/>
  <c r="AC25" i="34" s="1"/>
  <c r="AB23" i="34"/>
  <c r="F23" i="34"/>
  <c r="AA23" i="34" s="1"/>
  <c r="J19" i="34"/>
  <c r="AC19" i="34" s="1"/>
  <c r="F113" i="33"/>
  <c r="G113" i="33" s="1"/>
  <c r="H113" i="33" s="1"/>
  <c r="I113" i="33" s="1"/>
  <c r="J113" i="33" s="1"/>
  <c r="K113" i="33" s="1"/>
  <c r="L113" i="33" s="1"/>
  <c r="M113" i="33" s="1"/>
  <c r="H37" i="33"/>
  <c r="AB37" i="33" s="1"/>
  <c r="H15" i="33"/>
  <c r="AB15" i="33" s="1"/>
  <c r="H11" i="33"/>
  <c r="AB11" i="33" s="1"/>
  <c r="F28" i="40"/>
  <c r="AA28" i="40"/>
  <c r="AA42" i="34"/>
  <c r="AA38" i="34"/>
  <c r="J11" i="33"/>
  <c r="W11" i="33" s="1"/>
  <c r="S28" i="34"/>
  <c r="U23" i="40"/>
  <c r="J42" i="21"/>
  <c r="AC42" i="21" s="1"/>
  <c r="H42" i="21"/>
  <c r="U42" i="21" s="1"/>
  <c r="J44" i="34"/>
  <c r="AC44" i="34" s="1"/>
  <c r="F44" i="34"/>
  <c r="AA44" i="34" s="1"/>
  <c r="J10" i="35"/>
  <c r="AC10" i="35" s="1"/>
  <c r="J14" i="21"/>
  <c r="W14" i="21" s="1"/>
  <c r="H14" i="21"/>
  <c r="U14" i="21" s="1"/>
  <c r="F28" i="21"/>
  <c r="AA28" i="21" s="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J14" i="33"/>
  <c r="F30" i="33"/>
  <c r="AA30" i="33" s="1"/>
  <c r="J44" i="33"/>
  <c r="AC44" i="33" s="1"/>
  <c r="J46" i="33"/>
  <c r="AC46" i="33" s="1"/>
  <c r="H46" i="33"/>
  <c r="AB46" i="33" s="1"/>
  <c r="J13" i="34"/>
  <c r="W13" i="34" s="1"/>
  <c r="J29" i="34"/>
  <c r="H29" i="34"/>
  <c r="AB29" i="34" s="1"/>
  <c r="H31" i="34"/>
  <c r="AB31" i="34" s="1"/>
  <c r="H45" i="34"/>
  <c r="U45" i="34" s="1"/>
  <c r="F45" i="34"/>
  <c r="S45" i="34" s="1"/>
  <c r="F47" i="34"/>
  <c r="S47" i="34" s="1"/>
  <c r="F13" i="35"/>
  <c r="H13" i="35"/>
  <c r="U13" i="35" s="1"/>
  <c r="J25" i="35"/>
  <c r="W25" i="35" s="1"/>
  <c r="F25" i="35"/>
  <c r="S25" i="35" s="1"/>
  <c r="H25" i="35"/>
  <c r="AB25" i="35" s="1"/>
  <c r="J35" i="35"/>
  <c r="AC35" i="35" s="1"/>
  <c r="F35" i="35"/>
  <c r="AA35" i="35" s="1"/>
  <c r="H35" i="35"/>
  <c r="AB35" i="35" s="1"/>
  <c r="F25" i="36"/>
  <c r="S25" i="36" s="1"/>
  <c r="H13" i="37"/>
  <c r="AB13" i="37" s="1"/>
  <c r="J13" i="37"/>
  <c r="W13" i="37" s="1"/>
  <c r="J28" i="37"/>
  <c r="AC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AB14" i="40"/>
  <c r="J14" i="37"/>
  <c r="AC14" i="37"/>
  <c r="J27" i="37"/>
  <c r="AC27" i="37" s="1"/>
  <c r="U46" i="33"/>
  <c r="J36" i="37"/>
  <c r="AC36" i="37" s="1"/>
  <c r="J10" i="36"/>
  <c r="AC10" i="36" s="1"/>
  <c r="AB30" i="21"/>
  <c r="AC13" i="36"/>
  <c r="S11" i="36"/>
  <c r="S45" i="33"/>
  <c r="S44" i="34"/>
  <c r="BA585" i="3"/>
  <c r="AZ585" i="3" s="1"/>
  <c r="F17" i="21"/>
  <c r="AA17" i="21" s="1"/>
  <c r="H17" i="21"/>
  <c r="AB17" i="21" s="1"/>
  <c r="F15" i="21"/>
  <c r="S15" i="21" s="1"/>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BA518" i="3"/>
  <c r="BA516" i="3"/>
  <c r="AZ516" i="3"/>
  <c r="BA514" i="3"/>
  <c r="BA512" i="3"/>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AZ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AC36" i="34"/>
  <c r="AA13" i="33"/>
  <c r="AC45" i="33"/>
  <c r="W44" i="33"/>
  <c r="U19" i="21"/>
  <c r="U26"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5" i="3"/>
  <c r="AZ59" i="3"/>
  <c r="AZ63" i="3"/>
  <c r="AZ71" i="3"/>
  <c r="AZ79" i="3"/>
  <c r="AZ83" i="3"/>
  <c r="AZ136" i="3"/>
  <c r="AZ160" i="3"/>
  <c r="AZ192" i="3"/>
  <c r="AZ85"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0" i="3"/>
  <c r="AZ360" i="3"/>
  <c r="AZ368" i="3"/>
  <c r="BA15" i="3"/>
  <c r="BB5" i="3"/>
  <c r="BR5" i="3"/>
  <c r="AZ380" i="3"/>
  <c r="AZ388" i="3"/>
  <c r="G509" i="3"/>
  <c r="BL493" i="3"/>
  <c r="AZ390"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9" i="3"/>
  <c r="AZ280" i="3"/>
  <c r="AZ288" i="3"/>
  <c r="AZ114" i="3"/>
  <c r="AZ130" i="3"/>
  <c r="AZ29" i="3"/>
  <c r="AZ31" i="3"/>
  <c r="AZ33" i="3"/>
  <c r="AZ42" i="3"/>
  <c r="AZ58" i="3"/>
  <c r="AZ61" i="3"/>
  <c r="AZ72" i="3"/>
  <c r="AZ74" i="3"/>
  <c r="AZ77" i="3"/>
  <c r="AZ82" i="3"/>
  <c r="AZ86" i="3"/>
  <c r="AZ110" i="3"/>
  <c r="F23" i="39"/>
  <c r="AA23" i="39" s="1"/>
  <c r="H27" i="36"/>
  <c r="U27" i="36" s="1"/>
  <c r="F27" i="36"/>
  <c r="AA27" i="36" s="1"/>
  <c r="H33" i="34"/>
  <c r="U33" i="34" s="1"/>
  <c r="F32" i="37"/>
  <c r="AA32" i="37" s="1"/>
  <c r="F20" i="36"/>
  <c r="AA20" i="36" s="1"/>
  <c r="J33" i="34"/>
  <c r="AC33" i="34" s="1"/>
  <c r="H23" i="39"/>
  <c r="U23" i="39" s="1"/>
  <c r="K9" i="1"/>
  <c r="M9" i="1" s="1"/>
  <c r="D93" i="9"/>
  <c r="G29" i="6"/>
  <c r="W26" i="33"/>
  <c r="AC27" i="34"/>
  <c r="AB34" i="36"/>
  <c r="U34" i="36"/>
  <c r="AB33" i="36"/>
  <c r="U33" i="36"/>
  <c r="AC12" i="39"/>
  <c r="W12" i="39"/>
  <c r="AC39" i="40"/>
  <c r="W39" i="40"/>
  <c r="AZ465" i="3"/>
  <c r="AZ408" i="3"/>
  <c r="AZ437" i="3"/>
  <c r="AZ441" i="3"/>
  <c r="AZ457" i="3"/>
  <c r="AZ473" i="3"/>
  <c r="F28" i="6"/>
  <c r="BL14" i="3"/>
  <c r="AC13" i="34"/>
  <c r="AA47" i="34"/>
  <c r="W28" i="37"/>
  <c r="S19" i="39"/>
  <c r="F12" i="33"/>
  <c r="H12" i="39"/>
  <c r="AB12" i="39" s="1"/>
  <c r="F39" i="40"/>
  <c r="AA39" i="40" s="1"/>
  <c r="BA14" i="3"/>
  <c r="AZ14" i="3" s="1"/>
  <c r="AZ224" i="3"/>
  <c r="AZ238" i="3"/>
  <c r="AZ281" i="3"/>
  <c r="AZ286" i="3"/>
  <c r="AZ149" i="3"/>
  <c r="AZ165" i="3"/>
  <c r="AZ181" i="3"/>
  <c r="AZ197" i="3"/>
  <c r="AZ26" i="3"/>
  <c r="AZ35" i="3"/>
  <c r="B12" i="1"/>
  <c r="E12" i="1" s="1"/>
  <c r="B10" i="1"/>
  <c r="E10" i="1" s="1"/>
  <c r="AZ84" i="3"/>
  <c r="AZ88" i="3"/>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AA29" i="34"/>
  <c r="S23" i="34"/>
  <c r="U15" i="34"/>
  <c r="H10" i="34"/>
  <c r="AB10" i="34" s="1"/>
  <c r="F11" i="34"/>
  <c r="S11" i="34" s="1"/>
  <c r="F70" i="34"/>
  <c r="G70" i="34" s="1"/>
  <c r="H70" i="34" s="1"/>
  <c r="I70" i="34" s="1"/>
  <c r="J70" i="34" s="1"/>
  <c r="K70" i="34" s="1"/>
  <c r="L70" i="34" s="1"/>
  <c r="M70" i="34" s="1"/>
  <c r="S27" i="33"/>
  <c r="S32" i="33"/>
  <c r="AA29" i="33"/>
  <c r="AB29" i="33"/>
  <c r="H41" i="33"/>
  <c r="U41" i="33" s="1"/>
  <c r="F121" i="33"/>
  <c r="G121" i="33" s="1"/>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W29" i="36"/>
  <c r="AC20" i="36"/>
  <c r="AB28" i="36"/>
  <c r="AA13" i="36"/>
  <c r="W22" i="36"/>
  <c r="W23" i="36"/>
  <c r="AB20" i="35"/>
  <c r="AC25" i="35"/>
  <c r="U25" i="35"/>
  <c r="S24" i="35"/>
  <c r="U24" i="35"/>
  <c r="S35" i="35"/>
  <c r="W35" i="35"/>
  <c r="AA16" i="35"/>
  <c r="S27" i="37"/>
  <c r="U36" i="37"/>
  <c r="U38" i="37"/>
  <c r="AB37" i="37"/>
  <c r="U8" i="37"/>
  <c r="U19" i="34"/>
  <c r="AC45" i="34"/>
  <c r="AA30" i="34"/>
  <c r="AB45"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S30" i="33"/>
  <c r="AC14" i="33"/>
  <c r="W14" i="33"/>
  <c r="S31" i="33"/>
  <c r="W13" i="33"/>
  <c r="AC13" i="33"/>
  <c r="U15" i="33"/>
  <c r="S11" i="33"/>
  <c r="U37" i="33"/>
  <c r="S28" i="33"/>
  <c r="W9" i="33"/>
  <c r="S44" i="21"/>
  <c r="AB42" i="21"/>
  <c r="S45" i="21"/>
  <c r="I101" i="21"/>
  <c r="J101" i="2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15"/>
  <c r="E2" i="68"/>
  <c r="F16" i="67"/>
  <c r="M23" i="15"/>
  <c r="B10" i="76"/>
  <c r="B8" i="76"/>
  <c r="F6" i="73"/>
  <c r="F20" i="31"/>
  <c r="B9" i="76"/>
  <c r="L48" i="15"/>
  <c r="F7" i="73"/>
  <c r="E11" i="76"/>
  <c r="M9" i="15"/>
  <c r="F37" i="67"/>
  <c r="E2" i="69"/>
  <c r="F9" i="15"/>
  <c r="M28" i="15"/>
  <c r="B7" i="76"/>
  <c r="E12" i="76"/>
  <c r="E7" i="76"/>
  <c r="F5" i="73"/>
  <c r="AO13" i="1"/>
  <c r="E10" i="76"/>
  <c r="F6" i="67"/>
  <c r="F13" i="15"/>
  <c r="E8" i="76"/>
  <c r="M24" i="15"/>
  <c r="C76" i="67"/>
  <c r="F13" i="67"/>
  <c r="F40" i="67"/>
  <c r="J15" i="15"/>
  <c r="M24" i="67"/>
  <c r="F36" i="67"/>
  <c r="D4" i="73"/>
  <c r="F4" i="73"/>
  <c r="F16" i="15"/>
  <c r="M22" i="67"/>
  <c r="F26" i="67"/>
  <c r="F37" i="15"/>
  <c r="D3" i="73"/>
  <c r="B13" i="76"/>
  <c r="D7" i="73"/>
  <c r="E9" i="76"/>
  <c r="B12" i="76"/>
  <c r="E13" i="76"/>
  <c r="B11" i="76"/>
  <c r="F3" i="73"/>
  <c r="M6" i="15"/>
  <c r="F40" i="15"/>
  <c r="D5" i="73"/>
  <c r="M28" i="67"/>
  <c r="M23" i="67"/>
  <c r="D6" i="73"/>
  <c r="BL16" i="3" l="1"/>
  <c r="AZ16" i="3" s="1"/>
  <c r="BL18" i="3"/>
  <c r="BL20" i="3"/>
  <c r="BA22" i="3"/>
  <c r="BL22" i="3"/>
  <c r="AA9" i="36"/>
  <c r="S9" i="36"/>
  <c r="AA29" i="21"/>
  <c r="S30" i="40"/>
  <c r="F29" i="6"/>
  <c r="AZ361" i="3"/>
  <c r="AZ347" i="3"/>
  <c r="AZ344" i="3"/>
  <c r="AZ313" i="3"/>
  <c r="AZ378" i="3"/>
  <c r="AZ341" i="3"/>
  <c r="AZ327" i="3"/>
  <c r="AZ325" i="3"/>
  <c r="AZ309" i="3"/>
  <c r="AZ511" i="3"/>
  <c r="AZ515" i="3"/>
  <c r="AZ519" i="3"/>
  <c r="AZ565" i="3"/>
  <c r="AZ569" i="3"/>
  <c r="AZ573" i="3"/>
  <c r="AZ577" i="3"/>
  <c r="AZ508" i="3"/>
  <c r="AZ512" i="3"/>
  <c r="AZ520" i="3"/>
  <c r="AZ530" i="3"/>
  <c r="AZ538" i="3"/>
  <c r="AZ552" i="3"/>
  <c r="AZ560" i="3"/>
  <c r="AZ568" i="3"/>
  <c r="AZ576" i="3"/>
  <c r="W29" i="33"/>
  <c r="S15" i="34"/>
  <c r="H31" i="21"/>
  <c r="J31" i="21"/>
  <c r="B101" i="43"/>
  <c r="C25" i="39"/>
  <c r="E115" i="33"/>
  <c r="F115" i="33" s="1"/>
  <c r="G115" i="33" s="1"/>
  <c r="H115" i="33" s="1"/>
  <c r="I115" i="33" s="1"/>
  <c r="J115" i="33" s="1"/>
  <c r="K115" i="33" s="1"/>
  <c r="L115" i="33" s="1"/>
  <c r="M115" i="33" s="1"/>
  <c r="J38" i="33"/>
  <c r="F38" i="33"/>
  <c r="AA38" i="33" s="1"/>
  <c r="E80" i="34"/>
  <c r="F80" i="34" s="1"/>
  <c r="G80" i="34" s="1"/>
  <c r="H17" i="34"/>
  <c r="F17" i="34"/>
  <c r="E124" i="34"/>
  <c r="F124" i="34" s="1"/>
  <c r="G124" i="34" s="1"/>
  <c r="H124" i="34" s="1"/>
  <c r="I124" i="34" s="1"/>
  <c r="J124" i="34" s="1"/>
  <c r="K124" i="34" s="1"/>
  <c r="L124" i="34" s="1"/>
  <c r="M124" i="34" s="1"/>
  <c r="H43" i="34"/>
  <c r="AB43" i="34" s="1"/>
  <c r="AC28" i="35"/>
  <c r="W28" i="35"/>
  <c r="J12" i="33"/>
  <c r="H12" i="33"/>
  <c r="S14" i="33"/>
  <c r="AA14" i="33"/>
  <c r="J30" i="33"/>
  <c r="H30" i="33"/>
  <c r="H44" i="33"/>
  <c r="F44" i="33"/>
  <c r="H13" i="34"/>
  <c r="F13" i="34"/>
  <c r="J31" i="34"/>
  <c r="F31" i="34"/>
  <c r="H47" i="34"/>
  <c r="J47" i="34"/>
  <c r="AA27" i="35"/>
  <c r="S27" i="35"/>
  <c r="F28" i="37"/>
  <c r="H28" i="37"/>
  <c r="U28" i="37" s="1"/>
  <c r="H40" i="37"/>
  <c r="F40" i="37"/>
  <c r="H25" i="37"/>
  <c r="J25" i="37"/>
  <c r="U8" i="39"/>
  <c r="AB8" i="39"/>
  <c r="H44" i="39"/>
  <c r="F44" i="39"/>
  <c r="J44" i="39"/>
  <c r="S13" i="35"/>
  <c r="AA13" i="35"/>
  <c r="W11" i="35"/>
  <c r="AC11" i="35"/>
  <c r="W30" i="34"/>
  <c r="AC30" i="34"/>
  <c r="U31" i="33"/>
  <c r="AB31" i="33"/>
  <c r="S29" i="35"/>
  <c r="AA29" i="35"/>
  <c r="W11" i="40"/>
  <c r="AC11" i="40"/>
  <c r="AC36" i="39"/>
  <c r="W36" i="39"/>
  <c r="W45" i="39"/>
  <c r="AC45" i="39"/>
  <c r="BL587" i="3"/>
  <c r="AZ587" i="3" s="1"/>
  <c r="BA586" i="3"/>
  <c r="J19" i="9"/>
  <c r="G27" i="6"/>
  <c r="F12" i="21"/>
  <c r="H12" i="21"/>
  <c r="H28" i="21"/>
  <c r="J28" i="21"/>
  <c r="AB40" i="33"/>
  <c r="U40" i="33"/>
  <c r="AC8" i="34"/>
  <c r="W8" i="34"/>
  <c r="E118" i="34"/>
  <c r="F118" i="34" s="1"/>
  <c r="G118" i="34" s="1"/>
  <c r="H40" i="34"/>
  <c r="H9" i="36"/>
  <c r="J9" i="36"/>
  <c r="J25" i="36"/>
  <c r="H25" i="36"/>
  <c r="F32" i="36"/>
  <c r="H32" i="36"/>
  <c r="F25" i="37"/>
  <c r="AC31" i="40"/>
  <c r="W31" i="40"/>
  <c r="AB36" i="39"/>
  <c r="U36" i="39"/>
  <c r="BL550" i="3"/>
  <c r="BA550" i="3"/>
  <c r="AZ550" i="3" s="1"/>
  <c r="G14" i="3"/>
  <c r="AZ398" i="3"/>
  <c r="AZ438" i="3"/>
  <c r="AZ555" i="3"/>
  <c r="AZ583" i="3"/>
  <c r="AZ510" i="3"/>
  <c r="AZ540" i="3"/>
  <c r="AZ548" i="3"/>
  <c r="AZ558" i="3"/>
  <c r="AZ514" i="3"/>
  <c r="F14" i="40"/>
  <c r="J14" i="40"/>
  <c r="H12" i="40"/>
  <c r="AC38" i="34"/>
  <c r="U40" i="40"/>
  <c r="S34" i="40"/>
  <c r="AC9" i="40"/>
  <c r="AC40" i="40"/>
  <c r="BL586" i="3"/>
  <c r="G578" i="3"/>
  <c r="G562" i="3"/>
  <c r="BA551" i="3"/>
  <c r="AZ551" i="3" s="1"/>
  <c r="BL548" i="3"/>
  <c r="E19" i="6"/>
  <c r="K6" i="1" s="1"/>
  <c r="BL15" i="3"/>
  <c r="AZ15" i="3" s="1"/>
  <c r="G398" i="3"/>
  <c r="BL398" i="3"/>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3" i="3"/>
  <c r="G445" i="3"/>
  <c r="BL445" i="3"/>
  <c r="AZ445" i="3" s="1"/>
  <c r="G447" i="3"/>
  <c r="BL447" i="3"/>
  <c r="AZ447" i="3" s="1"/>
  <c r="BA448" i="3"/>
  <c r="AZ448" i="3" s="1"/>
  <c r="BA451" i="3"/>
  <c r="BL451" i="3"/>
  <c r="BA452" i="3"/>
  <c r="AZ452" i="3" s="1"/>
  <c r="AZ464" i="3"/>
  <c r="AZ477" i="3"/>
  <c r="AZ480" i="3"/>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AZ185" i="3"/>
  <c r="AZ207" i="3"/>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C36" i="71"/>
  <c r="D35" i="7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T64" i="71"/>
  <c r="D64" i="71"/>
  <c r="P66" i="71"/>
  <c r="P65" i="71"/>
  <c r="E27" i="71"/>
  <c r="E26" i="71" s="1"/>
  <c r="V28" i="71"/>
  <c r="BA93" i="3"/>
  <c r="AZ93" i="3" s="1"/>
  <c r="BA94" i="3"/>
  <c r="AZ94"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U18" i="35"/>
  <c r="AB21" i="33"/>
  <c r="S21" i="37"/>
  <c r="W25" i="40"/>
  <c r="B57" i="43"/>
  <c r="AA28" i="71"/>
  <c r="AA26" i="71"/>
  <c r="AA3" i="71"/>
  <c r="Y29" i="71"/>
  <c r="Z29" i="71" s="1"/>
  <c r="F31" i="71"/>
  <c r="F32" i="71" s="1"/>
  <c r="V32" i="71" s="1"/>
  <c r="F35" i="71"/>
  <c r="F36" i="71" s="1"/>
  <c r="V36" i="71" s="1"/>
  <c r="F39" i="71"/>
  <c r="F40" i="71" s="1"/>
  <c r="V40" i="71" s="1"/>
  <c r="V24" i="71"/>
  <c r="M20" i="67"/>
  <c r="F34" i="15"/>
  <c r="F62" i="15" s="1"/>
  <c r="F34" i="67"/>
  <c r="F62" i="67" s="1"/>
  <c r="G6" i="1"/>
  <c r="I24" i="43"/>
  <c r="K50" i="43"/>
  <c r="M54" i="43"/>
  <c r="N54" i="43" s="1"/>
  <c r="K64" i="43"/>
  <c r="J64" i="43" s="1"/>
  <c r="K67" i="43"/>
  <c r="J67" i="43" s="1"/>
  <c r="K69" i="43"/>
  <c r="J69" i="43" s="1"/>
  <c r="K75" i="43"/>
  <c r="J75" i="43" s="1"/>
  <c r="M85" i="43"/>
  <c r="N85" i="43" s="1"/>
  <c r="A15" i="62"/>
  <c r="B61" i="72" s="1"/>
  <c r="F7" i="1"/>
  <c r="G7" i="1" s="1"/>
  <c r="G16" i="1" s="1"/>
  <c r="F10" i="39"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156"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28" i="3"/>
  <c r="E330" i="3"/>
  <c r="E424" i="3"/>
  <c r="E496" i="3"/>
  <c r="E256" i="3"/>
  <c r="E32" i="3"/>
  <c r="E164" i="3"/>
  <c r="P6" i="3"/>
  <c r="E444" i="3"/>
  <c r="E166" i="3"/>
  <c r="E384" i="3"/>
  <c r="E441" i="3"/>
  <c r="E14" i="6"/>
  <c r="E63" i="39" s="1"/>
  <c r="I4" i="6"/>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7" i="43"/>
  <c r="D65" i="43"/>
  <c r="D69" i="43"/>
  <c r="D75"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D9" i="11"/>
  <c r="C9" i="11" s="1"/>
  <c r="D19" i="12"/>
  <c r="C19" i="12" s="1"/>
  <c r="AZ13" i="3"/>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Q71" i="67"/>
  <c r="C27" i="67"/>
  <c r="F65" i="15"/>
  <c r="B13" i="70"/>
  <c r="F68" i="67"/>
  <c r="F64" i="67"/>
  <c r="F68" i="15"/>
  <c r="C36" i="68"/>
  <c r="D9" i="69"/>
  <c r="D9" i="68"/>
  <c r="F7" i="15"/>
  <c r="F43" i="15"/>
  <c r="M26" i="67"/>
  <c r="F8" i="67"/>
  <c r="F43" i="67"/>
  <c r="F42" i="67"/>
  <c r="F38" i="67"/>
  <c r="M8" i="67"/>
  <c r="M26" i="15"/>
  <c r="M6" i="67"/>
  <c r="G1" i="73"/>
  <c r="F7" i="67"/>
  <c r="M9" i="67"/>
  <c r="M29" i="67"/>
  <c r="M22" i="15"/>
  <c r="F36" i="15"/>
  <c r="C76" i="15"/>
  <c r="L47" i="15"/>
  <c r="F26" i="15"/>
  <c r="F38" i="15"/>
  <c r="C16" i="15"/>
  <c r="F42" i="15"/>
  <c r="L48" i="67"/>
  <c r="L47" i="67"/>
  <c r="F9" i="67"/>
  <c r="J15" i="67"/>
  <c r="M29" i="15"/>
  <c r="F8" i="15"/>
  <c r="E44" i="3" l="1"/>
  <c r="E316" i="3"/>
  <c r="E88" i="3"/>
  <c r="E558" i="3"/>
  <c r="AG6" i="3"/>
  <c r="E236" i="3"/>
  <c r="E394" i="3"/>
  <c r="E73" i="3"/>
  <c r="AE6" i="3"/>
  <c r="E437" i="3"/>
  <c r="E120" i="3"/>
  <c r="E238" i="3"/>
  <c r="F71" i="15"/>
  <c r="F50" i="15"/>
  <c r="M7" i="15"/>
  <c r="J6" i="15" s="1"/>
  <c r="C31" i="12"/>
  <c r="AZ469" i="3"/>
  <c r="AZ451" i="3"/>
  <c r="AZ434" i="3"/>
  <c r="AZ418" i="3"/>
  <c r="AB12" i="40"/>
  <c r="U12" i="40"/>
  <c r="S14" i="40"/>
  <c r="AA14" i="40"/>
  <c r="AB32" i="36"/>
  <c r="U32" i="36"/>
  <c r="AB25" i="36"/>
  <c r="U25" i="36"/>
  <c r="AC9" i="36"/>
  <c r="W9" i="36"/>
  <c r="U40" i="34"/>
  <c r="AB40" i="34"/>
  <c r="W28" i="21"/>
  <c r="AC28" i="21"/>
  <c r="AB12" i="21"/>
  <c r="U12" i="21"/>
  <c r="AC44" i="39"/>
  <c r="W44" i="39"/>
  <c r="U44" i="39"/>
  <c r="AB44" i="39"/>
  <c r="U25" i="37"/>
  <c r="AB25" i="37"/>
  <c r="U40" i="37"/>
  <c r="AB40" i="37"/>
  <c r="AA28" i="37"/>
  <c r="S28" i="37"/>
  <c r="U47" i="34"/>
  <c r="AB47" i="34"/>
  <c r="AC31" i="34"/>
  <c r="W31" i="34"/>
  <c r="U13" i="34"/>
  <c r="AB13" i="34"/>
  <c r="AB44" i="33"/>
  <c r="U44" i="33"/>
  <c r="AC12" i="33"/>
  <c r="W12" i="33"/>
  <c r="U17" i="34"/>
  <c r="AB17" i="34"/>
  <c r="AB31" i="21"/>
  <c r="U31" i="21"/>
  <c r="BA5" i="3"/>
  <c r="D36" i="71"/>
  <c r="T36" i="71"/>
  <c r="AP6" i="1"/>
  <c r="C36" i="69" s="1"/>
  <c r="W14" i="40"/>
  <c r="AC14" i="40"/>
  <c r="AA25" i="37"/>
  <c r="S25" i="37"/>
  <c r="S32" i="36"/>
  <c r="AA32" i="36"/>
  <c r="W25" i="36"/>
  <c r="AC25" i="36"/>
  <c r="AB28" i="21"/>
  <c r="U28" i="21"/>
  <c r="S12" i="21"/>
  <c r="AA12" i="21"/>
  <c r="AZ586" i="3"/>
  <c r="AZ5" i="3" s="1"/>
  <c r="AA44" i="39"/>
  <c r="S44" i="39"/>
  <c r="AC25" i="37"/>
  <c r="W25" i="37"/>
  <c r="AA40" i="37"/>
  <c r="S40" i="37"/>
  <c r="AC47" i="34"/>
  <c r="W47" i="34"/>
  <c r="S31" i="34"/>
  <c r="AA31" i="34"/>
  <c r="AA13" i="34"/>
  <c r="S13" i="34"/>
  <c r="S44" i="33"/>
  <c r="AA44" i="33"/>
  <c r="AB30" i="33"/>
  <c r="U30" i="33"/>
  <c r="U12" i="33"/>
  <c r="AB12" i="33"/>
  <c r="AA17" i="34"/>
  <c r="S17" i="34"/>
  <c r="AC38" i="33"/>
  <c r="W38" i="33"/>
  <c r="AC31" i="21"/>
  <c r="W31" i="21"/>
  <c r="D64" i="43"/>
  <c r="E29" i="3"/>
  <c r="AM6" i="3"/>
  <c r="E317" i="3"/>
  <c r="E295" i="3"/>
  <c r="E121" i="3"/>
  <c r="E404" i="3"/>
  <c r="E581" i="3"/>
  <c r="E443" i="3"/>
  <c r="E448" i="3"/>
  <c r="E576" i="3"/>
  <c r="E252" i="3"/>
  <c r="I6" i="3"/>
  <c r="E580" i="3"/>
  <c r="E274" i="3"/>
  <c r="E203" i="3"/>
  <c r="E55" i="3"/>
  <c r="E429" i="3"/>
  <c r="E344" i="3"/>
  <c r="E481" i="3"/>
  <c r="Q6" i="3"/>
  <c r="E177" i="3"/>
  <c r="E262" i="3"/>
  <c r="E4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27" i="15"/>
  <c r="L58" i="15"/>
  <c r="Q73" i="15" s="1"/>
  <c r="N59" i="15"/>
  <c r="M59" i="15"/>
  <c r="L59" i="15"/>
  <c r="Q74" i="15" s="1"/>
  <c r="Q71" i="15"/>
  <c r="F64" i="15"/>
  <c r="J53" i="67"/>
  <c r="Q52" i="67" s="1"/>
  <c r="J57" i="67"/>
  <c r="J55" i="67" s="1"/>
  <c r="J58" i="67" s="1"/>
  <c r="Q50" i="67" s="1"/>
  <c r="I54" i="67"/>
  <c r="L56" i="67"/>
  <c r="F31" i="15"/>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7" i="1"/>
  <c r="AE8" i="1"/>
  <c r="AE12" i="1"/>
  <c r="AE10" i="1"/>
  <c r="AE6" i="1"/>
  <c r="F41" i="67"/>
  <c r="C16" i="67"/>
  <c r="C49" i="15" l="1"/>
  <c r="AY6" i="3"/>
  <c r="E3" i="6"/>
  <c r="C34" i="34" s="1"/>
  <c r="C33" i="33"/>
  <c r="J10" i="67"/>
  <c r="J5" i="67" s="1"/>
  <c r="J24" i="67" s="1"/>
  <c r="J56" i="43"/>
  <c r="D56"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C28" i="43" s="1"/>
  <c r="T15" i="43" s="1"/>
  <c r="V15" i="43" s="1"/>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F25" i="12"/>
  <c r="F22" i="69"/>
  <c r="F41" i="69" s="1"/>
  <c r="F24" i="67"/>
  <c r="C24" i="67" s="1"/>
  <c r="F22" i="11"/>
  <c r="F22" i="68"/>
  <c r="F24" i="15"/>
  <c r="C24" i="15" s="1"/>
  <c r="M27" i="15"/>
  <c r="F41" i="15"/>
  <c r="M27" i="67"/>
  <c r="C48" i="15" l="1"/>
  <c r="C66" i="15" s="1"/>
  <c r="C30" i="37"/>
  <c r="H33" i="33"/>
  <c r="J33" i="33"/>
  <c r="F33" i="33"/>
  <c r="J30" i="37"/>
  <c r="F30" i="37"/>
  <c r="H30" i="37"/>
  <c r="J34" i="34"/>
  <c r="F34" i="34"/>
  <c r="H34" i="34"/>
  <c r="C38" i="43"/>
  <c r="E38" i="43" s="1"/>
  <c r="C39" i="43"/>
  <c r="G39" i="43" s="1"/>
  <c r="I39" i="43" s="1"/>
  <c r="C37" i="43"/>
  <c r="G37" i="43" s="1"/>
  <c r="I37" i="43" s="1"/>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37" i="43"/>
  <c r="G38" i="43"/>
  <c r="I38" i="43" s="1"/>
  <c r="E40" i="36"/>
  <c r="F40" i="36" s="1"/>
  <c r="E41" i="36"/>
  <c r="F41" i="36" s="1"/>
  <c r="H48" i="35"/>
  <c r="I41" i="36"/>
  <c r="J41" i="36" s="1"/>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C14" i="67"/>
  <c r="C17" i="67"/>
  <c r="C17" i="15"/>
  <c r="C60" i="15" l="1"/>
  <c r="E39" i="43"/>
  <c r="G41" i="43"/>
  <c r="I41" i="43" s="1"/>
  <c r="H25" i="6"/>
  <c r="E40" i="43"/>
  <c r="C33" i="37"/>
  <c r="C37" i="34"/>
  <c r="C36" i="33"/>
  <c r="AA34" i="34"/>
  <c r="S34" i="34"/>
  <c r="AA30" i="37"/>
  <c r="S30" i="37"/>
  <c r="AA33" i="33"/>
  <c r="S33" i="33"/>
  <c r="AB33" i="33"/>
  <c r="U33" i="33"/>
  <c r="AB34" i="34"/>
  <c r="U34" i="34"/>
  <c r="AC34" i="34"/>
  <c r="W34" i="34"/>
  <c r="AB30" i="37"/>
  <c r="U30" i="37"/>
  <c r="AC30" i="37"/>
  <c r="W30" i="37"/>
  <c r="AC33" i="33"/>
  <c r="W33" i="33"/>
  <c r="G42" i="43"/>
  <c r="I42"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22" i="11"/>
  <c r="C31" i="11" s="1"/>
  <c r="C33" i="67"/>
  <c r="J19" i="67"/>
  <c r="C34" i="68"/>
  <c r="C14" i="15"/>
  <c r="D8" i="74" l="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E26" i="43"/>
  <c r="J26" i="43"/>
  <c r="G26" i="43"/>
  <c r="B116" i="43"/>
  <c r="Z7" i="43"/>
  <c r="AB36" i="33"/>
  <c r="T48" i="33" s="1"/>
  <c r="G48" i="33" s="1"/>
  <c r="U36" i="33"/>
  <c r="AB33" i="37"/>
  <c r="T42" i="37" s="1"/>
  <c r="G42" i="37" s="1"/>
  <c r="U33" i="37"/>
  <c r="AC33" i="37"/>
  <c r="V42" i="37" s="1"/>
  <c r="I42" i="37" s="1"/>
  <c r="W33" i="37"/>
  <c r="AA36" i="33"/>
  <c r="R48" i="33" s="1"/>
  <c r="S36" i="33"/>
  <c r="AC37" i="34"/>
  <c r="V49" i="34" s="1"/>
  <c r="I49" i="34" s="1"/>
  <c r="W37" i="34"/>
  <c r="AA37" i="34"/>
  <c r="R49" i="34" s="1"/>
  <c r="S37" i="34"/>
  <c r="AA33" i="37"/>
  <c r="R42" i="37" s="1"/>
  <c r="S33" i="37"/>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G53" i="34"/>
  <c r="H53" i="34" s="1"/>
  <c r="G54" i="34"/>
  <c r="H54" i="34" s="1"/>
  <c r="E42" i="37"/>
  <c r="R43" i="37"/>
  <c r="E49" i="34"/>
  <c r="R50" i="34"/>
  <c r="I53" i="34"/>
  <c r="J53" i="34" s="1"/>
  <c r="E48" i="33"/>
  <c r="R49" i="33"/>
  <c r="I46" i="37"/>
  <c r="J46" i="37" s="1"/>
  <c r="G47" i="37"/>
  <c r="H47" i="37" s="1"/>
  <c r="G46" i="37"/>
  <c r="H46" i="37" s="1"/>
  <c r="G53" i="33"/>
  <c r="H53" i="33" s="1"/>
  <c r="G52" i="33"/>
  <c r="H52" i="33" s="1"/>
  <c r="C27" i="12"/>
  <c r="C25"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118" i="43" l="1"/>
  <c r="D116" i="43" s="1"/>
  <c r="C33" i="43"/>
  <c r="I53" i="33"/>
  <c r="J53" i="33" s="1"/>
  <c r="E52" i="33"/>
  <c r="F52" i="33" s="1"/>
  <c r="E53" i="33"/>
  <c r="F53" i="33" s="1"/>
  <c r="E53" i="34"/>
  <c r="F53" i="34" s="1"/>
  <c r="E54" i="34"/>
  <c r="F54" i="34" s="1"/>
  <c r="E47" i="37"/>
  <c r="F47" i="37" s="1"/>
  <c r="E46" i="37"/>
  <c r="F46" i="37" s="1"/>
  <c r="I47" i="37"/>
  <c r="J47" i="37" s="1"/>
  <c r="C49" i="33"/>
  <c r="C48" i="33"/>
  <c r="I54" i="34"/>
  <c r="J54" i="34" s="1"/>
  <c r="C50" i="34"/>
  <c r="W23" i="1" s="1"/>
  <c r="C49" i="34"/>
  <c r="C43" i="37"/>
  <c r="C42" i="3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W24" i="1" l="1"/>
  <c r="W26" i="1" s="1"/>
  <c r="U6" i="1" s="1"/>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D2" i="21"/>
  <c r="E6" i="76"/>
  <c r="F6" i="15"/>
  <c r="C6" i="15" l="1"/>
  <c r="E2" i="76"/>
  <c r="B2" i="43"/>
  <c r="C6" i="68" s="1"/>
  <c r="D7" i="71"/>
  <c r="C6"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B6" i="76"/>
  <c r="D2" i="33"/>
  <c r="L51" i="67"/>
  <c r="C32" i="15" l="1"/>
  <c r="C10" i="15"/>
  <c r="C5" i="15" s="1"/>
  <c r="C38" i="15" s="1"/>
  <c r="C33" i="15"/>
  <c r="C7" i="68"/>
  <c r="C5" i="68" s="1"/>
  <c r="B2" i="76"/>
  <c r="B3" i="76" s="1"/>
  <c r="B3" i="43"/>
  <c r="D6" i="71"/>
  <c r="C5" i="71"/>
  <c r="D5" i="71"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6"/>
  <c r="D2" i="34"/>
  <c r="C31" i="15" l="1"/>
  <c r="C30" i="15" s="1"/>
  <c r="C39" i="15" s="1"/>
  <c r="C23" i="68"/>
  <c r="C20" i="68"/>
  <c r="M24" i="43"/>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7" i="1"/>
  <c r="L51" i="15"/>
  <c r="AO9" i="1"/>
  <c r="AO8" i="1"/>
  <c r="AO10" i="1"/>
  <c r="AO12" i="1"/>
  <c r="Q67" i="15" l="1"/>
  <c r="Q69" i="15"/>
  <c r="Q68" i="15" s="1"/>
  <c r="C40" i="15"/>
  <c r="C80" i="15"/>
  <c r="C79" i="15" s="1"/>
  <c r="C28" i="68"/>
  <c r="C27" i="68" s="1"/>
  <c r="C25" i="68"/>
  <c r="C22" i="68"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3" i="15" l="1"/>
  <c r="C46" i="15"/>
  <c r="Q47" i="15"/>
  <c r="Q53" i="15" s="1"/>
  <c r="Q65" i="15"/>
  <c r="Q75" i="15" s="1"/>
  <c r="Q56" i="15"/>
  <c r="Q62" i="15" s="1"/>
  <c r="C43" i="15"/>
  <c r="C83" i="15"/>
  <c r="C82" i="15" s="1"/>
  <c r="C31" i="68"/>
  <c r="C52" i="68" s="1"/>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B2" i="68"/>
  <c r="C57" i="68"/>
  <c r="C56" i="68" s="1"/>
  <c r="C42" i="40"/>
  <c r="C43" i="40"/>
  <c r="E47" i="40"/>
  <c r="F47" i="40" s="1"/>
  <c r="E46" i="40"/>
  <c r="F46" i="40" s="1"/>
  <c r="I47" i="40"/>
  <c r="J47" i="40" s="1"/>
  <c r="C19" i="9"/>
  <c r="C21" i="9" l="1"/>
  <c r="C102" i="9"/>
  <c r="G19" i="9"/>
  <c r="J20"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c r="C35" i="9" s="1"/>
  <c r="C34" i="9" s="1"/>
  <c r="G21" i="9"/>
  <c r="H111" i="9"/>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D15" i="53"/>
  <c r="B31" i="72"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M69" i="9" l="1"/>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<sst xmlns="http://schemas.openxmlformats.org/spreadsheetml/2006/main" count="8251" uniqueCount="3534">
  <si>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</si>
  <si>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</si>
  <si>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</si>
  <si>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</si>
  <si>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</si>
  <si>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</si>
  <si>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</si>
  <si>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</si>
  <si>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</si>
  <si>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</si>
  <si>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</si>
  <si>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</si>
  <si>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</si>
  <si>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</si>
  <si>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</si>
  <si>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</si>
  <si>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</si>
  <si>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</si>
  <si>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</si>
  <si>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</si>
  <si>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</si>
  <si>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</si>
  <si>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</si>
  <si>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</si>
  <si>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</si>
  <si>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</si>
  <si>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</si>
  <si>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</si>
  <si>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</si>
  <si>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</si>
  <si>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</si>
  <si>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</si>
  <si>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</si>
  <si>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</si>
  <si>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</si>
  <si>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</si>
  <si>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</si>
  <si>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</si>
  <si>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</si>
  <si>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</si>
  <si>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</si>
  <si>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</si>
  <si>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</si>
  <si>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</si>
  <si>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</si>
  <si>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</si>
  <si>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</si>
  <si>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</si>
  <si>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</si>
  <si>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</si>
  <si>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</si>
  <si>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</si>
  <si>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</si>
  <si>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</si>
  <si>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</si>
  <si>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</si>
  <si>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</si>
  <si>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</si>
  <si>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</si>
  <si>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</si>
  <si>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</si>
  <si>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</si>
  <si>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</si>
  <si>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</si>
  <si>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</si>
  <si>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</si>
  <si>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</si>
  <si>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</si>
  <si>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</si>
  <si>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</si>
  <si>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</si>
  <si>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</si>
  <si>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</si>
  <si>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</si>
  <si>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</si>
  <si>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</si>
  <si>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</si>
  <si>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</si>
  <si>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</si>
  <si>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</si>
  <si>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</si>
  <si>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</si>
  <si>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</si>
  <si>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</si>
  <si>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</si>
  <si>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</si>
  <si>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</si>
  <si>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</si>
  <si>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</si>
  <si>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</si>
  <si>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</si>
  <si>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</si>
  <si>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</si>
  <si>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</si>
  <si>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</si>
  <si>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</si>
  <si>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</si>
  <si>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</si>
  <si>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</si>
  <si>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</si>
  <si>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</si>
  <si>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</si>
  <si>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</si>
  <si>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</si>
  <si>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</si>
  <si>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</si>
  <si>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</si>
  <si>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</si>
  <si>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</si>
  <si>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</si>
  <si>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</si>
  <si>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</si>
  <si>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</si>
  <si>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</si>
  <si>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</si>
  <si>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</si>
  <si>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</si>
  <si>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</si>
  <si>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</si>
  <si>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</si>
  <si>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</si>
  <si>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</si>
  <si>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</si>
  <si>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</si>
  <si>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</si>
  <si>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</si>
  <si>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</si>
  <si>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</si>
  <si>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</si>
  <si>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</si>
  <si>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</si>
  <si>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</si>
  <si>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</si>
  <si>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</si>
  <si>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</si>
  <si>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</si>
  <si>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</si>
  <si>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</si>
  <si>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</si>
  <si>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</si>
  <si>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</si>
  <si>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</si>
  <si>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</si>
  <si>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</si>
  <si>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</si>
  <si>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</si>
  <si>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</si>
  <si>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</si>
  <si>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</si>
  <si>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</si>
  <si>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</si>
  <si>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</si>
  <si>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</si>
  <si>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</si>
  <si>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</si>
  <si>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</si>
  <si>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</si>
  <si>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</si>
  <si>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</si>
  <si>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</si>
  <si>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</si>
  <si>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</si>
  <si>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</si>
  <si>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</si>
  <si>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</si>
  <si>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</si>
  <si>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</si>
  <si>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</si>
  <si>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</si>
  <si>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</si>
  <si>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</si>
  <si>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</si>
  <si>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</si>
  <si>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</si>
  <si>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</si>
  <si>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</si>
  <si>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</si>
  <si>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</si>
  <si>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</si>
  <si>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</si>
  <si>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</si>
  <si>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</si>
  <si>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</si>
  <si>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</si>
  <si>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</si>
  <si>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</si>
  <si>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</si>
  <si>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</si>
  <si>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</si>
  <si>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</si>
  <si>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</si>
  <si>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</si>
  <si>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</si>
  <si>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</si>
  <si>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</si>
  <si>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</si>
  <si>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</si>
  <si>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</si>
  <si>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</si>
  <si>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</si>
  <si>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</si>
  <si>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</si>
  <si>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</si>
  <si>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</si>
  <si>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</si>
  <si>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</si>
  <si>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</si>
  <si>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</si>
  <si>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</si>
  <si>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</si>
  <si>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</si>
  <si>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</si>
  <si>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</si>
  <si>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</si>
  <si>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</si>
  <si>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</si>
  <si>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</si>
  <si>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</si>
  <si>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</si>
  <si>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</si>
  <si>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</si>
  <si>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</si>
  <si>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</si>
  <si>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</si>
  <si>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</si>
  <si>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</si>
  <si>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</si>
  <si>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</si>
  <si>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</si>
  <si>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</si>
  <si>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</si>
  <si>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</si>
  <si>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</si>
  <si>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</si>
  <si>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</si>
  <si>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</si>
  <si>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</si>
  <si>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</si>
  <si>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</si>
  <si>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</si>
  <si>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</si>
  <si>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</si>
  <si>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</si>
  <si>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</si>
  <si>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</si>
  <si>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</si>
  <si>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</si>
  <si>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</si>
  <si>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</si>
  <si>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</si>
  <si>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</si>
  <si>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</si>
  <si>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</si>
  <si>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</si>
  <si>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</si>
  <si>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</si>
  <si>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</si>
  <si>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</si>
  <si>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</si>
  <si>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</si>
  <si>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</si>
  <si>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</si>
  <si>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</si>
  <si>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</si>
  <si>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</si>
  <si>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</si>
  <si>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</si>
  <si>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</si>
  <si>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</si>
  <si>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</si>
  <si>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</si>
  <si>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</si>
  <si>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</si>
  <si>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</si>
  <si>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</si>
  <si>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</si>
  <si>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</si>
  <si>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</si>
  <si>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</si>
  <si>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</si>
  <si>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</si>
  <si>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</si>
  <si>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</si>
  <si>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</si>
  <si>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</si>
  <si>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</si>
  <si>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</si>
  <si>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</si>
  <si>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</si>
  <si>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</si>
  <si>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</si>
  <si>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</si>
  <si>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</si>
  <si>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</si>
  <si>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</si>
  <si>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</si>
  <si>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</si>
  <si>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</si>
  <si>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</si>
  <si>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</si>
  <si>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</si>
  <si>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</si>
  <si>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</si>
  <si>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</si>
  <si>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</si>
  <si>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</si>
  <si>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</si>
  <si>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</si>
  <si>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</si>
  <si>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</si>
  <si>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</si>
  <si>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</si>
  <si>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</si>
  <si>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</si>
  <si>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</si>
  <si>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</si>
  <si>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</si>
  <si>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</si>
  <si>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</si>
  <si>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</si>
  <si>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</si>
  <si>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</si>
  <si>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</si>
  <si>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</si>
  <si>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</si>
  <si>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</si>
  <si>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</si>
  <si>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</si>
  <si>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</si>
  <si>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</si>
  <si>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</si>
  <si>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</si>
  <si>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</si>
  <si>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</si>
  <si>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</si>
  <si>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</si>
  <si>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</si>
  <si>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</si>
  <si>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</si>
  <si>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</si>
  <si>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</si>
  <si>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</si>
  <si>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</si>
  <si>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</si>
  <si>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</si>
  <si>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</si>
  <si>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</si>
  <si>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</si>
  <si>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</si>
  <si>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</si>
  <si>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</si>
  <si>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</si>
  <si>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</si>
  <si>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</si>
  <si>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</si>
  <si>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</si>
  <si>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</si>
  <si>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</si>
  <si>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</si>
  <si>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</si>
  <si>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</si>
  <si>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</si>
  <si>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</si>
  <si>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</si>
  <si>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</si>
  <si>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</si>
  <si>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</si>
  <si>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</si>
  <si>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</si>
  <si>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</si>
  <si>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</si>
  <si>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</si>
  <si>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</si>
  <si>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</si>
  <si>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</si>
  <si>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</si>
  <si>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</si>
  <si>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</si>
  <si>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</si>
  <si>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</si>
  <si>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</si>
  <si>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</si>
  <si>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</si>
  <si>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</si>
  <si>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</si>
  <si>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</si>
  <si>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</si>
  <si>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</si>
  <si>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</si>
  <si>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</si>
  <si>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</si>
  <si>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</si>
  <si>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</si>
  <si>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</si>
  <si>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</si>
  <si>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</si>
  <si>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</si>
  <si>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</si>
  <si>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</si>
  <si>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</si>
  <si>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</si>
  <si>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</si>
  <si>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</si>
  <si>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</si>
  <si>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</si>
  <si>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</si>
  <si>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</si>
  <si>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</si>
  <si>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</si>
  <si>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</si>
  <si>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</si>
  <si>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</si>
  <si>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</si>
  <si>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</si>
  <si>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</si>
  <si>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</si>
  <si>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</si>
  <si>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</si>
  <si>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</si>
  <si>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</si>
  <si>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</si>
  <si>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</si>
  <si>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</si>
  <si>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</si>
  <si>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</si>
  <si>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</si>
  <si>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</si>
  <si>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</si>
  <si>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</si>
  <si>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</si>
  <si>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</si>
  <si>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</si>
  <si>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</si>
  <si>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</si>
  <si>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</si>
  <si>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</si>
  <si>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</si>
  <si>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</si>
  <si>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</si>
  <si>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</si>
  <si>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</si>
  <si>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</si>
  <si>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</si>
  <si>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</si>
  <si>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</si>
  <si>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</si>
  <si>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</si>
  <si>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</si>
  <si>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</si>
  <si>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</si>
  <si>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</si>
  <si>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</si>
  <si>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</si>
  <si>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</si>
  <si>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</si>
  <si>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</si>
  <si>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</si>
  <si>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</si>
  <si>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</si>
  <si>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</si>
  <si>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</si>
  <si>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</si>
  <si>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</si>
  <si>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</si>
  <si>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</si>
  <si>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</si>
  <si>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</si>
  <si>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</si>
  <si>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</si>
  <si>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</si>
  <si>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</si>
  <si>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</si>
  <si>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</si>
  <si>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</si>
  <si>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</si>
  <si>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</si>
  <si>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</si>
  <si>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</si>
  <si>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</si>
  <si>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</si>
  <si>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</si>
  <si>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</si>
  <si>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</si>
  <si>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</si>
  <si>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</si>
  <si>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</si>
  <si>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</si>
  <si>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</si>
  <si>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</si>
  <si>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</si>
  <si>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</si>
  <si>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</si>
  <si>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</si>
  <si>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</si>
  <si>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</si>
  <si>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</si>
  <si>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</si>
  <si>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</si>
  <si>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</si>
  <si>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</si>
  <si>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</si>
  <si>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</si>
  <si>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</si>
  <si>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</si>
  <si>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</si>
  <si>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</si>
  <si>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</si>
  <si>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</si>
  <si>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</si>
  <si>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</si>
  <si>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</si>
  <si>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</si>
  <si>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</si>
  <si>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</si>
  <si>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</si>
  <si>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</si>
  <si>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</si>
  <si>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</si>
  <si>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</si>
  <si>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</si>
  <si>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</si>
  <si>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</si>
  <si>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</si>
  <si>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</si>
  <si>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</si>
  <si>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</si>
  <si>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</si>
  <si>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</si>
  <si>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</si>
  <si>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</si>
  <si>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</si>
  <si>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</si>
  <si>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</si>
  <si>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</si>
  <si>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</si>
  <si>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</si>
  <si>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</si>
  <si>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</si>
  <si>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</si>
  <si>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</si>
  <si>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</si>
  <si>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</si>
  <si>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</si>
  <si>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</si>
  <si>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</si>
  <si>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</si>
  <si>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</si>
  <si>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</si>
  <si>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</si>
  <si>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</si>
  <si>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</si>
  <si>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</si>
  <si>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</si>
  <si>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</si>
  <si>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</si>
  <si>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</si>
  <si>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</si>
  <si>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</si>
  <si>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</si>
  <si>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</si>
  <si>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</si>
  <si>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</si>
  <si>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</si>
  <si>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</si>
  <si>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</si>
  <si>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</si>
  <si>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</si>
  <si>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</si>
  <si>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</si>
  <si>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</si>
  <si>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</si>
  <si>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</si>
  <si>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</si>
  <si>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</si>
  <si>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</si>
  <si>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</si>
  <si>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</si>
  <si>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</si>
  <si>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</si>
  <si>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</si>
  <si>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</si>
  <si>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</si>
  <si>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</si>
  <si>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</si>
  <si>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</si>
  <si>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</si>
  <si>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</si>
  <si>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</si>
  <si>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</si>
  <si>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</si>
  <si>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</si>
  <si>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</si>
  <si>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</si>
  <si>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</si>
  <si>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</si>
  <si>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</si>
  <si>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</si>
  <si>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</si>
  <si>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</si>
  <si>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</si>
  <si>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</si>
  <si>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</si>
  <si>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</si>
  <si>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</si>
  <si>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</si>
  <si>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</si>
  <si>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</si>
  <si>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</si>
  <si>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</si>
  <si>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</si>
  <si>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</si>
  <si>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</si>
  <si>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</si>
  <si>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</si>
  <si>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</si>
  <si>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</si>
  <si>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</si>
  <si>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</si>
  <si>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</si>
  <si>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</si>
  <si>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</si>
  <si>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</si>
  <si>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</si>
  <si>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</si>
  <si>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</si>
  <si>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</si>
  <si>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</si>
  <si>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</si>
  <si>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</si>
  <si>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</si>
  <si>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</si>
  <si>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</si>
  <si>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</si>
  <si>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</si>
  <si>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</si>
  <si>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</si>
  <si>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</si>
  <si>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</si>
  <si>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</si>
  <si>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</si>
  <si>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</si>
  <si>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</si>
  <si>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</si>
  <si>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</si>
  <si>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</si>
  <si>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</si>
  <si>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</si>
  <si>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</si>
  <si>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</si>
  <si>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</si>
  <si>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</si>
  <si>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</si>
  <si>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</si>
  <si>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</si>
  <si>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</si>
  <si>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</si>
  <si>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</si>
  <si>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</si>
  <si>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</si>
  <si>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</si>
  <si>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</si>
  <si>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</si>
  <si>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</si>
  <si>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</si>
  <si>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</si>
  <si>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</si>
  <si>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</si>
  <si>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</si>
  <si>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</si>
  <si>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</si>
  <si>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</si>
  <si>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</si>
  <si>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</si>
  <si>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</si>
  <si>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</si>
  <si>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</si>
  <si>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</si>
  <si>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</si>
  <si>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</si>
  <si>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</si>
  <si>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</si>
  <si>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</si>
  <si>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</si>
  <si>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</si>
  <si>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</si>
  <si>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</si>
  <si>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</si>
  <si>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</si>
  <si>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</si>
  <si>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</si>
  <si>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</si>
  <si>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</si>
  <si>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</si>
  <si>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</si>
  <si>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</si>
  <si>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</si>
  <si>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</si>
  <si>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</si>
  <si>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</si>
  <si>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</si>
  <si>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</si>
  <si>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</si>
  <si>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</si>
  <si>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</si>
  <si>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</si>
  <si>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</si>
  <si>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</si>
  <si>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</si>
  <si>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</si>
  <si>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</si>
  <si>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</si>
  <si>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</si>
  <si>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</si>
  <si>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</si>
  <si>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</si>
  <si>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</si>
  <si>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</si>
  <si>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</si>
  <si>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</si>
  <si>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</si>
  <si>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</si>
  <si>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</si>
  <si>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</si>
  <si>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</si>
  <si>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</si>
  <si>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</si>
  <si>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</si>
  <si>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</si>
  <si>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</si>
  <si>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</si>
  <si>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</si>
  <si>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</si>
  <si>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</si>
  <si>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</si>
  <si>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</si>
  <si>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</si>
  <si>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</si>
  <si>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</si>
  <si>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</si>
  <si>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</si>
  <si>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</si>
  <si>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</si>
  <si>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</si>
  <si>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</si>
  <si>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</si>
  <si>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</si>
  <si>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</si>
  <si>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</si>
  <si>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</si>
  <si>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</si>
  <si>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</si>
  <si>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</si>
  <si>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</si>
  <si>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</si>
  <si>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</si>
  <si>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</si>
  <si>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</si>
  <si>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</si>
  <si>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</si>
  <si>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</si>
  <si>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</si>
  <si>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</si>
  <si>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</si>
  <si>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</si>
  <si>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</si>
  <si>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</si>
  <si>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</si>
  <si>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</si>
  <si>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</si>
  <si>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</si>
  <si>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</si>
  <si>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</si>
  <si>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</si>
  <si>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</si>
  <si>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</si>
  <si>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</si>
  <si>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</si>
  <si>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</si>
  <si>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</si>
  <si>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</si>
  <si>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</si>
  <si>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</si>
  <si>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</si>
  <si>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</si>
  <si>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</si>
  <si>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</si>
  <si>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</si>
  <si>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</si>
  <si>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</si>
  <si>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</si>
  <si>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</si>
  <si>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</si>
  <si>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</si>
  <si>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</si>
  <si>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</si>
  <si>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</si>
  <si>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</si>
  <si>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</si>
  <si>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</si>
  <si>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</si>
  <si>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</si>
  <si>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</si>
  <si>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</si>
  <si>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</si>
  <si>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</si>
  <si>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</si>
  <si>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</si>
  <si>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</si>
  <si>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</si>
  <si>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</si>
  <si>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</si>
  <si>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</si>
  <si>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</si>
  <si>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</si>
  <si>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</si>
  <si>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</si>
  <si>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</si>
  <si>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</si>
  <si>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</si>
  <si>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</si>
  <si>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</si>
  <si>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</si>
  <si>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</si>
  <si>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</si>
  <si>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</si>
  <si>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</si>
  <si>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</si>
  <si>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</si>
  <si>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</si>
  <si>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</si>
  <si>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</si>
  <si>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</si>
  <si>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</si>
  <si>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</si>
  <si>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</si>
  <si>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</si>
  <si>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</si>
  <si>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</si>
  <si>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</si>
  <si>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</si>
  <si>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</si>
  <si>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</si>
  <si>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</si>
  <si>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</si>
  <si>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</si>
  <si>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</si>
  <si>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</si>
  <si>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</si>
  <si>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</si>
  <si>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</si>
  <si>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</si>
  <si>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</si>
  <si>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</si>
  <si>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</si>
  <si>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</si>
  <si>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</si>
  <si>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</si>
  <si>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</si>
  <si>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</si>
  <si>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</si>
  <si>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</si>
  <si>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</si>
  <si>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</si>
  <si>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</si>
  <si>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</si>
  <si>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</si>
  <si>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</si>
  <si>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</si>
  <si>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</si>
  <si>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</si>
  <si>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</si>
  <si>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</si>
  <si>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</si>
  <si>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</si>
  <si>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</si>
  <si>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</si>
  <si>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</si>
  <si>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</si>
  <si>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</si>
  <si>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</si>
  <si>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</si>
  <si>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</si>
  <si>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</si>
  <si>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</si>
  <si>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</si>
  <si>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</si>
  <si>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</si>
  <si>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</si>
  <si>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</si>
  <si>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</si>
  <si>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</si>
  <si>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</si>
  <si>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</si>
  <si>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</si>
  <si>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</si>
  <si>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</si>
  <si>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</si>
  <si>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</si>
  <si>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</si>
  <si>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</si>
  <si>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</si>
  <si>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</si>
  <si>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</si>
  <si>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</si>
  <si>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</si>
  <si>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</si>
  <si>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</si>
  <si>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</si>
  <si>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</si>
  <si>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</si>
  <si>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</si>
  <si>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</si>
  <si>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</si>
  <si>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</si>
  <si>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</si>
  <si>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</si>
  <si>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</si>
  <si>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</si>
  <si>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</si>
  <si>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</si>
  <si>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</si>
  <si>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</si>
  <si>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</si>
  <si>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</si>
  <si>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</si>
  <si>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</si>
  <si>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</si>
  <si>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</si>
  <si>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</si>
  <si>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</si>
  <si>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</si>
  <si>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</si>
  <si>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</si>
  <si>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</si>
  <si>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</si>
  <si>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</si>
  <si>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</si>
  <si>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</si>
  <si>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</si>
  <si>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</si>
  <si>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</si>
  <si>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</si>
  <si>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</si>
  <si>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</si>
  <si>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</si>
  <si>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</si>
  <si>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</si>
  <si>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</si>
  <si>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</si>
  <si>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</si>
  <si>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</si>
  <si>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</si>
  <si>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</si>
  <si>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</si>
  <si>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</si>
  <si>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</si>
  <si>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</si>
  <si>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</si>
  <si>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</si>
  <si>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</si>
  <si>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</si>
  <si>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</si>
  <si>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</si>
  <si>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</si>
  <si>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</si>
  <si>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</si>
  <si>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</si>
  <si>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</si>
  <si>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</si>
  <si>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</si>
  <si>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</si>
  <si>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</si>
  <si>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</si>
  <si>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</si>
  <si>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</si>
  <si>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</si>
  <si>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</si>
  <si>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</si>
  <si>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</si>
  <si>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</si>
  <si>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</si>
  <si>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</si>
  <si>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</si>
  <si>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</si>
  <si>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</si>
  <si>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</si>
  <si>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</si>
  <si>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</si>
  <si>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</si>
  <si>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</si>
  <si>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</si>
  <si>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</si>
  <si>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</si>
  <si>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</si>
  <si>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</si>
  <si>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</si>
  <si>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</si>
  <si>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</si>
  <si>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</si>
  <si>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</si>
  <si>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</si>
  <si>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</si>
  <si>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</si>
  <si>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</si>
  <si>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</si>
  <si>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</si>
  <si>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</si>
  <si>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</si>
  <si>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</si>
  <si>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</si>
  <si>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</si>
  <si>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</si>
  <si>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</si>
  <si>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</si>
  <si>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</si>
  <si>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</si>
  <si>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</si>
  <si>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</si>
  <si>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</si>
  <si>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</si>
  <si>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</si>
  <si>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</si>
  <si>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</si>
  <si>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</si>
  <si>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</si>
  <si>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</si>
  <si>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</si>
  <si>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</si>
  <si>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</si>
  <si>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</si>
  <si>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</si>
  <si>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</si>
  <si>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</si>
  <si>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</si>
  <si>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</si>
  <si>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</si>
  <si>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</si>
  <si>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</si>
  <si>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</si>
  <si>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</si>
  <si>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</si>
  <si>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</si>
  <si>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</si>
  <si>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</si>
  <si>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</si>
  <si>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</si>
  <si>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</si>
  <si>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</si>
  <si>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</si>
  <si>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</si>
  <si>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</si>
  <si>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</si>
  <si>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</si>
  <si>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</si>
  <si>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</si>
  <si>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</si>
  <si>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</si>
  <si>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</si>
  <si>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</si>
  <si>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</si>
  <si>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</si>
  <si>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</si>
  <si>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</si>
  <si>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</si>
  <si>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</si>
  <si>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</si>
  <si>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</si>
  <si>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</si>
  <si>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</si>
  <si>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</si>
  <si>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</si>
  <si>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</si>
  <si>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</si>
  <si>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</si>
  <si>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</si>
  <si>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</si>
  <si>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</si>
  <si>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</si>
  <si>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</si>
  <si>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</si>
  <si>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</si>
  <si>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</si>
  <si>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</si>
  <si>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</si>
  <si>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</si>
  <si>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</si>
  <si>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</si>
  <si>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</si>
  <si>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</si>
  <si>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</si>
  <si>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</si>
  <si>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</si>
  <si>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</si>
  <si>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</si>
  <si>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</si>
  <si>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</si>
  <si>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</si>
  <si>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</si>
  <si>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</si>
  <si>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</si>
  <si>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</si>
  <si>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</si>
  <si>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</si>
  <si>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</si>
  <si>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</si>
  <si>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</si>
  <si>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</si>
  <si>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</si>
  <si>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</si>
  <si>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</si>
  <si>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</si>
  <si>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</si>
  <si>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</si>
  <si>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</si>
  <si>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</si>
  <si>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</si>
  <si>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</si>
  <si>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</si>
  <si>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</si>
  <si>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</si>
  <si>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</si>
  <si>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</si>
  <si>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</si>
  <si>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</si>
  <si>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</si>
  <si>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</si>
  <si>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</si>
  <si>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</si>
  <si>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</si>
  <si>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</si>
  <si>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</si>
  <si>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</si>
  <si>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</si>
  <si>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</si>
  <si>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</si>
  <si>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</si>
  <si>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</si>
  <si>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</si>
  <si>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</si>
  <si>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</si>
  <si>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</si>
  <si>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</si>
  <si>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</si>
  <si>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</si>
  <si>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</si>
  <si>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</si>
  <si>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</si>
  <si>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</si>
  <si>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</si>
  <si>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</si>
  <si>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</si>
  <si>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</si>
  <si>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</si>
  <si>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</si>
  <si>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</si>
  <si>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</si>
  <si>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</si>
  <si>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</si>
  <si>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</si>
  <si>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</si>
  <si>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</si>
  <si>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</si>
  <si>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</si>
  <si>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</si>
  <si>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</si>
  <si>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</si>
  <si>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</si>
  <si>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</si>
  <si>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</si>
  <si>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</si>
  <si>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</si>
  <si>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</si>
  <si>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</si>
  <si>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</si>
  <si>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</si>
  <si>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</si>
  <si>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</si>
  <si>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</si>
  <si>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</si>
  <si>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</si>
  <si>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</si>
  <si>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</si>
  <si>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</si>
  <si>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</si>
  <si>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</si>
  <si>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</si>
  <si>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</si>
  <si>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</si>
  <si>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</si>
  <si>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</si>
  <si>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</si>
  <si>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</si>
  <si>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</si>
  <si>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</si>
  <si>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</si>
  <si>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</si>
  <si>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</si>
  <si>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</si>
  <si>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</si>
  <si>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</si>
  <si>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</si>
  <si>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</si>
  <si>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</si>
  <si>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</si>
  <si>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</si>
  <si>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</si>
  <si>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</si>
  <si>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</si>
  <si>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</si>
  <si>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</si>
  <si>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</si>
  <si>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</si>
  <si>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</si>
  <si>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</si>
  <si>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</si>
  <si>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</si>
  <si>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</si>
  <si>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</si>
  <si>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</si>
  <si>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</si>
  <si>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</si>
  <si>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</si>
  <si>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</si>
  <si>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</si>
  <si>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</si>
  <si>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</si>
  <si>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</si>
  <si>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</si>
  <si>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</si>
  <si>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</si>
  <si>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</si>
  <si>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</si>
  <si>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</si>
  <si>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</si>
  <si>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</si>
  <si>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</si>
  <si>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</si>
  <si>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</si>
  <si>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</si>
  <si>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</si>
  <si>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</si>
  <si>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</si>
  <si>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</si>
  <si>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</si>
  <si>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</si>
  <si>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</si>
  <si>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</si>
  <si>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</si>
  <si>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</si>
  <si>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</si>
  <si>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</si>
  <si>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</si>
  <si>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</si>
  <si>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</si>
  <si>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</si>
  <si>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</si>
  <si>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</si>
  <si>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</si>
  <si>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</si>
  <si>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</si>
  <si>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</si>
  <si>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</si>
  <si>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</si>
  <si>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</si>
  <si>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</si>
  <si>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</si>
  <si>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</si>
  <si>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</si>
  <si>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</si>
  <si>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</si>
  <si>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</si>
  <si>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</si>
  <si>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</si>
  <si>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</si>
  <si>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</si>
  <si>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</si>
  <si>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</si>
  <si>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</si>
  <si>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</si>
  <si>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</si>
  <si>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</si>
  <si>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</si>
  <si>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</si>
  <si>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</si>
  <si>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</si>
  <si>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</si>
  <si>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</si>
  <si>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</si>
  <si>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</si>
  <si>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</si>
  <si>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</si>
  <si>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</si>
  <si>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</si>
  <si>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</si>
  <si>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</si>
  <si>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</si>
  <si>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</si>
  <si>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</si>
  <si>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</si>
  <si>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</si>
  <si>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</si>
  <si>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</si>
  <si>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</si>
  <si>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</si>
  <si>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</si>
  <si>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</si>
  <si>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</si>
  <si>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</si>
  <si>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</si>
  <si>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</si>
  <si>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</si>
  <si>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</si>
  <si>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</si>
  <si>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</si>
  <si>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</si>
  <si>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</si>
  <si>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</si>
  <si>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</si>
  <si>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</si>
  <si>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</si>
  <si>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</si>
  <si>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</si>
  <si>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</si>
  <si>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</si>
  <si>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</si>
  <si>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</si>
  <si>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</si>
  <si>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</si>
  <si>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</si>
  <si>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</si>
  <si>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</si>
  <si>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</si>
  <si>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</si>
  <si>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</si>
  <si>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</si>
  <si>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</si>
  <si>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</si>
  <si>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</si>
  <si>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</si>
  <si>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</si>
  <si>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</si>
  <si>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</si>
  <si>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</si>
  <si>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</si>
  <si>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</si>
  <si>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</si>
  <si>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</si>
  <si>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</si>
  <si>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</si>
  <si>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</si>
  <si>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</si>
  <si>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</si>
  <si>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</si>
  <si>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</si>
  <si>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</si>
  <si>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</si>
  <si>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</si>
  <si>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</si>
  <si>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</si>
  <si>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</si>
  <si>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</si>
  <si>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</si>
  <si>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</si>
  <si>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</si>
  <si>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</si>
  <si>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</si>
  <si>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</si>
  <si>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</si>
  <si>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</si>
  <si>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</si>
  <si>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</si>
  <si>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</si>
  <si>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</si>
  <si>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</si>
  <si>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</si>
  <si>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</si>
  <si>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</si>
  <si>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</si>
  <si>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</si>
  <si>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</si>
  <si>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</si>
  <si>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</si>
  <si>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</si>
  <si>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</si>
  <si>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</si>
  <si>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</si>
  <si>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</si>
  <si>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</si>
  <si>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</si>
  <si>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</si>
  <si>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</si>
  <si>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</si>
  <si>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</si>
  <si>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</si>
  <si>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</si>
  <si>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</si>
  <si>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</si>
  <si>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</si>
  <si>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</si>
  <si>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</si>
  <si>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</si>
  <si>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</si>
  <si>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</si>
  <si>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</si>
  <si>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</si>
  <si>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</si>
  <si>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</si>
  <si>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</si>
  <si>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</si>
  <si>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</si>
  <si>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</si>
  <si>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</si>
  <si>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</si>
  <si>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</si>
  <si>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</si>
  <si>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</si>
  <si>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</si>
  <si>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</si>
  <si>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</si>
  <si>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</si>
  <si>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</si>
  <si>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</si>
  <si>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</si>
  <si>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</si>
  <si>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</si>
  <si>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</si>
  <si>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</si>
  <si>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</si>
  <si>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</si>
  <si>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</si>
  <si>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</si>
  <si>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</si>
  <si>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</si>
  <si>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</si>
  <si>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</si>
  <si>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</si>
  <si>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</si>
  <si>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</si>
  <si>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</si>
  <si>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</si>
  <si>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</si>
  <si>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</si>
  <si>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</si>
  <si>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</si>
  <si>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</si>
  <si>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</si>
  <si>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</si>
  <si>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</si>
  <si>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</si>
  <si>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</si>
  <si>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</si>
  <si>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</si>
  <si>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</si>
  <si>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</si>
  <si>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</si>
  <si>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</si>
  <si>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</si>
  <si>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</si>
  <si>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</si>
  <si>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</si>
  <si>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</si>
  <si>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</si>
  <si>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</si>
  <si>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</si>
  <si>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</si>
  <si>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</si>
  <si>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</si>
  <si>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</si>
  <si>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</si>
  <si>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</si>
  <si>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</si>
  <si>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</si>
  <si>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</si>
  <si>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</si>
  <si>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</si>
  <si>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</si>
  <si>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</si>
  <si>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</si>
  <si>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</si>
  <si>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</si>
  <si>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</si>
  <si>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</si>
  <si>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</si>
  <si>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</si>
  <si>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</si>
  <si>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</si>
  <si>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</si>
  <si>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</si>
  <si>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</si>
  <si>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</si>
  <si>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</si>
  <si>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</si>
  <si>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</si>
  <si>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</si>
  <si>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</si>
  <si>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</si>
  <si>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</si>
  <si>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</si>
  <si>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</si>
  <si>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</si>
  <si>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</si>
  <si>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</si>
  <si>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</si>
  <si>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</si>
  <si>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</si>
  <si>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</si>
  <si>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</si>
  <si>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</si>
  <si>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</si>
  <si>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</si>
  <si>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</si>
  <si>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</si>
  <si>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</si>
  <si>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</si>
  <si>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</si>
  <si>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</si>
  <si>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</si>
  <si>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</si>
  <si>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</si>
  <si>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</si>
  <si>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</si>
  <si>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</si>
  <si>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</si>
  <si>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</si>
  <si>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</si>
  <si>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</si>
  <si>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</si>
  <si>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</si>
  <si>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</si>
  <si>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</si>
  <si>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</si>
  <si>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</si>
  <si>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</si>
  <si>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</si>
  <si>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</si>
  <si>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</si>
  <si>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</si>
  <si>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</si>
  <si>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</si>
  <si>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</si>
  <si>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</si>
  <si>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</si>
  <si>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</si>
  <si>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</si>
  <si>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</si>
  <si>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</si>
  <si>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</si>
  <si>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</si>
  <si>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</si>
  <si>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</si>
  <si>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</si>
  <si>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</si>
  <si>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</si>
  <si>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</si>
  <si>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</si>
  <si>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</si>
  <si>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</si>
  <si>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</si>
  <si>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</si>
  <si>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</si>
  <si>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</si>
  <si>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</si>
  <si>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</si>
  <si>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</si>
  <si>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</si>
  <si>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</si>
  <si>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</si>
  <si>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</si>
  <si>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</si>
  <si>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</si>
  <si>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</si>
  <si>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</si>
  <si>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</si>
  <si>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</si>
  <si>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</si>
  <si>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</si>
  <si>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</si>
  <si>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</si>
  <si>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</si>
  <si>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</si>
  <si>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</si>
  <si>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</si>
  <si>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</si>
  <si>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</si>
  <si>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</si>
  <si>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</si>
  <si>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</si>
  <si>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</si>
  <si>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</si>
  <si>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</si>
  <si>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</si>
  <si>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</si>
  <si>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</si>
  <si>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</si>
  <si>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</si>
  <si>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</si>
  <si>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</si>
  <si>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</si>
  <si>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</si>
  <si>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</si>
  <si>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</si>
  <si>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</si>
  <si>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</si>
  <si>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</si>
  <si>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</si>
  <si>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</si>
  <si>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</si>
  <si>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</si>
  <si>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</si>
  <si>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</si>
  <si>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</si>
  <si>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</si>
  <si>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</si>
  <si>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</si>
  <si>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</si>
  <si>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</si>
  <si>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</si>
  <si>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</si>
  <si>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</si>
  <si>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</si>
  <si>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</si>
  <si>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</si>
  <si>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</si>
  <si>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</si>
  <si>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</si>
  <si>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</si>
  <si>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</si>
  <si>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</si>
  <si>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</si>
  <si>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</si>
  <si>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</si>
  <si>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</si>
  <si>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</si>
  <si>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</si>
  <si>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</si>
  <si>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</si>
  <si>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</si>
  <si>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</si>
  <si>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</si>
  <si>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</si>
  <si>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</si>
  <si>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</si>
  <si>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</si>
  <si>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</si>
  <si>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</si>
  <si>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</si>
  <si>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</si>
  <si>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</si>
  <si>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</si>
  <si>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</si>
  <si>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</si>
  <si>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</si>
  <si>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</si>
  <si>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</si>
  <si>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</si>
  <si>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</si>
  <si>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</si>
  <si>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</si>
  <si>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</si>
  <si>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</si>
  <si>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</si>
  <si>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</si>
  <si>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</si>
  <si>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</si>
  <si>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</si>
  <si>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</si>
  <si>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</si>
  <si>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</si>
  <si>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</si>
  <si>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</si>
  <si>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</si>
  <si>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</si>
  <si>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</si>
  <si>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</si>
  <si>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</si>
  <si>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</si>
  <si>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</si>
  <si>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</si>
  <si>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</si>
  <si>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</si>
  <si>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</si>
  <si>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</si>
  <si>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</si>
  <si>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</si>
  <si>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</si>
  <si>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</si>
  <si>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</si>
  <si>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</si>
  <si>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</si>
  <si>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</si>
  <si>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</si>
  <si>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</si>
  <si>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</si>
  <si>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</si>
  <si>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</si>
  <si>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</si>
  <si>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</si>
  <si>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</si>
  <si>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</si>
  <si>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</si>
  <si>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</si>
  <si>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</si>
  <si>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</si>
  <si>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</si>
  <si>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</si>
  <si>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</si>
  <si>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</si>
  <si>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</si>
  <si>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</si>
  <si>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</si>
  <si>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</si>
  <si>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</si>
  <si>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</si>
  <si>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</si>
  <si>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</si>
  <si>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</si>
  <si>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</si>
  <si>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</si>
  <si>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</si>
  <si>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</si>
  <si>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</si>
  <si>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</si>
  <si>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</si>
  <si>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</si>
  <si>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</si>
  <si>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</si>
  <si>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</si>
  <si>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</si>
  <si>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</si>
  <si>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</si>
  <si>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</si>
  <si>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</si>
  <si>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</si>
  <si>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</si>
  <si>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</si>
  <si>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</si>
  <si>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</si>
  <si>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</si>
  <si>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</si>
  <si>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</si>
  <si>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</si>
  <si>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</si>
  <si>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</si>
  <si>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</si>
  <si>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</si>
  <si>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</si>
  <si>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</si>
  <si>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</si>
  <si>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</si>
  <si>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</si>
  <si>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</si>
  <si>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</si>
  <si>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</si>
  <si>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</si>
  <si>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</si>
  <si>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</si>
  <si>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</si>
  <si>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</si>
  <si>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</si>
  <si>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</si>
  <si>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</si>
  <si>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</si>
  <si>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</si>
  <si>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</si>
  <si>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</si>
  <si>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</si>
  <si>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</si>
  <si>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</si>
  <si>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</si>
  <si>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</si>
  <si>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</si>
  <si>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</si>
  <si>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</si>
  <si>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</si>
  <si>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</si>
  <si>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</si>
  <si>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</si>
  <si>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</si>
  <si>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</si>
  <si>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</si>
  <si>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</si>
  <si>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</si>
  <si>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</si>
  <si>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</si>
  <si>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</si>
  <si>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</si>
  <si>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</si>
  <si>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</si>
  <si>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</si>
  <si>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</si>
  <si>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</si>
  <si>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</si>
  <si>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</si>
  <si>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</si>
  <si>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</si>
  <si>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</si>
  <si>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</si>
  <si>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</si>
  <si>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</si>
  <si>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</si>
  <si>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</si>
  <si>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</si>
  <si>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</si>
  <si>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</si>
  <si>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</si>
  <si>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</si>
  <si>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</si>
  <si>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</si>
  <si>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</si>
  <si>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</si>
  <si>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</si>
  <si>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</si>
  <si>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</si>
  <si>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</si>
  <si>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</si>
  <si>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</si>
  <si>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</si>
  <si>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</si>
  <si>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</si>
  <si>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</si>
  <si>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</si>
  <si>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</si>
  <si>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</si>
  <si>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</si>
  <si>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</si>
  <si>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</si>
  <si>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</si>
  <si>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</si>
  <si>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</si>
  <si>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</si>
  <si>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</si>
  <si>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</si>
  <si>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</si>
  <si>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</si>
  <si>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</si>
  <si>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</si>
  <si>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</si>
  <si>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</si>
  <si>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</si>
  <si>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</si>
  <si>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</si>
  <si>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</si>
  <si>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</si>
  <si>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</si>
  <si>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</si>
  <si>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</si>
  <si>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</si>
  <si>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</si>
  <si>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</si>
  <si>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</si>
  <si>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</si>
  <si>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</si>
  <si>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</si>
  <si>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</si>
  <si>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</si>
  <si>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</si>
  <si>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</si>
  <si>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</si>
  <si>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</si>
  <si>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</si>
  <si>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</si>
  <si>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</si>
  <si>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</si>
  <si>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</si>
  <si>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</si>
  <si>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</si>
  <si>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</si>
  <si>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</si>
  <si>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</si>
  <si>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</si>
  <si>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</si>
  <si>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</si>
  <si>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</si>
  <si>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</si>
  <si>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</si>
  <si>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</si>
  <si>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</si>
  <si>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</si>
  <si>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</si>
  <si>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</si>
  <si>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</si>
  <si>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</si>
  <si>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</si>
  <si>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</si>
  <si>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</si>
  <si>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</si>
  <si>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</si>
  <si>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</si>
  <si>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</si>
  <si>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</si>
  <si>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</si>
  <si>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</si>
  <si>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</si>
  <si>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</si>
  <si>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</si>
  <si>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</si>
  <si>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</si>
  <si>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</si>
  <si>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</si>
  <si>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</si>
  <si>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</si>
  <si>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</si>
  <si>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</si>
  <si>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</si>
  <si>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</si>
  <si>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</si>
  <si>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</si>
  <si>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</si>
  <si>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</si>
  <si>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</si>
  <si>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</si>
  <si>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</si>
  <si>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</si>
  <si>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</si>
  <si>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</si>
  <si>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</si>
  <si>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</si>
  <si>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</si>
  <si>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</si>
  <si>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</si>
  <si>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</si>
  <si>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</si>
  <si>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</si>
  <si>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</si>
  <si>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</si>
  <si>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</si>
  <si>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</si>
  <si>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</si>
  <si>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</si>
  <si>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</si>
  <si>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</si>
  <si>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</si>
  <si>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</si>
  <si>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</si>
  <si>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</si>
  <si>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</si>
  <si>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</si>
  <si>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</si>
  <si>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</si>
  <si>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</si>
  <si>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</si>
  <si>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</si>
  <si>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</si>
  <si>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</si>
  <si>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</si>
  <si>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</si>
  <si>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</si>
  <si>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</si>
  <si>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</si>
  <si>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</si>
  <si>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</si>
  <si>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</si>
  <si>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</si>
  <si>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</si>
  <si>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</si>
  <si>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</si>
  <si>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</si>
  <si>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</si>
  <si>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</si>
  <si>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</si>
  <si>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</si>
  <si>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</si>
  <si>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</si>
  <si>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</si>
  <si>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</si>
  <si>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</si>
  <si>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</si>
  <si>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</si>
  <si>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</si>
  <si>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</si>
  <si>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</si>
  <si>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</si>
  <si>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</si>
  <si>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</si>
  <si>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</si>
  <si>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</si>
  <si>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</si>
  <si>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</si>
  <si>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</si>
  <si>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</si>
  <si>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</si>
  <si>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</si>
  <si>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</si>
  <si>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</si>
  <si>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</si>
  <si>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</si>
  <si>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</si>
  <si>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</si>
  <si>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</si>
  <si>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</si>
  <si>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</si>
  <si>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</si>
  <si>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</si>
  <si>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</si>
  <si>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</si>
  <si>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</si>
  <si>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</si>
  <si>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</si>
  <si>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</si>
  <si>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</si>
  <si>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</si>
  <si>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</si>
  <si>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</si>
  <si>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</si>
  <si>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</si>
  <si>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</si>
  <si>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</si>
  <si>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</si>
  <si>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</si>
  <si>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</si>
  <si>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</si>
  <si>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</si>
  <si>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</si>
  <si>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</si>
  <si>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</si>
  <si>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</si>
  <si>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</si>
  <si>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</si>
  <si>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</si>
  <si>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</si>
  <si>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</si>
  <si>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</si>
  <si>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</si>
  <si>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</si>
  <si>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</si>
  <si>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</si>
  <si>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</si>
  <si>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</si>
  <si>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</si>
  <si>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</si>
  <si>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</si>
  <si>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</si>
  <si>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</si>
  <si>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</si>
  <si>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</si>
  <si>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</si>
  <si>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</si>
  <si>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</si>
  <si>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</si>
  <si>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</si>
  <si>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</si>
  <si>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</si>
  <si>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</si>
  <si>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</si>
  <si>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</si>
  <si>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</si>
  <si>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</si>
  <si>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</si>
  <si>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</si>
  <si>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</si>
  <si>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</si>
  <si>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</si>
  <si>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</si>
  <si>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</si>
  <si>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</si>
  <si>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</si>
  <si>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</si>
  <si>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</si>
  <si>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</si>
  <si>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</si>
  <si>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</si>
  <si>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</si>
  <si>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</si>
  <si>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</si>
  <si>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</si>
  <si>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</si>
  <si>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</si>
  <si>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</si>
  <si>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</si>
  <si>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</si>
  <si>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</si>
  <si>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</si>
  <si>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</si>
  <si>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</si>
  <si>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</si>
  <si>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</si>
  <si>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</si>
  <si>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</si>
  <si>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</si>
  <si>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</si>
  <si>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</si>
  <si>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</si>
  <si>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</si>
  <si>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</si>
  <si>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</si>
  <si>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</si>
  <si>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</si>
  <si>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</si>
  <si>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</si>
  <si>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</si>
  <si>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</si>
  <si>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</si>
  <si>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</si>
  <si>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</si>
  <si>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</si>
  <si>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</si>
  <si>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</si>
  <si>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</si>
  <si>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</si>
  <si>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</si>
  <si>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</si>
  <si>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</si>
  <si>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</si>
  <si>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</si>
  <si>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</si>
  <si>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</si>
  <si>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</si>
  <si>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</si>
  <si>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</si>
  <si>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</si>
  <si>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</si>
  <si>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</si>
  <si>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</si>
  <si>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</si>
  <si>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</si>
  <si>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</si>
  <si>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</si>
  <si>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</si>
  <si>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</si>
  <si>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</si>
  <si>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</si>
  <si>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</si>
  <si>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</si>
  <si>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</si>
  <si>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</si>
  <si>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</si>
  <si>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</si>
  <si>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</si>
  <si>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</si>
  <si>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</si>
  <si>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</si>
  <si>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</si>
  <si>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</si>
  <si>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</si>
  <si>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</si>
  <si>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</si>
  <si>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</si>
  <si>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</si>
  <si>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</si>
  <si>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</si>
  <si>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</si>
  <si>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</si>
  <si>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</si>
  <si>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</si>
  <si>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</si>
  <si>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</si>
  <si>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</si>
  <si>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</si>
  <si>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</si>
  <si>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</si>
  <si>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</si>
  <si>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</si>
  <si>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</si>
  <si>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</si>
  <si>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</si>
  <si>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</si>
  <si>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</si>
  <si>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</si>
  <si>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</si>
  <si>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</si>
  <si>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</si>
  <si>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</si>
  <si>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</si>
  <si>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</si>
  <si>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</si>
  <si>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</si>
  <si>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</si>
  <si>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</si>
  <si>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</si>
  <si>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</si>
  <si>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</si>
  <si>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</si>
  <si>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</si>
  <si>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</si>
  <si>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</si>
  <si>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</si>
  <si>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</si>
  <si>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</si>
  <si>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</si>
  <si>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</si>
  <si>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</si>
  <si>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</si>
  <si>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</si>
  <si>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</si>
  <si>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</si>
  <si>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</si>
  <si>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</si>
  <si>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</si>
  <si>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</si>
  <si>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</si>
  <si>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</si>
  <si>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</si>
  <si>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</si>
  <si>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</si>
  <si>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</si>
  <si>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</si>
  <si>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</si>
  <si>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</si>
  <si>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</si>
  <si>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</si>
  <si>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</si>
  <si>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</si>
  <si>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</si>
  <si>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</si>
  <si>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</si>
  <si>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</si>
  <si>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</si>
  <si>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</si>
  <si>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</si>
  <si>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</si>
  <si>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</si>
  <si>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</si>
  <si>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</si>
  <si>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</si>
  <si>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</si>
  <si>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</si>
  <si>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</si>
  <si>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</si>
  <si>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</si>
  <si>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</si>
  <si>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</si>
  <si>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</si>
  <si>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</si>
  <si>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</si>
  <si>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</si>
  <si>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</si>
  <si>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</si>
  <si>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</si>
  <si>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</si>
  <si>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</si>
  <si>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</si>
  <si>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</si>
  <si>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</si>
  <si>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</si>
  <si>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</si>
  <si>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</si>
  <si>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</si>
  <si>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</si>
  <si>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</si>
  <si>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</si>
  <si>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</si>
  <si>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</si>
  <si>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</si>
  <si>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</si>
  <si>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</si>
  <si>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</si>
  <si>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</si>
  <si>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</si>
  <si>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</si>
  <si>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</si>
  <si>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</si>
  <si>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</si>
  <si>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</si>
  <si>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</si>
  <si>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</si>
  <si>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</si>
  <si>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</si>
  <si>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</si>
  <si>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</si>
  <si>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</si>
  <si>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</si>
  <si>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</si>
  <si>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</si>
  <si>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</si>
  <si>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</si>
  <si>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</si>
  <si>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</si>
  <si>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</si>
  <si>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</si>
  <si>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</si>
  <si>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</si>
  <si>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</si>
  <si>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</si>
  <si>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</si>
  <si>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</si>
  <si>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</si>
  <si>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</si>
  <si>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</si>
  <si>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</si>
  <si>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</si>
  <si>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</si>
  <si>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</si>
  <si>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</si>
  <si>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</si>
  <si>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</si>
  <si>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</si>
  <si>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</si>
  <si>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</si>
  <si>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</si>
  <si>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</si>
  <si>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</si>
  <si>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</si>
  <si>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</si>
  <si>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</si>
  <si>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</si>
  <si>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</si>
  <si>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</si>
  <si>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</si>
  <si>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</si>
  <si>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</si>
  <si>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</si>
  <si>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</si>
  <si>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</si>
  <si>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</si>
  <si>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</si>
  <si>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</si>
  <si>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</si>
  <si>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</si>
  <si>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</si>
  <si>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</si>
  <si>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</si>
  <si>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</si>
  <si>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</si>
  <si>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</si>
  <si>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</si>
  <si>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</si>
  <si>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</si>
  <si>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</si>
  <si>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</si>
  <si>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</si>
  <si>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</si>
  <si>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</si>
  <si>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</si>
  <si>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</si>
  <si>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</si>
  <si>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</si>
  <si>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</si>
  <si>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</si>
  <si>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</si>
  <si>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</si>
  <si>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</si>
  <si>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</si>
  <si>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</si>
  <si>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</si>
  <si>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</si>
  <si>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</si>
  <si>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</si>
  <si>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</si>
  <si>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</si>
  <si>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</si>
  <si>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</si>
  <si>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</si>
  <si>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</si>
  <si>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</si>
  <si>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</si>
  <si>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</si>
  <si>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</si>
  <si>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</si>
  <si>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</si>
  <si>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</si>
  <si>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</si>
  <si>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</si>
  <si>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</si>
  <si>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</si>
  <si>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</si>
  <si>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</si>
  <si>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</si>
  <si>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</si>
  <si>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</si>
  <si>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</si>
  <si>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</si>
  <si>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</si>
  <si>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</si>
  <si>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</si>
  <si>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</si>
  <si>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</si>
  <si>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</si>
  <si>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</si>
  <si>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</si>
  <si>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</si>
  <si>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</si>
  <si>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</si>
  <si>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</si>
  <si>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</si>
  <si>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</si>
  <si>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</si>
  <si>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</si>
  <si>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</si>
  <si>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</si>
  <si>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</si>
  <si>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</si>
  <si>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</si>
  <si>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</si>
  <si>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</si>
  <si>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</si>
  <si>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</si>
  <si>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</si>
  <si>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</si>
  <si>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</si>
  <si>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</si>
  <si>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</si>
  <si>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</si>
  <si>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</si>
  <si>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</si>
  <si>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</si>
  <si>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</si>
  <si>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</si>
  <si>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</si>
  <si>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</si>
  <si>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</si>
  <si>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</si>
  <si>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</si>
  <si>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</si>
  <si>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</si>
  <si>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</si>
  <si>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</si>
  <si>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</si>
  <si>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</si>
  <si>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</si>
  <si>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</si>
  <si>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</si>
  <si>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</si>
  <si>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</si>
  <si>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</si>
  <si>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</si>
  <si>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</si>
  <si>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</si>
  <si>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</si>
  <si>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</si>
  <si>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</si>
  <si>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</si>
  <si>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</si>
  <si>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</si>
  <si>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</si>
  <si>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</si>
  <si>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</si>
  <si>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</si>
  <si>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</si>
  <si>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</si>
  <si>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</si>
  <si>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</si>
  <si>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</si>
  <si>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</si>
  <si>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</si>
  <si>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</si>
  <si>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</si>
  <si>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</si>
  <si>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</si>
  <si>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</si>
  <si>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</si>
  <si>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</si>
  <si>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</si>
  <si>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</si>
  <si>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</si>
  <si>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</si>
  <si>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</si>
  <si>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</si>
  <si>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</si>
  <si>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</si>
  <si>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</si>
  <si>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</si>
  <si>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</si>
  <si>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</si>
  <si>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</si>
  <si>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</si>
  <si>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</si>
  <si>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</si>
  <si>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</si>
  <si>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</si>
  <si>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</si>
  <si>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</si>
  <si>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</si>
  <si>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</si>
  <si>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</si>
  <si>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</si>
  <si>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</si>
  <si>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</si>
  <si>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</si>
  <si>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</si>
  <si>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</si>
  <si>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</si>
  <si>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</si>
  <si>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</si>
  <si>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</si>
  <si>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</si>
  <si>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</si>
  <si>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</si>
  <si>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</si>
  <si>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</si>
  <si>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</si>
  <si>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</si>
  <si>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</si>
  <si>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</si>
  <si>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</si>
  <si>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</si>
  <si>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</si>
  <si>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</si>
  <si>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</si>
  <si>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</si>
  <si>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</si>
  <si>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</si>
  <si>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</si>
  <si>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</si>
  <si>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</si>
  <si>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</si>
  <si>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</si>
  <si>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</si>
  <si>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</si>
  <si>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</si>
  <si>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</si>
  <si>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</si>
  <si>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</si>
  <si>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</si>
  <si>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</si>
  <si>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</si>
  <si>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</si>
  <si>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</si>
  <si>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</si>
  <si>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</si>
  <si>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</si>
  <si>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</si>
  <si>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</si>
  <si>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</si>
  <si>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</si>
  <si>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</si>
  <si>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</si>
  <si>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</si>
  <si>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</si>
  <si>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</si>
  <si>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</si>
  <si>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</si>
  <si>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</si>
  <si>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</si>
  <si>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</si>
  <si>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</si>
  <si>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</si>
  <si>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</si>
  <si>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</si>
  <si>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</si>
  <si>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</si>
  <si>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</si>
  <si>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</si>
  <si>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</si>
  <si>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</si>
  <si>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</si>
  <si>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</si>
  <si>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</si>
  <si>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</si>
  <si>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</si>
  <si>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</si>
  <si>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</si>
  <si>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</si>
  <si>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</si>
  <si>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</si>
  <si>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</si>
  <si>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</si>
  <si>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</si>
  <si>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</si>
  <si>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</si>
  <si>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</si>
  <si>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</si>
  <si>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</si>
  <si>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</si>
  <si>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</si>
  <si>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</si>
  <si>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</si>
  <si>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</si>
  <si>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</si>
  <si>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</si>
  <si>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</si>
  <si>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</si>
  <si>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</si>
  <si>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</si>
  <si>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</si>
  <si>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</si>
  <si>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</si>
  <si>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</si>
  <si>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</si>
  <si>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</si>
  <si>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</si>
  <si>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</si>
  <si>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</si>
  <si>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</si>
  <si>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</si>
  <si>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</si>
  <si>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</si>
  <si>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</si>
  <si>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</si>
  <si>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</si>
  <si>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</si>
  <si>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</si>
  <si>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</si>
  <si>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</si>
  <si>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</si>
  <si>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</si>
  <si>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</si>
  <si>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</si>
  <si>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</si>
  <si>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</si>
  <si>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</si>
  <si>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</si>
  <si>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</si>
  <si>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</si>
  <si>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</si>
  <si>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</si>
  <si>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</si>
  <si>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</si>
  <si>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</si>
  <si>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</si>
  <si>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</si>
  <si>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</si>
  <si>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</si>
  <si>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</si>
  <si>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</si>
  <si>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</si>
  <si>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</si>
  <si>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</si>
  <si>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</si>
  <si>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</si>
  <si>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</si>
  <si>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</si>
  <si>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</si>
  <si>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</si>
  <si>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</si>
  <si>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</si>
  <si>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</si>
  <si>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</si>
  <si>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</si>
  <si>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</si>
  <si>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</si>
  <si>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</si>
  <si>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</si>
  <si>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</si>
  <si>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</si>
  <si>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</si>
  <si>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</si>
  <si>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</si>
  <si>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</si>
  <si>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</si>
  <si>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</si>
  <si>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</si>
  <si>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</si>
  <si>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</si>
  <si>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</si>
  <si>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</si>
  <si>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</si>
  <si>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</si>
  <si>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</si>
  <si>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</si>
  <si>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</si>
  <si>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</si>
  <si>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</si>
  <si>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</si>
  <si>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</si>
  <si>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</si>
  <si>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</si>
  <si>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</si>
  <si>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</si>
  <si>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</si>
  <si>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</si>
  <si>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</si>
  <si>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</si>
  <si>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</si>
  <si>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</si>
  <si>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</si>
  <si>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</si>
  <si>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</si>
  <si>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</si>
  <si>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</si>
  <si>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</si>
  <si>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</si>
  <si>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</si>
  <si>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</si>
  <si>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</si>
  <si>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</si>
  <si>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</si>
  <si>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</si>
  <si>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</si>
  <si>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</si>
  <si>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</si>
  <si>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</si>
  <si>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</si>
  <si>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</si>
  <si>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</si>
  <si>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</si>
  <si>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</si>
  <si>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</si>
  <si>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</si>
  <si>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</si>
  <si>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</si>
  <si>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</si>
  <si>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</si>
  <si>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</si>
  <si>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</si>
  <si>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</si>
  <si>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</si>
  <si>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</si>
  <si>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</si>
  <si>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</si>
  <si>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</si>
  <si>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</si>
  <si>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</si>
  <si>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</si>
  <si>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</si>
  <si>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</si>
  <si>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</si>
  <si>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</si>
  <si>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</si>
  <si>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</si>
  <si>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</si>
  <si>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</si>
  <si>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</si>
  <si>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</si>
  <si>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</si>
  <si>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</si>
  <si>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</si>
  <si>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</si>
  <si>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</si>
  <si>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</si>
  <si>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</si>
  <si>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</si>
  <si>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</si>
  <si>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</si>
  <si>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</si>
  <si>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</si>
  <si>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</si>
  <si>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</si>
  <si>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</si>
  <si>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</si>
  <si>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</si>
  <si>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</si>
  <si>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</si>
  <si>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</si>
  <si>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</si>
  <si>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</si>
  <si>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</si>
  <si>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</si>
  <si>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</si>
  <si>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</si>
  <si>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</si>
  <si>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</si>
  <si>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</si>
  <si>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</si>
  <si>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</si>
  <si>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</si>
  <si>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</si>
  <si>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</si>
  <si>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</si>
  <si>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</si>
  <si>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</si>
  <si>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</si>
  <si>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</si>
  <si>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</si>
  <si>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</si>
  <si>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</si>
  <si>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</si>
  <si>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</si>
  <si>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</si>
  <si>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</si>
  <si>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</si>
  <si>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</si>
  <si>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</si>
  <si>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</si>
  <si>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</si>
  <si>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</si>
  <si>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</si>
  <si>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</si>
  <si>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</si>
  <si>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</si>
  <si>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</si>
  <si>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</si>
  <si>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</si>
  <si>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</si>
  <si>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</si>
  <si>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</si>
  <si>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</si>
  <si>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</si>
  <si>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</si>
  <si>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</si>
  <si>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</si>
  <si>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</si>
  <si>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</si>
  <si>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</si>
  <si>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</si>
  <si>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</si>
  <si>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</si>
  <si>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</si>
  <si>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</si>
  <si>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</si>
  <si>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</si>
  <si>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</si>
  <si>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</si>
  <si>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</si>
  <si>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</si>
  <si>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</si>
  <si>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</si>
  <si>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</si>
  <si>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</si>
  <si>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</si>
  <si>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</si>
  <si>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</si>
  <si>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</si>
  <si>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</si>
  <si>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</si>
  <si>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</si>
  <si>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</si>
  <si>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</si>
  <si>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</si>
  <si>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</si>
  <si>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</si>
  <si>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</si>
  <si>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</si>
  <si>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</si>
  <si>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</si>
  <si>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</si>
  <si>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</si>
  <si>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</si>
  <si>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</si>
  <si>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</si>
  <si>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</si>
  <si>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</si>
  <si>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</si>
  <si>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</si>
  <si>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</si>
  <si>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</si>
  <si>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</si>
  <si>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</si>
  <si>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</si>
  <si>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</si>
  <si>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</si>
  <si>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</si>
  <si>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</si>
  <si>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</si>
  <si>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</si>
  <si>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</si>
  <si>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</si>
  <si>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</si>
  <si>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</si>
  <si>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</si>
  <si>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</si>
  <si>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</si>
  <si>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</si>
  <si>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</si>
  <si>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</si>
  <si>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</si>
  <si>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</si>
  <si>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</si>
  <si>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</si>
  <si>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</si>
  <si>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</si>
  <si>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</si>
  <si>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</si>
  <si>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</si>
  <si>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</si>
  <si>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</si>
  <si>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</si>
  <si>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</si>
  <si>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</si>
  <si>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</si>
  <si>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</si>
  <si>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</si>
  <si>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</si>
  <si>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</si>
  <si>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</si>
  <si>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</si>
  <si>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</si>
  <si>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</si>
  <si>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</si>
  <si>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</si>
  <si>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</si>
  <si>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</si>
  <si>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</si>
  <si>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</si>
  <si>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</si>
  <si>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</si>
  <si>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</si>
  <si>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</si>
  <si>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</si>
  <si>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</si>
  <si>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</si>
  <si>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</si>
  <si>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</si>
  <si>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</si>
  <si>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</si>
  <si>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</si>
  <si>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</si>
  <si>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</si>
  <si>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</si>
  <si>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</si>
  <si>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</si>
  <si>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</si>
  <si>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</si>
  <si>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</si>
  <si>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</si>
  <si>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</si>
  <si>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</si>
  <si>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</si>
  <si>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</si>
  <si>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</si>
  <si>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</si>
  <si>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</si>
  <si>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</si>
  <si>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</si>
  <si>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</si>
  <si>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</si>
  <si>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</si>
  <si>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</si>
  <si>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</si>
  <si>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</si>
  <si>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</si>
  <si>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</si>
  <si>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</si>
  <si>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</si>
  <si>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</si>
  <si>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</si>
  <si>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</si>
  <si>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</si>
  <si>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</si>
  <si>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</si>
  <si>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</si>
  <si>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</si>
  <si>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</si>
  <si>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</si>
  <si>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</si>
  <si>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</si>
  <si>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</si>
  <si>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</si>
  <si>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</si>
  <si>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</si>
  <si>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</si>
  <si>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</si>
  <si>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</si>
  <si>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</si>
  <si>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</si>
  <si>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</si>
  <si>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</si>
  <si>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</si>
  <si>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</si>
  <si>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</si>
  <si>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</si>
  <si>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</si>
  <si>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</si>
  <si>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</si>
  <si>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</si>
  <si>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</si>
  <si>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</si>
  <si>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</si>
  <si>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</si>
  <si>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</si>
  <si>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</si>
  <si>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</si>
  <si>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</si>
  <si>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</si>
  <si>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</si>
  <si>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</si>
  <si>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</si>
  <si>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</si>
  <si>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</si>
  <si>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</si>
  <si>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</si>
  <si>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</si>
  <si>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</si>
  <si>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</si>
  <si>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</si>
  <si>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</si>
  <si>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</si>
  <si>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</si>
  <si>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</si>
  <si>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</si>
  <si>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</si>
  <si>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</si>
  <si>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</si>
  <si>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</si>
  <si>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</si>
  <si>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</si>
  <si>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</si>
  <si>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</si>
  <si>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</si>
  <si>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</si>
  <si>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</si>
  <si>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</si>
  <si>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</si>
  <si>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</si>
  <si>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</si>
  <si>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</si>
  <si>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</si>
  <si>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</si>
  <si>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</si>
  <si>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</si>
  <si>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</si>
  <si>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</si>
  <si>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</si>
  <si>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</si>
  <si>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</si>
  <si>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</si>
  <si>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</si>
  <si>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</si>
  <si>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</si>
  <si>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</si>
  <si>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</si>
  <si>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</si>
  <si>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</si>
  <si>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</si>
  <si>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</si>
  <si>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</si>
  <si>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</si>
  <si>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</si>
  <si>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</si>
  <si>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</si>
  <si>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</si>
  <si>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</si>
  <si>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</si>
  <si>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</si>
  <si>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</si>
  <si>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</si>
  <si>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</si>
  <si>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</si>
  <si>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</si>
  <si>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</si>
  <si>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</si>
  <si>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</si>
  <si>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</si>
  <si>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</si>
  <si>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</si>
  <si>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</si>
  <si>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</si>
  <si>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</si>
  <si>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</si>
  <si>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</si>
  <si>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</si>
  <si>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</si>
  <si>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</si>
  <si>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</si>
  <si>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</si>
  <si>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</si>
  <si>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</si>
  <si>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</si>
  <si>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</si>
  <si>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</si>
  <si>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</si>
  <si>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</si>
  <si>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</si>
  <si>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</si>
  <si>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</si>
  <si>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</si>
  <si>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</si>
  <si>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</si>
  <si>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</si>
  <si>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</si>
  <si>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</si>
  <si>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</si>
  <si>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</si>
  <si>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</si>
  <si>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</si>
  <si>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</si>
  <si>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</si>
  <si>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</si>
  <si>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</si>
  <si>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</si>
  <si>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</si>
  <si>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</si>
  <si>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</si>
  <si>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</si>
  <si>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</si>
  <si>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</si>
  <si>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</si>
  <si>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</si>
  <si>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</si>
  <si>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</si>
  <si>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</si>
  <si>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</si>
  <si>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</si>
  <si>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</si>
  <si>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</si>
  <si>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</si>
  <si>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</si>
  <si>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</si>
  <si>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</si>
  <si>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</si>
  <si>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</si>
  <si>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</si>
  <si>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</si>
  <si>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</si>
  <si>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</si>
  <si>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</si>
  <si>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</si>
  <si>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</si>
  <si>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</si>
  <si>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</si>
  <si>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</si>
  <si>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</si>
  <si>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</si>
  <si>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</si>
  <si>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</si>
  <si>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</si>
  <si>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</si>
  <si>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</si>
  <si>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</si>
  <si>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</si>
  <si>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</si>
  <si>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</si>
  <si>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</si>
  <si>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</si>
  <si>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</si>
  <si>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</si>
  <si>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</si>
  <si>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</si>
  <si>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</si>
  <si>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</si>
  <si>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</si>
  <si>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</si>
  <si>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</si>
  <si>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</si>
  <si>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</si>
  <si>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</si>
  <si>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</si>
  <si>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</si>
  <si>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</si>
  <si>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</si>
  <si>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</si>
  <si>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</si>
  <si>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</si>
  <si>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</si>
  <si>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</si>
  <si>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</si>
  <si>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</si>
  <si>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</si>
  <si>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</si>
  <si>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</si>
  <si>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</si>
  <si>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</si>
  <si>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</si>
  <si>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</si>
  <si>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</si>
  <si>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</si>
  <si>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</si>
  <si>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</si>
  <si>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</si>
  <si>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</si>
  <si>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</si>
  <si>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</si>
  <si>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</si>
  <si>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</si>
  <si>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</si>
  <si>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</si>
  <si>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</si>
  <si>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</si>
  <si>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</si>
  <si>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</si>
  <si>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</si>
  <si>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</si>
  <si>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</si>
  <si>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</si>
  <si>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</si>
  <si>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</si>
  <si>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</si>
  <si>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</si>
  <si>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</si>
  <si>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</si>
  <si>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</si>
  <si>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</si>
  <si>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</si>
  <si>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</si>
  <si>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</si>
  <si>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</si>
  <si>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</si>
  <si>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</si>
  <si>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</si>
  <si>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</si>
  <si>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</si>
  <si>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</si>
  <si>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</si>
  <si>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</si>
  <si>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</si>
  <si>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</si>
  <si>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</si>
  <si>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</si>
  <si>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</si>
  <si>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</si>
  <si>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</si>
  <si>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</si>
  <si>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</si>
  <si>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</si>
  <si>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</si>
  <si>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</si>
  <si>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</si>
  <si>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</si>
  <si>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</si>
  <si>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</si>
  <si>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</si>
  <si>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</si>
  <si>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</si>
  <si>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</si>
  <si>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</si>
  <si>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</si>
  <si>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</si>
  <si>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</si>
  <si>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</si>
  <si>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</si>
  <si>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</si>
  <si>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</si>
  <si>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</si>
  <si>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</si>
  <si>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</si>
  <si>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</si>
  <si>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</si>
  <si>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</si>
  <si>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</si>
  <si>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</si>
  <si>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</si>
  <si>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</si>
  <si>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</si>
  <si>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</si>
  <si>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</si>
  <si>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</si>
  <si>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</si>
  <si>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</si>
  <si>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</si>
  <si>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</si>
  <si>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</si>
  <si>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</si>
  <si>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</si>
  <si>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</si>
  <si>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</si>
  <si>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</si>
  <si>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</si>
  <si>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</si>
  <si>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</si>
  <si>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</si>
  <si>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</si>
  <si>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</si>
  <si>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</si>
  <si>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</si>
  <si>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</si>
  <si>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</si>
  <si>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</si>
  <si>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</si>
  <si>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</si>
  <si>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</si>
  <si>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</si>
  <si>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</si>
  <si>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</si>
  <si>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</si>
  <si>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</si>
  <si>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</si>
  <si>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</si>
  <si>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</si>
  <si>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</si>
  <si>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</si>
  <si>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</si>
  <si>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</si>
  <si>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</si>
  <si>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</si>
  <si>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</si>
  <si>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</si>
  <si>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</si>
  <si>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</si>
  <si>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</si>
  <si>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</si>
  <si>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</si>
  <si>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</si>
  <si>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</si>
  <si>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</si>
  <si>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</si>
  <si>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</si>
  <si>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</si>
  <si>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</si>
  <si>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</si>
  <si>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</si>
  <si>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</si>
  <si>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</si>
  <si>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</si>
  <si>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</si>
  <si>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</si>
  <si>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</si>
  <si>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</si>
  <si>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</si>
  <si>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</si>
  <si>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</si>
  <si>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</si>
  <si>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</si>
  <si>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</si>
  <si>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</si>
  <si>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</si>
  <si>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</si>
  <si>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</si>
  <si>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</si>
  <si>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</si>
  <si>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</si>
  <si>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</si>
  <si>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</si>
  <si>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</si>
  <si>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</si>
  <si>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</si>
  <si>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</si>
  <si>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</si>
  <si>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</si>
  <si>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</si>
  <si>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</si>
  <si>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</si>
  <si>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</si>
  <si>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</si>
  <si>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</si>
  <si>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</si>
  <si>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</si>
  <si>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</si>
  <si>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</si>
  <si>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</si>
  <si>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</si>
  <si>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</si>
  <si>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</si>
  <si>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</si>
  <si>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</si>
  <si>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</si>
  <si>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</si>
  <si>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</si>
  <si>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</si>
  <si>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</si>
  <si>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</si>
  <si>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</si>
  <si>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</si>
  <si>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</si>
  <si>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</si>
  <si>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</si>
  <si>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</si>
  <si>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</si>
  <si>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</si>
  <si>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</si>
  <si>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</si>
  <si>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</si>
  <si>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</si>
  <si>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</si>
  <si>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</si>
  <si>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</si>
  <si>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</si>
  <si>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</si>
  <si>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</si>
  <si>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</si>
  <si>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</si>
  <si>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</si>
  <si>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</si>
  <si>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</si>
  <si>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</si>
  <si>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</si>
  <si>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</si>
  <si>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</si>
  <si>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</si>
  <si>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</si>
  <si>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</si>
  <si>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</si>
  <si>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</si>
  <si>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</si>
  <si>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</si>
  <si>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</si>
  <si>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</si>
  <si>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</si>
  <si>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</si>
  <si>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</si>
  <si>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</si>
  <si>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</si>
  <si>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</si>
  <si>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</si>
  <si>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</si>
  <si>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</si>
  <si>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</si>
  <si>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</si>
  <si>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</si>
  <si>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</si>
  <si>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</si>
  <si>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</si>
  <si>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</si>
  <si>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</si>
  <si>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</si>
  <si>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</si>
  <si>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</si>
  <si>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</si>
  <si>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</si>
  <si>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</si>
  <si>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</si>
  <si>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</si>
  <si>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</si>
  <si>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</si>
  <si>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</si>
  <si>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</si>
  <si>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</si>
  <si>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</si>
  <si>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</si>
  <si>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</si>
  <si>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</si>
  <si>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</si>
  <si>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</si>
  <si>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</si>
  <si>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</si>
  <si>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成新度</t>
  </si>
  <si>
    <t>收益法</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</si>
  <si>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</si>
  <si>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</si>
  <si>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</si>
  <si>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</si>
  <si>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</si>
  <si>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</si>
  <si>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</si>
  <si>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</si>
  <si>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</si>
  <si>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</si>
  <si>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</si>
  <si>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</si>
  <si>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</si>
  <si>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</si>
  <si>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</si>
  <si>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</si>
  <si>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</si>
  <si>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</si>
  <si>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</si>
  <si>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</si>
  <si>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</si>
  <si>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</si>
  <si>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</si>
  <si>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</si>
  <si>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</si>
  <si>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</si>
  <si>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</si>
  <si>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</si>
  <si>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</si>
  <si>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</si>
  <si>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</si>
  <si>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</si>
  <si>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</si>
  <si>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</si>
  <si>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</si>
  <si>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</si>
  <si>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</si>
  <si>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</si>
  <si>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</si>
  <si>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</si>
  <si>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</si>
  <si>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</si>
  <si>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</si>
  <si>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</si>
  <si>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</si>
  <si>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</si>
  <si>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</si>
  <si>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</si>
  <si>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</si>
  <si>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</si>
  <si>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</si>
  <si>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</si>
  <si>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</si>
  <si>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</si>
  <si>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</si>
  <si>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</si>
  <si>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</si>
  <si>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</si>
  <si>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</si>
  <si>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</si>
  <si>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</si>
  <si>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</si>
  <si>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</si>
  <si>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</si>
  <si>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</si>
  <si>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</si>
  <si>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</si>
  <si>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</si>
  <si>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</si>
  <si>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</si>
  <si>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</si>
  <si>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</si>
  <si>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</si>
  <si>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</si>
  <si>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</si>
  <si>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</si>
  <si>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</si>
  <si>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</si>
  <si>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</si>
  <si>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</si>
  <si>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</si>
  <si>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</si>
  <si>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</si>
  <si>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</si>
  <si>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</si>
  <si>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</si>
  <si>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</si>
  <si>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</si>
  <si>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</si>
  <si>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</si>
  <si>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</si>
  <si>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</si>
  <si>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</si>
  <si>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</si>
  <si>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</si>
  <si>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</si>
  <si>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</si>
  <si>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</si>
  <si>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</si>
  <si>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</si>
  <si>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</si>
  <si>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</si>
  <si>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</si>
  <si>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</si>
  <si>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</si>
  <si>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</si>
  <si>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</si>
  <si>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</si>
  <si>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</si>
  <si>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</si>
  <si>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</si>
  <si>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</si>
  <si>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丰台区周庄子路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</si>
  <si>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北京市小井房地产开发有限责任公司</t>
    <phoneticPr fontId="6" type="noConversion"/>
  </si>
  <si>
    <t>发证时间</t>
    <phoneticPr fontId="6" type="noConversion"/>
  </si>
  <si>
    <t>2023-9-18</t>
    <phoneticPr fontId="6" type="noConversion"/>
  </si>
  <si>
    <t>《不动产权证书》</t>
  </si>
  <si>
    <t>复印件</t>
  </si>
  <si>
    <t>通热</t>
  </si>
  <si>
    <t>是</t>
  </si>
  <si>
    <t>公共服务</t>
  </si>
  <si>
    <t>办公楼</t>
  </si>
  <si>
    <t>估价对象容积率</t>
  </si>
  <si>
    <t>地下</t>
  </si>
  <si>
    <t>产业用房</t>
  </si>
  <si>
    <t>产业用房</t>
    <phoneticPr fontId="7" type="noConversion"/>
  </si>
  <si>
    <t>一般</t>
    <phoneticPr fontId="24" type="noConversion"/>
  </si>
  <si>
    <t>银河大厦</t>
    <phoneticPr fontId="134" type="noConversion"/>
  </si>
  <si>
    <t xml:space="preserve"> </t>
    <phoneticPr fontId="134" type="noConversion"/>
  </si>
  <si>
    <t xml:space="preserve"> </t>
    <phoneticPr fontId="134" type="noConversion"/>
  </si>
  <si>
    <t>租金</t>
  </si>
  <si>
    <t>商务楼</t>
  </si>
  <si>
    <t>机械大厦</t>
    <phoneticPr fontId="134" type="noConversion"/>
  </si>
  <si>
    <t>成本比率</t>
  </si>
  <si>
    <t>附属层</t>
    <phoneticPr fontId="3" type="noConversion"/>
  </si>
  <si>
    <t>建成年代</t>
    <phoneticPr fontId="3" type="noConversion"/>
  </si>
  <si>
    <t>直线</t>
    <phoneticPr fontId="3" type="noConversion"/>
  </si>
  <si>
    <t>观察</t>
    <phoneticPr fontId="3" type="noConversion"/>
  </si>
  <si>
    <t>综合</t>
    <phoneticPr fontId="3" type="noConversion"/>
  </si>
  <si>
    <r>
      <rPr>
        <sz val="10"/>
        <color indexed="8"/>
        <rFont val="宋体"/>
        <family val="3"/>
        <charset val="134"/>
      </rPr>
      <t>地上及</t>
    </r>
    <r>
      <rPr>
        <sz val="10"/>
        <color indexed="8"/>
        <rFont val="Arial"/>
        <family val="2"/>
      </rPr>
      <t>-1</t>
    </r>
    <phoneticPr fontId="3" type="noConversion"/>
  </si>
  <si>
    <t>地下车库</t>
    <phoneticPr fontId="3" type="noConversion"/>
  </si>
  <si>
    <t>意向年租金</t>
    <phoneticPr fontId="3" type="noConversion"/>
  </si>
  <si>
    <t>地上</t>
    <phoneticPr fontId="3" type="noConversion"/>
  </si>
  <si>
    <t>B1</t>
    <phoneticPr fontId="3" type="noConversion"/>
  </si>
  <si>
    <t>B2-3</t>
    <phoneticPr fontId="3" type="noConversion"/>
  </si>
  <si>
    <r>
      <rPr>
        <sz val="10"/>
        <color indexed="8"/>
        <rFont val="宋体"/>
        <family val="3"/>
        <charset val="134"/>
      </rPr>
      <t>老证为</t>
    </r>
    <r>
      <rPr>
        <sz val="10"/>
        <color indexed="8"/>
        <rFont val="Arial"/>
        <family val="2"/>
      </rPr>
      <t>2017</t>
    </r>
    <r>
      <rPr>
        <sz val="10"/>
        <color indexed="8"/>
        <rFont val="宋体"/>
        <family val="3"/>
        <charset val="134"/>
      </rPr>
      <t>年</t>
    </r>
    <phoneticPr fontId="6" type="noConversion"/>
  </si>
  <si>
    <t>2017-1-1</t>
    <phoneticPr fontId="6" type="noConversion"/>
  </si>
  <si>
    <t>万开中心</t>
    <phoneticPr fontId="134" type="noConversion"/>
  </si>
  <si>
    <r>
      <t>2023-10-27</t>
    </r>
    <r>
      <rPr>
        <sz val="10"/>
        <color indexed="8"/>
        <rFont val="宋体"/>
        <family val="3"/>
        <charset val="134"/>
      </rPr>
      <t>报武哥</t>
    </r>
    <r>
      <rPr>
        <sz val="10"/>
        <color indexed="8"/>
        <rFont val="Arial"/>
        <family val="2"/>
      </rPr>
      <t>5.2</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</si>
</sst>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447362</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0" y="0"/>
          <a:ext cx="2504762" cy="6323810"/>
        </a:xfrm>
        <a:prstGeom prst="rect">
          <a:avLst/>
        </a:prstGeom>
      </xdr:spPr>
    </xdr:pic>
    <xdr:clientData/>
  </xdr:twoCellAnchor>
  <xdr:twoCellAnchor editAs="oneCell">
    <xdr:from>
      <xdr:col>13</xdr:col>
      <xdr:colOff>0</xdr:colOff>
      <xdr:row>0</xdr:row>
      <xdr:rowOff>0</xdr:rowOff>
    </xdr:from>
    <xdr:to>
      <xdr:col>16</xdr:col>
      <xdr:colOff>304505</xdr:colOff>
      <xdr:row>19</xdr:row>
      <xdr:rowOff>56736</xdr:rowOff>
    </xdr:to>
    <xdr:pic>
      <xdr:nvPicPr>
        <xdr:cNvPr id="3" name="图片 2"/>
        <xdr:cNvPicPr>
          <a:picLocks noChangeAspect="1"/>
        </xdr:cNvPicPr>
      </xdr:nvPicPr>
      <xdr:blipFill>
        <a:blip xmlns:r="http://schemas.openxmlformats.org/officeDocument/2006/relationships" r:embed="rId2"/>
        <a:stretch>
          <a:fillRect/>
        </a:stretch>
      </xdr:blipFill>
      <xdr:spPr>
        <a:xfrm>
          <a:off x="9029700" y="0"/>
          <a:ext cx="2361905" cy="3314286"/>
        </a:xfrm>
        <a:prstGeom prst="rect">
          <a:avLst/>
        </a:prstGeom>
      </xdr:spPr>
    </xdr:pic>
    <xdr:clientData/>
  </xdr:twoCellAnchor>
  <xdr:twoCellAnchor editAs="oneCell">
    <xdr:from>
      <xdr:col>17</xdr:col>
      <xdr:colOff>0</xdr:colOff>
      <xdr:row>0</xdr:row>
      <xdr:rowOff>0</xdr:rowOff>
    </xdr:from>
    <xdr:to>
      <xdr:col>20</xdr:col>
      <xdr:colOff>437838</xdr:colOff>
      <xdr:row>24</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11772900" y="0"/>
          <a:ext cx="2495238" cy="4266667"/>
        </a:xfrm>
        <a:prstGeom prst="rect">
          <a:avLst/>
        </a:prstGeom>
      </xdr:spPr>
    </xdr:pic>
    <xdr:clientData/>
  </xdr:twoCellAnchor>
  <xdr:twoCellAnchor editAs="oneCell">
    <xdr:from>
      <xdr:col>21</xdr:col>
      <xdr:colOff>0</xdr:colOff>
      <xdr:row>0</xdr:row>
      <xdr:rowOff>0</xdr:rowOff>
    </xdr:from>
    <xdr:to>
      <xdr:col>24</xdr:col>
      <xdr:colOff>256886</xdr:colOff>
      <xdr:row>27</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14516100" y="0"/>
          <a:ext cx="2314286" cy="4647619"/>
        </a:xfrm>
        <a:prstGeom prst="rect">
          <a:avLst/>
        </a:prstGeom>
      </xdr:spPr>
    </xdr:pic>
    <xdr:clientData/>
  </xdr:twoCellAnchor>
  <xdr:twoCellAnchor editAs="oneCell">
    <xdr:from>
      <xdr:col>0</xdr:col>
      <xdr:colOff>0</xdr:colOff>
      <xdr:row>14</xdr:row>
      <xdr:rowOff>0</xdr:rowOff>
    </xdr:from>
    <xdr:to>
      <xdr:col>3</xdr:col>
      <xdr:colOff>199729</xdr:colOff>
      <xdr:row>33</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
          <a:ext cx="2371429" cy="3285715"/>
        </a:xfrm>
        <a:prstGeom prst="rect">
          <a:avLst/>
        </a:prstGeom>
      </xdr:spPr>
    </xdr:pic>
    <xdr:clientData/>
  </xdr:twoCellAnchor>
  <xdr:twoCellAnchor editAs="oneCell">
    <xdr:from>
      <xdr:col>4</xdr:col>
      <xdr:colOff>0</xdr:colOff>
      <xdr:row>14</xdr:row>
      <xdr:rowOff>0</xdr:rowOff>
    </xdr:from>
    <xdr:to>
      <xdr:col>7</xdr:col>
      <xdr:colOff>285457</xdr:colOff>
      <xdr:row>28</xdr:row>
      <xdr:rowOff>152081</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0" y="2400300"/>
          <a:ext cx="2342857" cy="2552381"/>
        </a:xfrm>
        <a:prstGeom prst="rect">
          <a:avLst/>
        </a:prstGeom>
      </xdr:spPr>
    </xdr:pic>
    <xdr:clientData/>
  </xdr:twoCellAnchor>
  <xdr:twoCellAnchor editAs="oneCell">
    <xdr:from>
      <xdr:col>0</xdr:col>
      <xdr:colOff>0</xdr:colOff>
      <xdr:row>33</xdr:row>
      <xdr:rowOff>0</xdr:rowOff>
    </xdr:from>
    <xdr:to>
      <xdr:col>4</xdr:col>
      <xdr:colOff>475834</xdr:colOff>
      <xdr:row>58</xdr:row>
      <xdr:rowOff>8988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3333334" cy="4295238"/>
        </a:xfrm>
        <a:prstGeom prst="rect">
          <a:avLst/>
        </a:prstGeom>
      </xdr:spPr>
    </xdr:pic>
    <xdr:clientData/>
  </xdr:twoCellAnchor>
  <xdr:twoCellAnchor editAs="oneCell">
    <xdr:from>
      <xdr:col>5</xdr:col>
      <xdr:colOff>0</xdr:colOff>
      <xdr:row>32</xdr:row>
      <xdr:rowOff>0</xdr:rowOff>
    </xdr:from>
    <xdr:to>
      <xdr:col>9</xdr:col>
      <xdr:colOff>628229</xdr:colOff>
      <xdr:row>51</xdr:row>
      <xdr:rowOff>56736</xdr:rowOff>
    </xdr:to>
    <xdr:pic>
      <xdr:nvPicPr>
        <xdr:cNvPr id="9" name="图片 8"/>
        <xdr:cNvPicPr>
          <a:picLocks noChangeAspect="1"/>
        </xdr:cNvPicPr>
      </xdr:nvPicPr>
      <xdr:blipFill>
        <a:blip xmlns:r="http://schemas.openxmlformats.org/officeDocument/2006/relationships" r:embed="rId8"/>
        <a:stretch>
          <a:fillRect/>
        </a:stretch>
      </xdr:blipFill>
      <xdr:spPr>
        <a:xfrm>
          <a:off x="3543300" y="5486400"/>
          <a:ext cx="3371429" cy="3314286"/>
        </a:xfrm>
        <a:prstGeom prst="rect">
          <a:avLst/>
        </a:prstGeom>
      </xdr:spPr>
    </xdr:pic>
    <xdr:clientData/>
  </xdr:twoCellAnchor>
  <xdr:twoCellAnchor editAs="oneCell">
    <xdr:from>
      <xdr:col>12</xdr:col>
      <xdr:colOff>600075</xdr:colOff>
      <xdr:row>0</xdr:row>
      <xdr:rowOff>0</xdr:rowOff>
    </xdr:from>
    <xdr:to>
      <xdr:col>17</xdr:col>
      <xdr:colOff>513932</xdr:colOff>
      <xdr:row>40</xdr:row>
      <xdr:rowOff>75334</xdr:rowOff>
    </xdr:to>
    <xdr:pic>
      <xdr:nvPicPr>
        <xdr:cNvPr id="10" name="图片 9"/>
        <xdr:cNvPicPr>
          <a:picLocks noChangeAspect="1"/>
        </xdr:cNvPicPr>
      </xdr:nvPicPr>
      <xdr:blipFill>
        <a:blip xmlns:r="http://schemas.openxmlformats.org/officeDocument/2006/relationships" r:embed="rId9"/>
        <a:stretch>
          <a:fillRect/>
        </a:stretch>
      </xdr:blipFill>
      <xdr:spPr>
        <a:xfrm>
          <a:off x="8943975" y="0"/>
          <a:ext cx="3342857" cy="6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3567;&#20117;&#20135;&#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案例"/>
      <sheetName val="比较法-办公"/>
      <sheetName val="案例 (2)"/>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K15">
            <v>3707.26</v>
          </cell>
        </row>
      </sheetData>
      <sheetData sheetId="13">
        <row r="19">
          <cell r="F19">
            <v>17455.550000000003</v>
          </cell>
        </row>
        <row r="27">
          <cell r="F27">
            <v>17455.550000000003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北京市丰台区周庄子路1号院1号楼-3至6层101房地产市场价值预评估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受贵公司委托，我公司对北京市丰台区周庄子路1号院1号楼-3至6层101房地产市场价值进行了预评估。</v>
      </c>
    </row>
    <row r="7" spans="1:2" s="1203" customFormat="1">
      <c r="A7" s="1201" t="s">
        <v>566</v>
      </c>
      <c r="B7" s="1202" t="str">
        <f>'预评函-1'!A7</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2023年10月26日（评估专业人员实地查勘之日）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52117</v>
      </c>
    </row>
    <row r="21" spans="1:2" s="1203" customFormat="1">
      <c r="A21" s="1201" t="s">
        <v>537</v>
      </c>
      <c r="B21" s="1202">
        <f ca="1">'预评函-2'!D7</f>
        <v>18755</v>
      </c>
    </row>
    <row r="22" spans="1:2" s="1203" customFormat="1">
      <c r="A22" s="1201" t="s">
        <v>538</v>
      </c>
      <c r="B22" s="1202" t="str">
        <f ca="1">'预评函-2'!D6</f>
        <v>伍亿贰仟壹佰壹拾柒万元整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52117</v>
      </c>
    </row>
    <row r="31" spans="1:2" s="1203" customFormat="1">
      <c r="A31" s="1201" t="s">
        <v>576</v>
      </c>
      <c r="B31" s="1202">
        <f ca="1">'预评函-2'!D15</f>
        <v>18755</v>
      </c>
    </row>
    <row r="32" spans="1:2" s="1203" customFormat="1">
      <c r="A32" s="1201" t="s">
        <v>543</v>
      </c>
      <c r="B32" s="1202" t="str">
        <f ca="1">'预评函-2'!D14</f>
        <v>伍亿贰仟壹佰壹拾柒万元整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北京市丰台区周庄子路1号院1号楼-3至6层101房地产</v>
      </c>
    </row>
    <row r="42" spans="1:2" s="1203" customFormat="1">
      <c r="A42" s="1201" t="s">
        <v>590</v>
      </c>
      <c r="B42" s="1202" t="str">
        <f>'预评函-3'!B2</f>
        <v>建筑面积</v>
      </c>
    </row>
    <row r="43" spans="1:2" s="1203" customFormat="1">
      <c r="A43" s="1201" t="s">
        <v>591</v>
      </c>
      <c r="B43" s="1202">
        <f>'预评函-3'!B4</f>
        <v>27788.400000000001</v>
      </c>
    </row>
    <row r="44" spans="1:2" s="1203" customFormat="1">
      <c r="A44" s="1201" t="s">
        <v>575</v>
      </c>
      <c r="B44" s="1202" t="str">
        <f>'预评函-3'!C2</f>
        <v>(分摊)土地面积</v>
      </c>
    </row>
    <row r="45" spans="1:2" s="1203" customFormat="1">
      <c r="A45" s="1201" t="s">
        <v>547</v>
      </c>
      <c r="B45" s="1202">
        <f>'预评函-3'!C4</f>
        <v>9100.1</v>
      </c>
    </row>
    <row r="46" spans="1:2" s="1203" customFormat="1">
      <c r="A46" s="1201" t="s">
        <v>573</v>
      </c>
      <c r="B46" s="1202" t="str">
        <f>'预评函-3'!D2</f>
        <v>出让国有建设用地使用权价值</v>
      </c>
    </row>
    <row r="47" spans="1:2" s="1203" customFormat="1">
      <c r="A47" s="1201" t="s">
        <v>548</v>
      </c>
      <c r="B47" s="1202">
        <f ca="1">'预评函-3'!D4</f>
        <v>33303</v>
      </c>
    </row>
    <row r="48" spans="1:2" s="1203" customFormat="1">
      <c r="A48" s="1201" t="s">
        <v>549</v>
      </c>
      <c r="B48" s="1202">
        <f ca="1">'预评函-3'!E4</f>
        <v>11985</v>
      </c>
    </row>
    <row r="49" spans="1:2" s="1203" customFormat="1">
      <c r="A49" s="1201" t="s">
        <v>550</v>
      </c>
      <c r="B49" s="1202" t="str">
        <f ca="1">'预评函-3'!D5</f>
        <v>叁亿叁仟叁佰零叁万元整</v>
      </c>
    </row>
    <row r="50" spans="1:2" s="1203" customFormat="1">
      <c r="A50" s="1201" t="s">
        <v>574</v>
      </c>
      <c r="B50" s="1202" t="str">
        <f>'预评函-3'!F2</f>
        <v>在建建筑物价值</v>
      </c>
    </row>
    <row r="51" spans="1:2" s="1203" customFormat="1">
      <c r="A51" s="1201" t="s">
        <v>551</v>
      </c>
      <c r="B51" s="1202">
        <f ca="1">'预评函-3'!F4</f>
        <v>18814</v>
      </c>
    </row>
    <row r="52" spans="1:2" s="1203" customFormat="1">
      <c r="A52" s="1201" t="s">
        <v>552</v>
      </c>
      <c r="B52" s="1202">
        <f ca="1">'预评函-3'!G4</f>
        <v>6770</v>
      </c>
    </row>
    <row r="53" spans="1:2" s="1203" customFormat="1">
      <c r="A53" s="1201" t="s">
        <v>580</v>
      </c>
      <c r="B53" s="1202" t="str">
        <f ca="1">'预评函-3'!F5</f>
        <v>壹亿捌仟捌佰壹拾肆万元整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08" t="s">
        <v>2572</v>
      </c>
      <c r="J2" s="3508"/>
      <c r="K2" s="3508"/>
      <c r="L2" s="3508"/>
      <c r="M2" s="3508"/>
      <c r="N2" s="3508"/>
      <c r="O2" s="3508"/>
      <c r="P2" s="3508"/>
      <c r="Q2" s="3508"/>
      <c r="R2" s="3508"/>
    </row>
    <row r="3" spans="1:18">
      <c r="A3" s="3012" t="s">
        <v>2493</v>
      </c>
      <c r="B3" s="3013">
        <f>项目基本情况!D3</f>
        <v>45225</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3.15</v>
      </c>
      <c r="D5" s="3017">
        <f>IF(ISERROR(ROUND(POWER(1+E5,A5-C5)*(POWER(1+E5,C5)-1)/(POWER(1+E5,A5)-1),3)),0,ROUND(POWER(1+E5,A5-C5)*(POWER(1+E5,C5)-1)/(POWER(1+E5,A5)-1),4))</f>
        <v>0.14680000000000001</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13.15</v>
      </c>
      <c r="D6" s="3017">
        <f>IF(ISERROR(ROUND(POWER(1+E6,A6-C6)*(POWER(1+E6,C6)-1)/(POWER(1+E6,A6)-1),3)),0,ROUND(POWER(1+E6,A6-C6)*(POWER(1+E6,C6)-1)/(POWER(1+E6,A6)-1),4))</f>
        <v>0.46889999999999998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33.17</v>
      </c>
      <c r="D7" s="3017">
        <f>IF(ISERROR(ROUND(POWER(1+E7,A7-C7)*(POWER(1+E7,C7)-1)/(POWER(1+E7,A7)-1),3)),0,ROUND(POWER(1+E7,A7-C7)*(POWER(1+E7,C7)-1)/(POWER(1+E7,A7)-1),4))</f>
        <v>0.77769999999999995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517" t="str">
        <f>IF(B10="北京市","北京市",C10)&amp;F10&amp;IF(结果表!G1="在建","出让国有建设用地使用权及在建建筑物",IF(结果表!G1="土地","出让国有建设用地使用权",))&amp;B9&amp;"预评估"</f>
        <v>北京市丰台区周庄子路1号院1号楼-3至6层101房地产市场价值预评估</v>
      </c>
      <c r="C1" s="3518"/>
      <c r="D1" s="3518"/>
      <c r="E1" s="3518"/>
      <c r="F1" s="3518"/>
      <c r="G1" s="3518"/>
      <c r="H1" s="3518"/>
      <c r="I1" s="3519"/>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北京市丰台区周庄子路1号院1号楼-3至6层101房地产市场价值</v>
      </c>
      <c r="T1" s="1745"/>
      <c r="U1" s="1745"/>
      <c r="V1" s="1745"/>
      <c r="W1" s="1745"/>
      <c r="X1" s="1745"/>
      <c r="Y1" s="1745"/>
      <c r="Z1" s="1745"/>
      <c r="AA1" s="1745"/>
      <c r="AB1" s="1745"/>
    </row>
    <row r="2" spans="1:30">
      <c r="A2" s="2365" t="s">
        <v>2168</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北京市丰台区周庄子路1号院1号楼-3至6层101房地产</v>
      </c>
      <c r="T2" s="1745"/>
      <c r="U2" s="1745"/>
      <c r="V2" s="1745"/>
      <c r="W2" s="1745"/>
      <c r="X2" s="1745"/>
      <c r="Y2" s="1745"/>
      <c r="Z2" s="1745"/>
      <c r="AA2" s="1745"/>
      <c r="AB2" s="1745"/>
    </row>
    <row r="3" spans="1:30">
      <c r="A3" s="302" t="s">
        <v>2169</v>
      </c>
      <c r="B3" s="3449">
        <v>45225</v>
      </c>
      <c r="C3" s="2372" t="s">
        <v>2170</v>
      </c>
      <c r="D3" s="2371">
        <f>B3</f>
        <v>45225</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2174</v>
      </c>
      <c r="B7" s="2385"/>
      <c r="C7" s="2383"/>
      <c r="D7" s="2384"/>
      <c r="E7" s="2654"/>
      <c r="F7" s="2656"/>
      <c r="G7" s="2656"/>
      <c r="H7" s="2656"/>
      <c r="I7" s="2656"/>
      <c r="J7" s="2436"/>
      <c r="K7" s="2608"/>
      <c r="L7" s="2605"/>
      <c r="M7" s="2605"/>
      <c r="N7" s="2436"/>
      <c r="O7" s="2447"/>
      <c r="P7" s="2436"/>
      <c r="Q7" s="2436"/>
      <c r="R7" s="2436"/>
    </row>
    <row r="8" spans="1:30">
      <c r="A8" s="2386" t="s">
        <v>2175</v>
      </c>
      <c r="B8" s="2387" t="s">
        <v>3370</v>
      </c>
      <c r="C8" s="2388"/>
      <c r="D8" s="3520" t="s">
        <v>2176</v>
      </c>
      <c r="E8" s="2389" t="s">
        <v>3372</v>
      </c>
      <c r="F8" s="2390"/>
      <c r="G8" s="2655"/>
      <c r="H8" s="2655"/>
      <c r="I8" s="2655"/>
      <c r="J8" s="2436"/>
      <c r="K8" s="2606"/>
      <c r="L8" s="2605"/>
      <c r="M8" s="2605"/>
      <c r="N8" s="2436"/>
      <c r="O8" s="2447"/>
      <c r="P8" s="2436"/>
      <c r="Q8" s="2436"/>
      <c r="R8" s="2436"/>
    </row>
    <row r="9" spans="1:30" ht="13.5" thickBot="1">
      <c r="A9" s="2391" t="s">
        <v>2177</v>
      </c>
      <c r="B9" s="2392" t="s">
        <v>3371</v>
      </c>
      <c r="C9" s="2393"/>
      <c r="D9" s="3521"/>
      <c r="E9" s="2392" t="s">
        <v>43</v>
      </c>
      <c r="F9" s="2394"/>
      <c r="G9" s="2657"/>
      <c r="H9" s="2657"/>
      <c r="I9" s="2657"/>
      <c r="J9" s="2436"/>
      <c r="K9" s="2608"/>
      <c r="L9" s="2605"/>
      <c r="M9" s="2605"/>
      <c r="N9" s="2436"/>
      <c r="O9" s="2447"/>
      <c r="P9" s="2436"/>
      <c r="Q9" s="2436"/>
      <c r="R9" s="2436"/>
    </row>
    <row r="10" spans="1:30" ht="13.5" thickTop="1">
      <c r="A10" s="2395" t="s">
        <v>2178</v>
      </c>
      <c r="B10" s="2396" t="s">
        <v>3373</v>
      </c>
      <c r="C10" s="2397"/>
      <c r="D10" s="2380"/>
      <c r="E10" s="2398" t="s">
        <v>2179</v>
      </c>
      <c r="F10" s="2658" t="s">
        <v>3497</v>
      </c>
      <c r="G10" s="2659"/>
      <c r="H10" s="2660"/>
      <c r="I10" s="2661"/>
      <c r="J10" s="2436"/>
      <c r="K10" s="2608"/>
      <c r="L10" s="2605"/>
      <c r="M10" s="2605"/>
      <c r="N10" s="2436"/>
      <c r="O10" s="2447"/>
      <c r="P10" s="2436"/>
      <c r="Q10" s="2436"/>
      <c r="R10" s="2436"/>
    </row>
    <row r="11" spans="1:30" ht="36">
      <c r="A11" s="2399" t="s">
        <v>2180</v>
      </c>
      <c r="B11" s="2400" t="s">
        <v>3374</v>
      </c>
      <c r="C11" s="3465" t="s">
        <v>3498</v>
      </c>
      <c r="D11" s="2401"/>
      <c r="E11" s="2368"/>
      <c r="F11" s="2368"/>
      <c r="G11" s="2368"/>
      <c r="H11" s="2368"/>
      <c r="I11" s="2368"/>
      <c r="J11" s="3053"/>
      <c r="K11" s="3052"/>
      <c r="L11" s="2605"/>
      <c r="M11" s="2605"/>
      <c r="N11" s="2436"/>
      <c r="O11" s="2447"/>
      <c r="P11" s="2436"/>
      <c r="Q11" s="2436"/>
      <c r="R11" s="2436"/>
    </row>
    <row r="12" spans="1:30" ht="24.75">
      <c r="A12" s="2402" t="s">
        <v>2181</v>
      </c>
      <c r="B12" s="323" t="s">
        <v>2182</v>
      </c>
      <c r="C12" s="2403" t="s">
        <v>2183</v>
      </c>
      <c r="D12" s="2403" t="s">
        <v>2184</v>
      </c>
      <c r="E12" s="2403" t="s">
        <v>2185</v>
      </c>
      <c r="F12" s="2403" t="s">
        <v>2186</v>
      </c>
      <c r="G12" s="2403" t="s">
        <v>2187</v>
      </c>
      <c r="H12" s="2403" t="s">
        <v>2188</v>
      </c>
      <c r="I12" s="3051" t="s">
        <v>2568</v>
      </c>
      <c r="J12" s="3054"/>
      <c r="K12" s="3466" t="s">
        <v>3499</v>
      </c>
      <c r="L12" s="2605" t="s">
        <v>3530</v>
      </c>
      <c r="M12" s="2436"/>
      <c r="N12" s="2447"/>
      <c r="O12" s="2436"/>
      <c r="P12" s="2436"/>
      <c r="Q12" s="2436"/>
      <c r="AD12" s="1745"/>
    </row>
    <row r="13" spans="1:30">
      <c r="A13" s="3415" t="s">
        <v>3326</v>
      </c>
      <c r="B13" s="2404" t="s">
        <v>2189</v>
      </c>
      <c r="C13" s="856"/>
      <c r="D13" s="856"/>
      <c r="E13" s="856"/>
      <c r="F13" s="856"/>
      <c r="G13" s="856"/>
      <c r="H13" s="856"/>
      <c r="I13" s="856">
        <v>60997</v>
      </c>
      <c r="J13" s="3054"/>
      <c r="K13" s="2605" t="s">
        <v>3500</v>
      </c>
      <c r="L13" s="2605" t="s">
        <v>3531</v>
      </c>
      <c r="M13" s="2436"/>
      <c r="N13" s="2447"/>
      <c r="O13" s="2436"/>
      <c r="P13" s="2436"/>
      <c r="Q13" s="2436"/>
      <c r="AD13" s="1745"/>
    </row>
    <row r="14" spans="1:30">
      <c r="A14" s="1081"/>
      <c r="B14" s="2404" t="s">
        <v>2190</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43.21</v>
      </c>
      <c r="J15" s="3056"/>
      <c r="K15" s="2448"/>
      <c r="L15" s="2448"/>
      <c r="M15" s="2501"/>
      <c r="N15" s="2448"/>
      <c r="O15" s="2501"/>
      <c r="P15" s="2436"/>
      <c r="Q15" s="2436"/>
      <c r="AD15" s="1745"/>
    </row>
    <row r="16" spans="1:30">
      <c r="A16" s="2398" t="s">
        <v>2192</v>
      </c>
      <c r="B16" s="3527"/>
      <c r="C16" s="3528"/>
      <c r="D16" s="3529"/>
      <c r="E16" s="2410" t="s">
        <v>2193</v>
      </c>
      <c r="F16" s="3530"/>
      <c r="G16" s="3531"/>
      <c r="H16" s="3531"/>
      <c r="I16" s="3532"/>
      <c r="J16" s="2436"/>
      <c r="K16" s="2609"/>
      <c r="L16" s="2448"/>
      <c r="M16" s="2448"/>
      <c r="N16" s="2501"/>
      <c r="O16" s="2448"/>
      <c r="P16" s="2501"/>
      <c r="Q16" s="2436"/>
      <c r="R16" s="2436"/>
    </row>
    <row r="17" spans="1:28">
      <c r="A17" s="313" t="s">
        <v>2194</v>
      </c>
      <c r="B17" s="302" t="s">
        <v>2195</v>
      </c>
      <c r="C17" s="8">
        <f>'数据-汇总表'!E3</f>
        <v>27788.400000000001</v>
      </c>
      <c r="D17" s="2320" t="s">
        <v>2196</v>
      </c>
      <c r="E17" s="3533" t="s">
        <v>2197</v>
      </c>
      <c r="F17" s="3534"/>
      <c r="G17" s="3534"/>
      <c r="H17" s="3534"/>
      <c r="I17" s="3535"/>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9100.1</v>
      </c>
      <c r="D18" s="1092" t="s">
        <v>2200</v>
      </c>
      <c r="E18" s="3536" t="s">
        <v>2201</v>
      </c>
      <c r="F18" s="3537"/>
      <c r="G18" s="3537"/>
      <c r="H18" s="3537"/>
      <c r="I18" s="3538"/>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23" t="s">
        <v>2205</v>
      </c>
      <c r="C20" s="3524"/>
      <c r="D20" s="3525" t="s">
        <v>2206</v>
      </c>
      <c r="E20" s="3526"/>
      <c r="F20" s="2639" t="s">
        <v>1056</v>
      </c>
      <c r="G20" s="2656"/>
      <c r="H20" s="2656"/>
      <c r="I20" s="2656"/>
      <c r="J20" s="2436"/>
      <c r="K20" s="3522"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6.25" thickBot="1">
      <c r="A21" s="2624"/>
      <c r="B21" s="2625" t="s">
        <v>3501</v>
      </c>
      <c r="C21" s="2626" t="s">
        <v>3502</v>
      </c>
      <c r="D21" s="1568"/>
      <c r="E21" s="2627"/>
      <c r="F21" s="2640"/>
      <c r="G21" s="2656"/>
      <c r="H21" s="2656"/>
      <c r="I21" s="2656"/>
      <c r="J21" s="2436"/>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10" t="s">
        <v>2211</v>
      </c>
      <c r="B27" s="320" t="s">
        <v>2212</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10"/>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10"/>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1"/>
      <c r="B30" s="302" t="s">
        <v>2215</v>
      </c>
      <c r="C30" s="3512"/>
      <c r="D30" s="3513"/>
      <c r="E30" s="2656"/>
      <c r="F30" s="2656"/>
      <c r="G30" s="2656"/>
      <c r="H30" s="2656"/>
      <c r="I30" s="2656"/>
      <c r="J30" s="2436"/>
      <c r="K30" s="2608"/>
      <c r="L30" s="2605"/>
      <c r="M30" s="2605"/>
      <c r="N30" s="2436"/>
      <c r="O30" s="2447"/>
      <c r="P30" s="2436"/>
      <c r="Q30" s="2436"/>
      <c r="R30" s="2436"/>
      <c r="S30" s="2436"/>
      <c r="T30" s="2436"/>
      <c r="U30" s="2436"/>
      <c r="V30" s="2436"/>
    </row>
    <row r="31" spans="1:28">
      <c r="A31" s="3514"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15"/>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15"/>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t="s">
        <v>3503</v>
      </c>
      <c r="I34" s="2656"/>
      <c r="J34" s="2436"/>
      <c r="K34" s="2424">
        <f>COUNTIF(B34:H34,"——")</f>
        <v>0</v>
      </c>
      <c r="L34" s="323" t="s">
        <v>2218</v>
      </c>
      <c r="M34" s="323" t="s">
        <v>2219</v>
      </c>
      <c r="N34" s="323" t="s">
        <v>2220</v>
      </c>
      <c r="O34" s="323" t="s">
        <v>2221</v>
      </c>
      <c r="P34" s="323" t="s">
        <v>2222</v>
      </c>
      <c r="Q34" s="323" t="s">
        <v>2223</v>
      </c>
      <c r="R34" s="323" t="s">
        <v>2224</v>
      </c>
      <c r="S34" s="3509" t="s">
        <v>2225</v>
      </c>
      <c r="T34" s="2425" t="str">
        <f>NUMBERSTRING(7-K34,1)&amp;"通"</f>
        <v>七通</v>
      </c>
      <c r="U34" s="2436"/>
      <c r="V34" s="2436"/>
    </row>
    <row r="35" spans="1:30">
      <c r="A35" s="2426"/>
      <c r="B35" s="3516" t="s">
        <v>2226</v>
      </c>
      <c r="C35" s="3516"/>
      <c r="D35" s="3516"/>
      <c r="E35" s="3516"/>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09"/>
      <c r="T35" s="329" t="str">
        <f>IF(T34="一通",L35,IF(T34="二通",M35,IF(T34="三通",N35,IF(T34="四通",O35,IF(T34="五通",P35,IF(T34="六通",Q35,R35))))))</f>
        <v>通路、通电、通讯、通上水、通下水、平整、通热</v>
      </c>
      <c r="U35" s="2436"/>
      <c r="V35" s="2436"/>
    </row>
    <row r="36" spans="1:30">
      <c r="A36" s="2427"/>
      <c r="B36" s="664" t="s">
        <v>2184</v>
      </c>
      <c r="C36" s="664" t="s">
        <v>2185</v>
      </c>
      <c r="D36" s="664" t="s">
        <v>2183</v>
      </c>
      <c r="E36" s="664" t="s">
        <v>2188</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t="s">
        <v>110</v>
      </c>
      <c r="C37" s="2428" t="s">
        <v>110</v>
      </c>
      <c r="D37" s="2428" t="s">
        <v>110</v>
      </c>
      <c r="E37" s="2428" t="s">
        <v>110</v>
      </c>
      <c r="F37" s="2428" t="s">
        <v>110</v>
      </c>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t="s">
        <v>187</v>
      </c>
      <c r="C38" s="2429" t="s">
        <v>187</v>
      </c>
      <c r="D38" s="2429" t="s">
        <v>187</v>
      </c>
      <c r="E38" s="2429" t="s">
        <v>187</v>
      </c>
      <c r="F38" s="2429" t="s">
        <v>187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9100.1</v>
      </c>
      <c r="B3" s="11">
        <f>IF(C3="否",G5-AT5,G5)</f>
        <v>27788.400000000001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27788.400000000001</v>
      </c>
      <c r="H5" s="13">
        <f t="shared" ref="H5:AT5" si="0">SUM(H13:H656)</f>
        <v>27788.400000000001</v>
      </c>
      <c r="I5" s="13">
        <f t="shared" si="0"/>
        <v>17455.550000000003</v>
      </c>
      <c r="J5" s="13">
        <f t="shared" si="0"/>
        <v>0</v>
      </c>
      <c r="K5" s="13">
        <f t="shared" si="0"/>
        <v>10332.85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27788.400000000001</v>
      </c>
      <c r="BA5" s="15">
        <f t="shared" si="1"/>
        <v>27788.400000000001</v>
      </c>
      <c r="BB5" s="15">
        <f t="shared" si="1"/>
        <v>17455.550000000003</v>
      </c>
      <c r="BC5" s="15">
        <f t="shared" si="1"/>
        <v>10332.85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9100.1</v>
      </c>
      <c r="F6" s="13" t="s">
        <v>0</v>
      </c>
      <c r="G6" s="13" t="s">
        <v>1</v>
      </c>
      <c r="H6" s="17">
        <f>SUMIF(I$12:AB$12,"总值",I6:AB6)</f>
        <v>9100.1</v>
      </c>
      <c r="I6" s="13">
        <f t="shared" ref="I6:AB6" si="2">ROUND($A$3*I5/$B$3,2)</f>
        <v>5716.32</v>
      </c>
      <c r="J6" s="13">
        <f t="shared" si="2"/>
        <v>0</v>
      </c>
      <c r="K6" s="13">
        <f t="shared" si="2"/>
        <v>3383.78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9100.1</v>
      </c>
      <c r="AZ6" s="13" t="s">
        <v>2</v>
      </c>
      <c r="BA6" s="13">
        <f>ROUND($AY$6*BA5/$AZ$5,2)</f>
        <v>9100.1</v>
      </c>
      <c r="BB6" s="13">
        <f>ROUND($AY$6*BB5/$AZ$5,2)</f>
        <v>5716.32</v>
      </c>
      <c r="BC6" s="13">
        <f t="shared" ref="BC6:BH6" si="4">ROUND($AY$6*BC5/$AZ$5,2)</f>
        <v>3383.78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3508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3505</v>
      </c>
      <c r="J10" s="809"/>
      <c r="K10" s="1609" t="s">
        <v>3505</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3506</v>
      </c>
      <c r="J11" s="1615"/>
      <c r="K11" s="1614" t="s">
        <v>3506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27788.400000000001</v>
      </c>
      <c r="B13" s="1051"/>
      <c r="C13" s="1051">
        <v>-3</v>
      </c>
      <c r="D13" s="1625" t="s">
        <v>3504</v>
      </c>
      <c r="E13" s="13">
        <f>IF($C$3="是",ROUND($A$3*G13/$B$3,2),ROUND($A$3*(G13-AT13)/$B$3,2))</f>
        <v>844.53</v>
      </c>
      <c r="F13" s="29"/>
      <c r="G13" s="30">
        <f>H13+AC13+AT13</f>
        <v>2578.88</v>
      </c>
      <c r="H13" s="17">
        <f>SUMIF(I$12:AB$12,"总值",I13:AB13)</f>
        <v>2578.88</v>
      </c>
      <c r="I13" s="1626"/>
      <c r="J13" s="1626"/>
      <c r="K13" s="1626">
        <f>4150.06-1571.18</f>
        <v>2578.88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27788.400000000001</v>
      </c>
      <c r="AW13" s="8">
        <f t="shared" si="6"/>
        <v>0</v>
      </c>
      <c r="AX13" s="8">
        <f t="shared" si="6"/>
        <v>-3</v>
      </c>
      <c r="AY13" s="1349">
        <f>ROUND($AY$6*AZ13/$AZ$5,2)</f>
        <v>844.53</v>
      </c>
      <c r="AZ13" s="13">
        <f>BA13+BL13</f>
        <v>2578.88</v>
      </c>
      <c r="BA13" s="13">
        <f>SUM(BB13:BK13)</f>
        <v>2578.88</v>
      </c>
      <c r="BB13" s="13">
        <f>IF($D13="是",I13-J13,0)</f>
        <v>0</v>
      </c>
      <c r="BC13" s="13">
        <f>IF($D13="是",K13-L13,0)</f>
        <v>2578.88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3504</v>
      </c>
      <c r="E14" s="13">
        <f>IF($C$3="是",ROUND($A$3*G14/$B$3,2),ROUND($A$3*(G14-AT14)/$B$3,2))</f>
        <v>1325.21</v>
      </c>
      <c r="F14" s="29"/>
      <c r="G14" s="30">
        <f>H14+AC14+AT14</f>
        <v>4046.71</v>
      </c>
      <c r="H14" s="17">
        <f>SUMIF(I$12:AB$12,"总值",I14:AB14)</f>
        <v>4046.71</v>
      </c>
      <c r="I14" s="1626"/>
      <c r="J14" s="1626"/>
      <c r="K14" s="1626">
        <f>4075.03-28.32</f>
        <v>4046.71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1325.21</v>
      </c>
      <c r="AZ14" s="13">
        <f>BA14+BL14</f>
        <v>4046.71</v>
      </c>
      <c r="BA14" s="13">
        <f>SUM(BB14:BK14)</f>
        <v>4046.71</v>
      </c>
      <c r="BB14" s="13">
        <f>IF($D14="是",I14-J14,0)</f>
        <v>0</v>
      </c>
      <c r="BC14" s="13">
        <f>IF($D14="是",K14-L14,0)</f>
        <v>4046.71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v>
      </c>
      <c r="D15" s="1625" t="s">
        <v>3504</v>
      </c>
      <c r="E15" s="13">
        <f>IF($C$3="是",ROUND($A$3*G15/$B$3,2),ROUND($A$3*(G15-AT15)/$B$3,2))</f>
        <v>1214.05</v>
      </c>
      <c r="F15" s="29"/>
      <c r="G15" s="30">
        <f>H15+AC15+AT15</f>
        <v>3707.26</v>
      </c>
      <c r="H15" s="17">
        <f>SUMIF(I$12:AB$12,"总值",I15:AB15)</f>
        <v>3707.26</v>
      </c>
      <c r="I15" s="1626"/>
      <c r="J15" s="1626"/>
      <c r="K15" s="1626">
        <f>3711.36-4.1</f>
        <v>3707.26</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v>
      </c>
      <c r="AY15" s="1349">
        <f>ROUND($AY$6*AZ15/$AZ$5,2)</f>
        <v>1214.05</v>
      </c>
      <c r="AZ15" s="13">
        <f>BA15+BL15</f>
        <v>3707.26</v>
      </c>
      <c r="BA15" s="13">
        <f>SUM(BB15:BK15)</f>
        <v>3707.26</v>
      </c>
      <c r="BB15" s="13">
        <f>IF($D15="是",I15-J15,0)</f>
        <v>0</v>
      </c>
      <c r="BC15" s="13">
        <f>IF($D15="是",K15-L15,0)</f>
        <v>3707.26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1</v>
      </c>
      <c r="D16" s="1625" t="s">
        <v>3504</v>
      </c>
      <c r="E16" s="13">
        <f>IF($C$3="是",ROUND($A$3*G16/$B$3,2),ROUND($A$3*(G16-AT16)/$B$3,2))</f>
        <v>1162.18</v>
      </c>
      <c r="F16" s="29"/>
      <c r="G16" s="30">
        <f>H16+AC16+AT16</f>
        <v>3548.8900000000003</v>
      </c>
      <c r="H16" s="17">
        <f>SUMIF(I$12:AB$12,"总值",I16:AB16)</f>
        <v>3548.8900000000003</v>
      </c>
      <c r="I16" s="1626">
        <f>3569.59-20.7</f>
        <v>3548.8900000000003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v>
      </c>
      <c r="AY16" s="1349">
        <f>ROUND($AY$6*AZ16/$AZ$5,2)</f>
        <v>1162.18</v>
      </c>
      <c r="AZ16" s="13">
        <f>BA16+BL16</f>
        <v>3548.8900000000003</v>
      </c>
      <c r="BA16" s="13">
        <f>SUM(BB16:BK16)</f>
        <v>3548.8900000000003</v>
      </c>
      <c r="BB16" s="13">
        <f>IF($D16="是",I16-J16,0)</f>
        <v>3548.8900000000003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2</v>
      </c>
      <c r="D17" s="1625" t="s">
        <v>3504</v>
      </c>
      <c r="E17" s="13">
        <f>IF($C$3="是",ROUND($A$3*G17/$B$3,2),ROUND($A$3*(G17-AT17)/$B$3,2))</f>
        <v>1160.19</v>
      </c>
      <c r="F17" s="29"/>
      <c r="G17" s="30">
        <f>H17+AC17+AT17</f>
        <v>3542.79</v>
      </c>
      <c r="H17" s="17">
        <f>SUMIF(I$12:AB$12,"总值",I17:AB17)</f>
        <v>3542.79</v>
      </c>
      <c r="I17" s="1626">
        <v>3542.79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2</v>
      </c>
      <c r="AY17" s="1349">
        <f>ROUND($AY$6*AZ17/$AZ$5,2)</f>
        <v>1160.19</v>
      </c>
      <c r="AZ17" s="13">
        <f>BA17+BL17</f>
        <v>3542.79</v>
      </c>
      <c r="BA17" s="13">
        <f>SUM(BB17:BK17)</f>
        <v>3542.79</v>
      </c>
      <c r="BB17" s="13">
        <f>IF($D17="是",I17-J17,0)</f>
        <v>3542.79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3</v>
      </c>
      <c r="D18" s="1625" t="s">
        <v>3504</v>
      </c>
      <c r="E18" s="32">
        <f t="shared" ref="E18:E112" si="7">IF($C$3="是",ROUND($A$3*G18/$B$3,2),ROUND($A$3*(G18-AT18)/$B$3,2))</f>
        <v>1160.19</v>
      </c>
      <c r="F18" s="33"/>
      <c r="G18" s="34">
        <f t="shared" ref="G18:G109" si="8">H18+AC18+AT18</f>
        <v>3542.79</v>
      </c>
      <c r="H18" s="35">
        <f t="shared" ref="H18:H109" si="9">SUMIF(I$12:AB$12,"总值",I18:AB18)</f>
        <v>3542.79</v>
      </c>
      <c r="I18" s="36">
        <v>3542.79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3</v>
      </c>
      <c r="AY18" s="39">
        <f t="shared" ref="AY18:AY109" si="14">ROUND($AY$6*AZ18/$AZ$5,2)</f>
        <v>1160.19</v>
      </c>
      <c r="AZ18" s="32">
        <f t="shared" ref="AZ18:AZ109" si="15">BA18+BL18</f>
        <v>3542.79</v>
      </c>
      <c r="BA18" s="32">
        <f t="shared" ref="BA18:BA109" si="16">SUM(BB18:BK18)</f>
        <v>3542.79</v>
      </c>
      <c r="BB18" s="32">
        <f t="shared" ref="BB18:BB109" si="17">IF($D18="是",I18-J18,0)</f>
        <v>3542.79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4</v>
      </c>
      <c r="D19" s="1625" t="s">
        <v>3504</v>
      </c>
      <c r="E19" s="32">
        <f t="shared" si="7"/>
        <v>993.76</v>
      </c>
      <c r="F19" s="33"/>
      <c r="G19" s="34">
        <f t="shared" si="8"/>
        <v>3034.59</v>
      </c>
      <c r="H19" s="35">
        <f t="shared" si="9"/>
        <v>3034.59</v>
      </c>
      <c r="I19" s="36">
        <v>3034.59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4</v>
      </c>
      <c r="AY19" s="39">
        <f t="shared" si="14"/>
        <v>993.76</v>
      </c>
      <c r="AZ19" s="32">
        <f t="shared" si="15"/>
        <v>3034.59</v>
      </c>
      <c r="BA19" s="32">
        <f t="shared" si="16"/>
        <v>3034.59</v>
      </c>
      <c r="BB19" s="32">
        <f t="shared" si="17"/>
        <v>3034.59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5</v>
      </c>
      <c r="D20" s="1625" t="s">
        <v>3504</v>
      </c>
      <c r="E20" s="32">
        <f t="shared" si="7"/>
        <v>644.41</v>
      </c>
      <c r="F20" s="33"/>
      <c r="G20" s="34">
        <f t="shared" si="8"/>
        <v>1967.79</v>
      </c>
      <c r="H20" s="35">
        <f t="shared" si="9"/>
        <v>1967.79</v>
      </c>
      <c r="I20" s="36">
        <v>1967.79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5</v>
      </c>
      <c r="AY20" s="39">
        <f t="shared" si="14"/>
        <v>644.41</v>
      </c>
      <c r="AZ20" s="32">
        <f t="shared" si="15"/>
        <v>1967.79</v>
      </c>
      <c r="BA20" s="32">
        <f t="shared" si="16"/>
        <v>1967.79</v>
      </c>
      <c r="BB20" s="32">
        <f t="shared" si="17"/>
        <v>1967.79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6</v>
      </c>
      <c r="D21" s="1625" t="s">
        <v>3504</v>
      </c>
      <c r="E21" s="32">
        <f t="shared" si="7"/>
        <v>518.21</v>
      </c>
      <c r="F21" s="33"/>
      <c r="G21" s="34">
        <f t="shared" si="8"/>
        <v>1582.42</v>
      </c>
      <c r="H21" s="35">
        <f t="shared" si="9"/>
        <v>1582.42</v>
      </c>
      <c r="I21" s="36">
        <v>1582.42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6</v>
      </c>
      <c r="AY21" s="39">
        <f t="shared" si="14"/>
        <v>518.21</v>
      </c>
      <c r="AZ21" s="32">
        <f t="shared" si="15"/>
        <v>1582.42</v>
      </c>
      <c r="BA21" s="32">
        <f t="shared" si="16"/>
        <v>1582.42</v>
      </c>
      <c r="BB21" s="32">
        <f t="shared" si="17"/>
        <v>1582.42</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806" t="s">
        <v>3519</v>
      </c>
      <c r="D22" s="1625" t="s">
        <v>3504</v>
      </c>
      <c r="E22" s="32">
        <f t="shared" si="7"/>
        <v>77.38</v>
      </c>
      <c r="F22" s="33"/>
      <c r="G22" s="34">
        <f t="shared" si="8"/>
        <v>236.28</v>
      </c>
      <c r="H22" s="35">
        <f t="shared" si="9"/>
        <v>236.28</v>
      </c>
      <c r="I22" s="36">
        <v>236.28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附属层</v>
      </c>
      <c r="AY22" s="39">
        <f t="shared" si="14"/>
        <v>77.38</v>
      </c>
      <c r="AZ22" s="32">
        <f t="shared" si="15"/>
        <v>236.28</v>
      </c>
      <c r="BA22" s="32">
        <f t="shared" si="16"/>
        <v>236.28</v>
      </c>
      <c r="BB22" s="32">
        <f t="shared" si="17"/>
        <v>236.28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8" t="s">
        <v>1130</v>
      </c>
      <c r="B2" s="3548"/>
      <c r="C2" s="3548"/>
      <c r="D2" s="796" t="s">
        <v>1106</v>
      </c>
      <c r="E2" s="1639" t="s">
        <v>1107</v>
      </c>
      <c r="F2" s="2651"/>
      <c r="G2" s="2642"/>
      <c r="H2" s="2643"/>
      <c r="I2" s="2323" t="s">
        <v>1131</v>
      </c>
      <c r="J2" s="2651"/>
      <c r="K2" s="2651"/>
      <c r="L2" s="2651"/>
      <c r="M2" s="2651"/>
      <c r="N2" s="2653"/>
      <c r="O2" s="2651"/>
      <c r="P2" s="2651"/>
    </row>
    <row r="3" spans="1:16" ht="15.75" thickBot="1">
      <c r="A3" s="3549" t="s">
        <v>1104</v>
      </c>
      <c r="B3" s="3549"/>
      <c r="C3" s="3549"/>
      <c r="D3" s="43">
        <f>'数据-基础表'!AY6</f>
        <v>9100.1</v>
      </c>
      <c r="E3" s="43">
        <f>'数据-基础表'!AZ5</f>
        <v>27788.400000000001</v>
      </c>
      <c r="F3" s="2651"/>
      <c r="G3" s="1145"/>
      <c r="H3" s="1026" t="s">
        <v>1105</v>
      </c>
      <c r="I3" s="855">
        <f>ROUND('数据-基础表'!B3/'数据-基础表'!A3,2)</f>
        <v>3.05</v>
      </c>
      <c r="J3" s="2651"/>
      <c r="K3" s="2651"/>
      <c r="L3" s="2651"/>
      <c r="M3" s="2651"/>
      <c r="N3" s="2653"/>
      <c r="O3" s="2651"/>
      <c r="P3" s="2651"/>
    </row>
    <row r="4" spans="1:16" ht="15">
      <c r="A4" s="3550"/>
      <c r="B4" s="3551"/>
      <c r="C4" s="3552"/>
      <c r="D4" s="1641" t="s">
        <v>1106</v>
      </c>
      <c r="E4" s="1642" t="s">
        <v>1107</v>
      </c>
      <c r="F4" s="2651"/>
      <c r="G4" s="2644" t="s">
        <v>1132</v>
      </c>
      <c r="H4" s="1026" t="s">
        <v>1112</v>
      </c>
      <c r="I4" s="855">
        <f>ROUND(SUMIF('数据-基础表'!I9:AS9,"地上",'数据-基础表'!I5:AS5)/'数据-基础表'!A3,2)</f>
        <v>1.92</v>
      </c>
      <c r="J4" s="2651"/>
      <c r="K4" s="2651"/>
      <c r="L4" s="2651"/>
      <c r="M4" s="2651"/>
      <c r="N4" s="2653"/>
      <c r="O4" s="2651"/>
      <c r="P4" s="2651"/>
    </row>
    <row r="5" spans="1:16">
      <c r="A5" s="44" t="s">
        <v>1108</v>
      </c>
      <c r="B5" s="3553" t="s">
        <v>1109</v>
      </c>
      <c r="C5" s="3553"/>
      <c r="D5" s="45">
        <f>ROUND($D$3*E5/$E$3,2)</f>
        <v>0</v>
      </c>
      <c r="E5" s="46">
        <f>SUMIF('数据-基础表'!$11:$11,"住宅",'数据-基础表'!$5:$5)</f>
        <v>0</v>
      </c>
      <c r="F5" s="2651"/>
      <c r="G5" s="1145"/>
      <c r="H5" s="1026" t="s">
        <v>1105</v>
      </c>
      <c r="I5" s="855">
        <f>ROUND(E31/D31,2)</f>
        <v>3.05</v>
      </c>
      <c r="J5" s="2651"/>
      <c r="K5" s="2651"/>
      <c r="L5" s="2651"/>
      <c r="M5" s="2651"/>
      <c r="N5" s="2651"/>
      <c r="O5" s="2651"/>
      <c r="P5" s="2651"/>
    </row>
    <row r="6" spans="1:16" ht="15" thickBot="1">
      <c r="A6" s="1644"/>
      <c r="B6" s="3553" t="s">
        <v>1110</v>
      </c>
      <c r="C6" s="3553"/>
      <c r="D6" s="45">
        <f>ROUND($D$3*E6/$E$3,2)</f>
        <v>9100.1</v>
      </c>
      <c r="E6" s="46">
        <f>E3-E5</f>
        <v>27788.400000000001</v>
      </c>
      <c r="F6" s="2651"/>
      <c r="G6" s="2645" t="s">
        <v>1111</v>
      </c>
      <c r="H6" s="1146" t="s">
        <v>1112</v>
      </c>
      <c r="I6" s="2646">
        <f>ROUND(F31/D31,2)</f>
        <v>1.92</v>
      </c>
      <c r="J6" s="2651"/>
      <c r="K6" s="2651"/>
      <c r="L6" s="2651"/>
      <c r="M6" s="2651"/>
      <c r="N6" s="2651"/>
      <c r="O6" s="2651"/>
      <c r="P6" s="2651"/>
    </row>
    <row r="7" spans="1:16" ht="15.75" thickBot="1">
      <c r="A7" s="3545"/>
      <c r="B7" s="3546"/>
      <c r="C7" s="3547"/>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5716.32</v>
      </c>
      <c r="E8" s="48">
        <f>SUMIF('数据-基础表'!BB10:BK10,"地上",'数据-基础表'!BB5:BK5)</f>
        <v>17455.550000000003</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5716.32</v>
      </c>
      <c r="E16" s="50">
        <f>SUM(E8:E15)</f>
        <v>17455.550000000003</v>
      </c>
      <c r="F16" s="2651"/>
      <c r="G16" s="2652"/>
      <c r="H16" s="1648" t="s">
        <v>1134</v>
      </c>
      <c r="I16" s="1649"/>
      <c r="J16" s="1139"/>
      <c r="K16" s="3542" t="s">
        <v>1134</v>
      </c>
      <c r="L16" s="3543"/>
      <c r="M16" s="3543"/>
      <c r="N16" s="3543"/>
      <c r="O16" s="3543"/>
      <c r="P16" s="3544"/>
    </row>
    <row r="17" spans="1:19" ht="15">
      <c r="A17" s="1650" t="s">
        <v>1135</v>
      </c>
      <c r="B17" s="1651" t="s">
        <v>1136</v>
      </c>
      <c r="C17" s="1652" t="s">
        <v>1137</v>
      </c>
      <c r="D17" s="1653" t="s">
        <v>1125</v>
      </c>
      <c r="E17" s="1654" t="s">
        <v>1126</v>
      </c>
      <c r="F17" s="1655"/>
      <c r="G17" s="1656"/>
      <c r="H17" s="1657" t="s">
        <v>1138</v>
      </c>
      <c r="I17" s="1658" t="s">
        <v>1123</v>
      </c>
      <c r="J17" s="1139"/>
      <c r="K17" s="3539" t="s">
        <v>1139</v>
      </c>
      <c r="L17" s="3540"/>
      <c r="M17" s="3541"/>
      <c r="N17" s="3539" t="s">
        <v>1140</v>
      </c>
      <c r="O17" s="3540"/>
      <c r="P17" s="354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3510</v>
      </c>
      <c r="D19" s="45">
        <f>ROUND($D$3*E19/$E$3,2)</f>
        <v>9100.1</v>
      </c>
      <c r="E19" s="53">
        <f t="shared" ref="E19:E26" si="1">SUM(F19:G19)</f>
        <v>27788.400000000001</v>
      </c>
      <c r="F19" s="2787">
        <f>'数据-基础表'!I5</f>
        <v>17455.550000000003</v>
      </c>
      <c r="G19" s="2788">
        <f>'数据-基础表'!K5</f>
        <v>10332.85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9100.1</v>
      </c>
      <c r="S19" s="1027">
        <f t="shared" si="5"/>
        <v>27788.400000000001</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9100.1</v>
      </c>
      <c r="E27" s="1141">
        <f>IF(SUM(E19:E26)='数据-基础表'!BA5,SUM(E19:E26),IF(F27="地上面积有误","面积有误","地下面积有误"))</f>
        <v>27788.400000000001</v>
      </c>
      <c r="F27" s="1140">
        <f>IF(SUM(F19:F26)=E8,SUM(F19:F26),"地上面积有误")</f>
        <v>17455.550000000003</v>
      </c>
      <c r="G27" s="1142">
        <f>SUM(G19:G26)</f>
        <v>10332.85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9100.1</v>
      </c>
      <c r="S27" s="1026">
        <f>IF(SUM(S19:S26)=$E$3,SUM(S19:S26),SUM(S19:S26)&amp;"误差"&amp;ROUND(SUM(S19:S26)-E3,2))</f>
        <v>27788.400000000001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9100.1</v>
      </c>
      <c r="E31" s="676">
        <f>E27+E30</f>
        <v>27788.400000000001</v>
      </c>
      <c r="F31" s="677">
        <f>F27+F30</f>
        <v>17455.550000000003</v>
      </c>
      <c r="G31" s="678">
        <f>G27+G30</f>
        <v>10332.85</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产业用房</v>
      </c>
      <c r="B6" s="1713" t="str">
        <f>IF(A6=0,"","经营性")</f>
        <v>经营性</v>
      </c>
      <c r="C6" s="1714" t="s">
        <v>3505</v>
      </c>
      <c r="D6" s="858">
        <f>SUMIF(项目基本情况!C$12:I$12,C6,项目基本情况!C$14:I$14)</f>
        <v>50</v>
      </c>
      <c r="E6" s="857">
        <f>IF(B6="","",SUMIF(项目基本情况!C$12:I$12,C6,项目基本情况!C$13:I$13))</f>
        <v>60997</v>
      </c>
      <c r="F6" s="64">
        <f>SUMIF(项目基本情况!C$12:I$12,C6,项目基本情况!C$15:I$15)</f>
        <v>43.21</v>
      </c>
      <c r="G6" s="65">
        <f>IF(ISERROR(ROUND(POWER(1+H6,D6-F6)*(POWER(1+H6,F6)-1)/(POWER(1+H6,D6)-1),3)),0,ROUND(POWER(1+H6,D6-F6)*(POWER(1+H6,F6)-1)/(POWER(1+H6,D6)-1),3))</f>
        <v>0.96199999999999997</v>
      </c>
      <c r="H6" s="732">
        <v>0.05</v>
      </c>
      <c r="I6" s="732">
        <v>5.1999999999999998E-2</v>
      </c>
      <c r="J6" s="66">
        <v>7.0000000000000007E-2</v>
      </c>
      <c r="K6" s="1030">
        <f>SUMIF('数据-汇总表'!C$19:C$33,A6,'数据-汇总表'!E$19:E$33)</f>
        <v>27788.400000000001</v>
      </c>
      <c r="L6" s="733">
        <f>L25</f>
        <v>4761.57</v>
      </c>
      <c r="M6" s="67">
        <f t="shared" ref="M6:M14" si="0">ROUND(K6*L6/10000,0)</f>
        <v>13232</v>
      </c>
      <c r="N6" s="731">
        <f>N20</f>
        <v>0.98</v>
      </c>
      <c r="O6" s="67" t="str">
        <f>IF($N$5="成新度","——",ROUND(M6*N6,0))</f>
        <v>——</v>
      </c>
      <c r="P6" s="68" t="str">
        <f>IF($N$5="成新度","——",M6-O6)</f>
        <v>——</v>
      </c>
      <c r="Q6" s="734">
        <v>0.15</v>
      </c>
      <c r="R6" s="69">
        <f ca="1">SUMIF('数据-汇总表'!C$19:C$33,A6,'数据-汇总表'!R$19:R$27)</f>
        <v>9100.1</v>
      </c>
      <c r="S6" s="51">
        <f>IF('数据-汇总表'!$I$17="按面积比例",SUMIF('数据-汇总表'!C$19:C$33,A6,'数据-汇总表'!K$19:K$33),SUMIF('数据-汇总表'!C$19:C$33,A6,'数据-汇总表'!N$19:N$33))</f>
        <v>0</v>
      </c>
      <c r="T6" s="1172">
        <f>ROUND($L$14*S6/10000,0)</f>
        <v>0</v>
      </c>
      <c r="U6" s="3420">
        <f>W26</f>
        <v>2.82</v>
      </c>
      <c r="V6" s="70">
        <v>2.5000000000000001E-2</v>
      </c>
      <c r="W6" s="70">
        <v>0.05</v>
      </c>
      <c r="X6" s="1040"/>
      <c r="Y6" s="71">
        <f>N6</f>
        <v>0.98</v>
      </c>
      <c r="Z6" s="72"/>
      <c r="AA6" s="66"/>
      <c r="AB6" s="66"/>
      <c r="AC6" s="1040"/>
      <c r="AD6" s="73"/>
      <c r="AE6" s="1041">
        <f ca="1">IF(AN6="",0,SUMIF(INDIRECT("'"&amp;AN6&amp;"'"&amp;"!E:E"),$AE$5,INDIRECT("'"&amp;AN6&amp;"'"&amp;"!F:F")))</f>
        <v>43.21</v>
      </c>
      <c r="AF6" s="1348"/>
      <c r="AG6" s="138">
        <f>IF(AF6="",0,AE6-AF6)</f>
        <v>0</v>
      </c>
      <c r="AH6" s="74"/>
      <c r="AI6" s="76">
        <v>365</v>
      </c>
      <c r="AJ6" s="77"/>
      <c r="AK6" s="78">
        <v>8.0000000000000002E-3</v>
      </c>
      <c r="AL6" s="79">
        <v>1.5E-3</v>
      </c>
      <c r="AM6" s="80">
        <v>5.0000000000000001E-3</v>
      </c>
      <c r="AN6" s="1715" t="s">
        <v>3384</v>
      </c>
      <c r="AO6" s="52">
        <f ca="1">SUMIF(INDIRECT("'"&amp;AN6&amp;"'"&amp;"!A:A"),"总价",INDIRECT("'"&amp;AN6&amp;"'"&amp;"!B:B"))</f>
        <v>52117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0.96199999999999997</v>
      </c>
      <c r="H16" s="90">
        <f>ROUND(SUMPRODUCT(H6:H13,K6:K13)/SUMPRODUCT((H6:H13&gt;0)*(K6:K13)),3)</f>
        <v>0.05</v>
      </c>
      <c r="I16" s="91"/>
      <c r="J16" s="91"/>
      <c r="K16" s="92">
        <f>SUM(K6:K15)</f>
        <v>27788.400000000001</v>
      </c>
      <c r="L16" s="93">
        <f>ROUND(M16*10000/SUM(K6:K14),0)</f>
        <v>4762</v>
      </c>
      <c r="M16" s="93">
        <f>SUM(M6:M14)</f>
        <v>13232</v>
      </c>
      <c r="N16" s="94">
        <f>ROUND(SUMPRODUCT(M6:M14,N6:N14)/M16,3)</f>
        <v>0.98</v>
      </c>
      <c r="O16" s="93">
        <f>SUM(O6:O14)</f>
        <v>0</v>
      </c>
      <c r="P16" s="93">
        <f>SUM(P6:P14)</f>
        <v>0</v>
      </c>
      <c r="Q16" s="95">
        <f>ROUND(SUMPRODUCT(Q6:Q13,K6:K13)/SUMPRODUCT((Q6:Q13&gt;0)*(K6:K13)),2)</f>
        <v>0.15</v>
      </c>
      <c r="R16" s="1034">
        <f ca="1">SUM(R6:R13)</f>
        <v>9100.1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3520</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3521</v>
      </c>
      <c r="N19" s="2663">
        <f>ROUND(1-(1-0%)*(2023-N18)/60,2)</f>
        <v>0.98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2291</v>
      </c>
      <c r="D20" s="2668"/>
      <c r="E20" s="2665"/>
      <c r="F20" s="2665"/>
      <c r="G20" s="2665"/>
      <c r="H20" s="2665"/>
      <c r="I20" s="2665"/>
      <c r="J20" s="2665"/>
      <c r="K20" s="2664"/>
      <c r="L20" s="2664"/>
      <c r="M20" s="3442" t="s">
        <v>3522</v>
      </c>
      <c r="N20" s="3809">
        <v>0.98</v>
      </c>
      <c r="O20" s="2663"/>
      <c r="P20" s="2663"/>
      <c r="Q20" s="2663"/>
      <c r="R20" s="2663"/>
      <c r="S20" s="2663"/>
      <c r="T20" s="3442" t="s">
        <v>3526</v>
      </c>
      <c r="U20" s="2663">
        <v>2600</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2" t="s">
        <v>3523</v>
      </c>
      <c r="N21" s="2663">
        <f>ROUND((N19+N20)/2,2)</f>
        <v>0.98</v>
      </c>
      <c r="O21" s="2663"/>
      <c r="P21" s="2663"/>
      <c r="Q21" s="2663"/>
      <c r="R21" s="2663"/>
      <c r="S21" s="2663"/>
      <c r="T21" s="2663"/>
      <c r="U21" s="2663">
        <f>U20*10000/K6/365</f>
        <v>2.5634033162157146</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t="s">
        <v>3524</v>
      </c>
      <c r="L23" s="2664">
        <v>5000</v>
      </c>
      <c r="M23" s="2663">
        <f>'[3]数据-汇总表'!F27+'[3]数据-基础表'!K15</f>
        <v>21162.810000000005</v>
      </c>
      <c r="N23" s="2663">
        <f>ROUND(M23*L23/10000,2)</f>
        <v>10581.41</v>
      </c>
      <c r="O23" s="2663"/>
      <c r="P23" s="2663"/>
      <c r="Q23" s="2663"/>
      <c r="R23" s="2663"/>
      <c r="S23" s="2663"/>
      <c r="T23" s="2663"/>
      <c r="U23" s="3442" t="s">
        <v>3527</v>
      </c>
      <c r="V23" s="2663">
        <f>'[3]数据-汇总表'!F19</f>
        <v>17455.550000000003</v>
      </c>
      <c r="W23" s="2663">
        <f>'比较法-办公'!C50</f>
        <v>4</v>
      </c>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3807" t="s">
        <v>3525</v>
      </c>
      <c r="L24" s="2664">
        <v>4000</v>
      </c>
      <c r="M24" s="3808">
        <f>K16-M23</f>
        <v>6625.5899999999965</v>
      </c>
      <c r="N24" s="2663">
        <f>ROUND(M24*L24/10000,2)</f>
        <v>2650.24</v>
      </c>
      <c r="O24" s="2663"/>
      <c r="P24" s="2663"/>
      <c r="Q24" s="2663"/>
      <c r="R24" s="2663"/>
      <c r="S24" s="2663"/>
      <c r="T24" s="2663"/>
      <c r="U24" s="3442" t="s">
        <v>3528</v>
      </c>
      <c r="V24" s="2663">
        <f>'[3]数据-基础表'!K15</f>
        <v>3707.26</v>
      </c>
      <c r="W24" s="2663">
        <f>W23*0.3</f>
        <v>1.2</v>
      </c>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f>ROUND((L23*M23+L24*M24)/K16,2)</f>
        <v>4761.57</v>
      </c>
      <c r="M25" s="2663"/>
      <c r="N25" s="2663">
        <f>ROUND(N24+N23,0)</f>
        <v>13232</v>
      </c>
      <c r="O25" s="2663"/>
      <c r="P25" s="2663"/>
      <c r="Q25" s="2663"/>
      <c r="R25" s="2663"/>
      <c r="S25" s="2663"/>
      <c r="T25" s="2663"/>
      <c r="U25" s="2663" t="s">
        <v>3529</v>
      </c>
      <c r="V25" s="3808">
        <f>M24</f>
        <v>6625.5899999999965</v>
      </c>
      <c r="W25" s="1681">
        <v>0.6</v>
      </c>
      <c r="X25" s="2663">
        <f>V25/35</f>
        <v>189.30257142857133</v>
      </c>
      <c r="Y25" s="2663">
        <v>600</v>
      </c>
      <c r="Z25" s="2663">
        <f>X25*Y25/V25/30</f>
        <v>0.5714285714285714</v>
      </c>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3808">
        <f>V25+V24+V23</f>
        <v>27788.400000000001</v>
      </c>
      <c r="W26" s="2663">
        <f>ROUND((W23*V23+W24*V24+W25*V25)/V26,2)</f>
        <v>2.82</v>
      </c>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556</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150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303</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4" t="s">
        <v>2274</v>
      </c>
      <c r="B1" s="3555"/>
      <c r="C1" s="3555"/>
      <c r="D1" s="3555"/>
      <c r="E1" s="3555"/>
      <c r="F1" s="3555"/>
      <c r="G1" s="355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3386</v>
      </c>
      <c r="D3" s="2461"/>
      <c r="E3" s="2439" t="s">
        <v>2273</v>
      </c>
      <c r="F3" s="2462" t="s">
        <v>2250</v>
      </c>
      <c r="G3" s="3446" t="s">
        <v>3386</v>
      </c>
      <c r="H3" s="799"/>
      <c r="I3" s="799"/>
      <c r="J3" s="799"/>
      <c r="K3" s="799"/>
      <c r="L3" s="799"/>
      <c r="M3" s="799"/>
      <c r="N3" s="799"/>
      <c r="O3" s="799"/>
      <c r="P3" s="799"/>
      <c r="Q3" s="799"/>
      <c r="R3" s="799"/>
    </row>
    <row r="4" spans="1:29">
      <c r="A4" s="2439"/>
      <c r="B4" s="323" t="s">
        <v>2251</v>
      </c>
      <c r="C4" s="3444" t="s">
        <v>3511</v>
      </c>
      <c r="D4" s="2461"/>
      <c r="E4" s="2463"/>
      <c r="F4" s="1373" t="s">
        <v>2252</v>
      </c>
      <c r="G4" s="3445" t="s">
        <v>3387</v>
      </c>
      <c r="H4" s="799"/>
      <c r="I4" s="799"/>
      <c r="J4" s="799"/>
      <c r="K4" s="799"/>
      <c r="L4" s="799"/>
      <c r="M4" s="799"/>
      <c r="N4" s="799"/>
      <c r="O4" s="799"/>
      <c r="P4" s="799"/>
      <c r="Q4" s="799"/>
      <c r="R4" s="799"/>
    </row>
    <row r="5" spans="1:29">
      <c r="A5" s="2439"/>
      <c r="B5" s="323" t="s">
        <v>2253</v>
      </c>
      <c r="C5" s="3444" t="s">
        <v>3511</v>
      </c>
      <c r="D5" s="2461"/>
      <c r="E5" s="2463"/>
      <c r="F5" s="323" t="s">
        <v>2254</v>
      </c>
      <c r="G5" s="3445" t="s">
        <v>3387</v>
      </c>
      <c r="H5" s="799"/>
      <c r="I5" s="799"/>
      <c r="J5" s="799"/>
      <c r="K5" s="799"/>
      <c r="L5" s="799"/>
      <c r="M5" s="799"/>
      <c r="N5" s="799"/>
      <c r="O5" s="799"/>
      <c r="P5" s="799"/>
      <c r="Q5" s="799"/>
      <c r="R5" s="799"/>
    </row>
    <row r="6" spans="1:29">
      <c r="A6" s="2439"/>
      <c r="B6" s="323" t="s">
        <v>2255</v>
      </c>
      <c r="C6" s="3445" t="s">
        <v>3387</v>
      </c>
      <c r="D6" s="2461"/>
      <c r="E6" s="2463"/>
      <c r="F6" s="323" t="s">
        <v>2256</v>
      </c>
      <c r="G6" s="3445" t="s">
        <v>3389</v>
      </c>
      <c r="H6" s="799"/>
      <c r="I6" s="799"/>
      <c r="J6" s="799"/>
      <c r="K6" s="799"/>
      <c r="L6" s="799"/>
      <c r="M6" s="799"/>
      <c r="N6" s="799"/>
      <c r="O6" s="799"/>
      <c r="P6" s="799"/>
      <c r="Q6" s="799"/>
      <c r="R6" s="799"/>
    </row>
    <row r="7" spans="1:29" ht="15" thickBot="1">
      <c r="A7" s="2439"/>
      <c r="B7" s="323" t="s">
        <v>2254</v>
      </c>
      <c r="C7" s="3445" t="s">
        <v>3387</v>
      </c>
      <c r="D7" s="2464"/>
      <c r="E7" s="2465"/>
      <c r="F7" s="2466" t="s">
        <v>2257</v>
      </c>
      <c r="G7" s="3447" t="s">
        <v>3387</v>
      </c>
      <c r="H7" s="799"/>
      <c r="I7" s="799"/>
      <c r="J7" s="799"/>
      <c r="K7" s="799"/>
      <c r="L7" s="799"/>
      <c r="M7" s="799"/>
      <c r="N7" s="799"/>
      <c r="O7" s="799"/>
      <c r="P7" s="799"/>
      <c r="Q7" s="799"/>
      <c r="R7" s="799"/>
    </row>
    <row r="8" spans="1:29">
      <c r="A8" s="2439"/>
      <c r="B8" s="323" t="s">
        <v>2256</v>
      </c>
      <c r="C8" s="3445" t="s">
        <v>3389</v>
      </c>
      <c r="D8" s="2464"/>
      <c r="E8" s="2464"/>
      <c r="F8" s="2467"/>
      <c r="G8" s="2467"/>
      <c r="H8" s="799"/>
      <c r="I8" s="799"/>
      <c r="J8" s="799"/>
      <c r="K8" s="799"/>
      <c r="L8" s="799"/>
      <c r="M8" s="799"/>
      <c r="N8" s="799"/>
      <c r="O8" s="799"/>
      <c r="P8" s="799"/>
      <c r="Q8" s="799"/>
      <c r="R8" s="799"/>
    </row>
    <row r="9" spans="1:29">
      <c r="A9" s="2439"/>
      <c r="B9" s="323" t="s">
        <v>2258</v>
      </c>
      <c r="C9" s="3444" t="s">
        <v>3387</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一般</v>
      </c>
      <c r="D16" s="2461"/>
      <c r="E16" s="2444"/>
      <c r="F16" s="2494" t="s">
        <v>2252</v>
      </c>
      <c r="G16" s="2495" t="str">
        <f>G4</f>
        <v>较好</v>
      </c>
    </row>
    <row r="17" spans="1:18">
      <c r="A17" s="2443"/>
      <c r="B17" s="2492" t="s">
        <v>2253</v>
      </c>
      <c r="C17" s="2493" t="str">
        <f>C5</f>
        <v>一般</v>
      </c>
      <c r="D17" s="2464"/>
      <c r="E17" s="2444"/>
      <c r="F17" s="2494" t="s">
        <v>2265</v>
      </c>
      <c r="G17" s="3448" t="s">
        <v>3390</v>
      </c>
    </row>
    <row r="18" spans="1:18">
      <c r="A18" s="2443"/>
      <c r="B18" s="2494" t="s">
        <v>2255</v>
      </c>
      <c r="C18" s="2495" t="str">
        <f>C6</f>
        <v>较好</v>
      </c>
      <c r="D18" s="2464"/>
      <c r="E18" s="2444"/>
      <c r="F18" s="2494" t="s">
        <v>2257</v>
      </c>
      <c r="G18" s="2495" t="str">
        <f>G7</f>
        <v>较好</v>
      </c>
    </row>
    <row r="19" spans="1:18">
      <c r="A19" s="2443"/>
      <c r="B19" s="2494" t="s">
        <v>2266</v>
      </c>
      <c r="C19" s="3448" t="s">
        <v>3390</v>
      </c>
      <c r="D19" s="2461"/>
      <c r="E19" s="2444"/>
      <c r="F19" s="323" t="s">
        <v>2254</v>
      </c>
      <c r="G19" s="2495" t="str">
        <f>G5</f>
        <v>较好</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7" sqref="L27"/>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27788.400000000001</v>
      </c>
      <c r="C1" s="2678"/>
      <c r="D1" s="2678"/>
      <c r="E1" s="2678"/>
      <c r="F1" s="2678"/>
      <c r="G1" s="2679"/>
      <c r="H1" s="2680"/>
      <c r="I1" s="2680"/>
      <c r="J1" s="2680"/>
      <c r="K1" s="2680"/>
    </row>
    <row r="2" spans="1:11" ht="16.5">
      <c r="A2" s="2504" t="s">
        <v>653</v>
      </c>
      <c r="B2" s="2504">
        <f>SUM(C14:C23)</f>
        <v>9100.1</v>
      </c>
      <c r="C2" s="2678"/>
      <c r="D2" s="2678"/>
      <c r="E2" s="2678"/>
      <c r="F2" s="2678"/>
      <c r="G2" s="2679"/>
      <c r="H2" s="2680"/>
      <c r="I2" s="2680"/>
      <c r="J2" s="2680"/>
      <c r="K2" s="2680"/>
    </row>
    <row r="3" spans="1:11" ht="16.5">
      <c r="A3" s="2504" t="s">
        <v>662</v>
      </c>
      <c r="B3" s="2506">
        <f>项目基本情况!D3</f>
        <v>45225</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52117</v>
      </c>
      <c r="C5" s="2504">
        <f ca="1">IF(B5=D14,结果表!H102,ROUND(B5*10000/$B$1,0))</f>
        <v>18755</v>
      </c>
      <c r="D5" s="2504">
        <f ca="1">ROUND(B5*10000/$B$2,0)</f>
        <v>57271</v>
      </c>
      <c r="E5" s="2678"/>
      <c r="F5" s="2679"/>
      <c r="G5" s="2679"/>
      <c r="H5" s="2680"/>
      <c r="I5" s="2680"/>
      <c r="J5" s="2680"/>
      <c r="K5" s="2680"/>
    </row>
    <row r="6" spans="1:11" ht="16.5">
      <c r="A6" s="2504" t="s">
        <v>656</v>
      </c>
      <c r="B6" s="2504">
        <f ca="1">SUM(G14:G23)</f>
        <v>52117</v>
      </c>
      <c r="C6" s="2504">
        <f ca="1">IF(B6=G14,结果表!H108,ROUND(B6*10000/$B$1,0))</f>
        <v>18755</v>
      </c>
      <c r="D6" s="2504">
        <f ca="1">ROUND(B6*10000/$B$2,0)</f>
        <v>57271</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27788.400000000001</v>
      </c>
      <c r="C14" s="2510">
        <f>结果表!C118</f>
        <v>9100.1</v>
      </c>
      <c r="D14" s="2510">
        <f ca="1">结果表!H118</f>
        <v>52117</v>
      </c>
      <c r="E14" s="2510">
        <f ca="1">ROUND(D14*10000/B14,0)</f>
        <v>18755</v>
      </c>
      <c r="F14" s="2510">
        <f ca="1">ROUND(D14*10000/C14,0)</f>
        <v>57271</v>
      </c>
      <c r="G14" s="2510">
        <f ca="1">结果表!H107</f>
        <v>52117</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90" t="str">
        <f>项目基本情况!S2</f>
        <v>北京市丰台区周庄子路1号院1号楼-3至6层101房地产</v>
      </c>
      <c r="B2" s="3591"/>
      <c r="C2" s="3591"/>
      <c r="D2" s="3591"/>
      <c r="E2" s="3591"/>
      <c r="F2" s="3591"/>
      <c r="G2" s="3591"/>
      <c r="H2" s="3591"/>
      <c r="I2" s="3592"/>
    </row>
    <row r="3" spans="1:12" ht="12.75">
      <c r="A3" s="3594" t="s">
        <v>1263</v>
      </c>
      <c r="B3" s="3595"/>
      <c r="C3" s="3595"/>
      <c r="D3" s="3595"/>
      <c r="E3" s="3595"/>
      <c r="F3" s="3595"/>
      <c r="G3" s="3595"/>
      <c r="H3" s="3595"/>
      <c r="I3" s="3595"/>
    </row>
    <row r="4" spans="1:12" ht="14.25">
      <c r="A4" s="1754" t="s">
        <v>1264</v>
      </c>
      <c r="B4" s="1755" t="s">
        <v>1265</v>
      </c>
      <c r="C4" s="1756" t="s">
        <v>3396</v>
      </c>
      <c r="D4" s="1756" t="s">
        <v>3384</v>
      </c>
      <c r="E4" s="3596" t="s">
        <v>1266</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1267</v>
      </c>
      <c r="B5" s="3557">
        <v>25</v>
      </c>
      <c r="C5" s="3573"/>
      <c r="D5" s="3593"/>
      <c r="E5" s="131" t="s">
        <v>1268</v>
      </c>
      <c r="F5" s="1757"/>
      <c r="G5" s="1757"/>
      <c r="H5" s="1757"/>
      <c r="I5" s="1373"/>
    </row>
    <row r="6" spans="1:12" ht="12.75">
      <c r="A6" s="3570"/>
      <c r="B6" s="3557"/>
      <c r="C6" s="3574"/>
      <c r="D6" s="3593"/>
      <c r="E6" s="131" t="s">
        <v>1269</v>
      </c>
      <c r="F6" s="1757"/>
      <c r="G6" s="1757"/>
      <c r="H6" s="1757"/>
      <c r="I6" s="1373"/>
    </row>
    <row r="7" spans="1:12" ht="12.75">
      <c r="A7" s="3570"/>
      <c r="B7" s="3557"/>
      <c r="C7" s="3575"/>
      <c r="D7" s="3593"/>
      <c r="E7" s="131" t="s">
        <v>1270</v>
      </c>
      <c r="F7" s="1757"/>
      <c r="G7" s="1757"/>
      <c r="H7" s="1757"/>
      <c r="I7" s="1373"/>
    </row>
    <row r="8" spans="1:12" ht="12.75">
      <c r="A8" s="3570" t="s">
        <v>1271</v>
      </c>
      <c r="B8" s="3557">
        <v>15</v>
      </c>
      <c r="C8" s="3573"/>
      <c r="D8" s="3593"/>
      <c r="E8" s="131" t="s">
        <v>1272</v>
      </c>
      <c r="F8" s="1757"/>
      <c r="G8" s="1757"/>
      <c r="H8" s="1757"/>
      <c r="I8" s="1373"/>
    </row>
    <row r="9" spans="1:12" ht="12.75">
      <c r="A9" s="3570"/>
      <c r="B9" s="3557"/>
      <c r="C9" s="3575"/>
      <c r="D9" s="3593"/>
      <c r="E9" s="131" t="s">
        <v>1273</v>
      </c>
      <c r="F9" s="1757"/>
      <c r="G9" s="1757"/>
      <c r="H9" s="1757"/>
      <c r="I9" s="1373"/>
    </row>
    <row r="10" spans="1:12" ht="12.75">
      <c r="A10" s="3570" t="s">
        <v>1274</v>
      </c>
      <c r="B10" s="3557">
        <v>15</v>
      </c>
      <c r="C10" s="3573"/>
      <c r="D10" s="3593"/>
      <c r="E10" s="131" t="s">
        <v>1275</v>
      </c>
      <c r="F10" s="1757"/>
      <c r="G10" s="1757"/>
      <c r="H10" s="1757"/>
      <c r="I10" s="1373"/>
    </row>
    <row r="11" spans="1:12" ht="12.75">
      <c r="A11" s="3570"/>
      <c r="B11" s="3557"/>
      <c r="C11" s="3575"/>
      <c r="D11" s="3593"/>
      <c r="E11" s="131" t="s">
        <v>1276</v>
      </c>
      <c r="F11" s="1757"/>
      <c r="G11" s="1757"/>
      <c r="H11" s="1757"/>
      <c r="I11" s="1373"/>
    </row>
    <row r="12" spans="1:12" ht="12.75">
      <c r="A12" s="3570" t="s">
        <v>1277</v>
      </c>
      <c r="B12" s="3557">
        <v>15</v>
      </c>
      <c r="C12" s="3573"/>
      <c r="D12" s="3593"/>
      <c r="E12" s="131" t="s">
        <v>1278</v>
      </c>
      <c r="F12" s="1757"/>
      <c r="G12" s="1757"/>
      <c r="H12" s="1757"/>
      <c r="I12" s="1373"/>
    </row>
    <row r="13" spans="1:12" ht="12.75">
      <c r="A13" s="3570"/>
      <c r="B13" s="3557"/>
      <c r="C13" s="3575"/>
      <c r="D13" s="3593"/>
      <c r="E13" s="131" t="s">
        <v>1279</v>
      </c>
      <c r="F13" s="1757"/>
      <c r="G13" s="1757"/>
      <c r="H13" s="1757"/>
      <c r="I13" s="1373"/>
    </row>
    <row r="14" spans="1:12" ht="12.75">
      <c r="A14" s="3570" t="s">
        <v>1280</v>
      </c>
      <c r="B14" s="3557">
        <v>30</v>
      </c>
      <c r="C14" s="3573">
        <v>0</v>
      </c>
      <c r="D14" s="3593">
        <f>10-C14</f>
        <v>10</v>
      </c>
      <c r="E14" s="131" t="s">
        <v>1281</v>
      </c>
      <c r="F14" s="1757"/>
      <c r="G14" s="1757"/>
      <c r="H14" s="1757"/>
      <c r="I14" s="1373"/>
    </row>
    <row r="15" spans="1:12" ht="12.75">
      <c r="A15" s="3570"/>
      <c r="B15" s="3557"/>
      <c r="C15" s="3574"/>
      <c r="D15" s="3593"/>
      <c r="E15" s="131" t="s">
        <v>1282</v>
      </c>
      <c r="F15" s="1757"/>
      <c r="G15" s="1757"/>
      <c r="H15" s="1757"/>
      <c r="I15" s="1373"/>
    </row>
    <row r="16" spans="1:12" ht="12.75">
      <c r="A16" s="3570"/>
      <c r="B16" s="3557"/>
      <c r="C16" s="3575"/>
      <c r="D16" s="3593"/>
      <c r="E16" s="131" t="s">
        <v>1283</v>
      </c>
      <c r="F16" s="1757"/>
      <c r="G16" s="1757"/>
      <c r="H16" s="1757"/>
      <c r="I16" s="1373"/>
    </row>
    <row r="17" spans="1:36" ht="15">
      <c r="A17" s="1758" t="s">
        <v>1284</v>
      </c>
      <c r="B17" s="56"/>
      <c r="C17" s="132">
        <f>SUM(C5:C16)</f>
        <v>0</v>
      </c>
      <c r="D17" s="132">
        <f>SUM(D5:D16)</f>
        <v>10</v>
      </c>
      <c r="E17" s="129"/>
      <c r="F17" s="129"/>
      <c r="G17" s="129"/>
      <c r="H17" s="129"/>
      <c r="I17" s="129"/>
      <c r="K17" s="302"/>
      <c r="L17" s="302" t="s">
        <v>1285</v>
      </c>
      <c r="M17" s="302" t="s">
        <v>1286</v>
      </c>
    </row>
    <row r="18" spans="1:36" ht="31.9" customHeight="1" thickBot="1">
      <c r="A18" s="1759" t="s">
        <v>1287</v>
      </c>
      <c r="B18" s="1760"/>
      <c r="C18" s="133">
        <f>ROUND(C17/SUM(C17:D17),2)</f>
        <v>0</v>
      </c>
      <c r="D18" s="133">
        <f>1-C18</f>
        <v>1</v>
      </c>
      <c r="E18" s="3580" t="s">
        <v>2130</v>
      </c>
      <c r="F18" s="3581"/>
      <c r="G18" s="3581"/>
      <c r="H18" s="3581"/>
      <c r="I18" s="3581"/>
      <c r="K18" s="302" t="s">
        <v>1288</v>
      </c>
      <c r="L18" s="302">
        <f>IF(C1="",'数据-汇总表'!E3,SUMIF(项目类型,C1,'数据-汇总表'!E17:E26)+SUMIF(项目类型,C1,'数据-汇总表'!I17:I26))</f>
        <v>27788.400000000001</v>
      </c>
      <c r="M18" s="302">
        <f>IF(C1="",'数据-汇总表'!E3,SUMIF(项目类型,C1,'数据-汇总表'!E17:E26))</f>
        <v>27788.400000000001</v>
      </c>
    </row>
    <row r="19" spans="1:36" ht="15">
      <c r="A19" s="1761" t="s">
        <v>1289</v>
      </c>
      <c r="B19" s="1762" t="s">
        <v>1290</v>
      </c>
      <c r="C19" s="134">
        <f ca="1">SUMIF(INDIRECT("'"&amp;C4&amp;"'"&amp;"!A:A"),结果表!B19,INDIRECT("'"&amp;C4&amp;"'"&amp;"!B:B"))</f>
        <v>50631</v>
      </c>
      <c r="D19" s="135">
        <f ca="1">SUMIF(INDIRECT("'"&amp;D4&amp;"'"&amp;"!A:A"),结果表!B19,INDIRECT("'"&amp;D4&amp;"'"&amp;"!B:B"))</f>
        <v>52117</v>
      </c>
      <c r="E19" s="1761" t="s">
        <v>1291</v>
      </c>
      <c r="F19" s="1762" t="s">
        <v>1290</v>
      </c>
      <c r="G19" s="136">
        <f ca="1">ROUND(C19*$C$18+D19*$D$18,0)</f>
        <v>52117</v>
      </c>
      <c r="H19" s="1763" t="s">
        <v>1292</v>
      </c>
      <c r="I19" s="129"/>
      <c r="J19" s="725">
        <f>'数据-汇总表'!G19*5000/10000</f>
        <v>5166.4250000000002</v>
      </c>
      <c r="K19" s="302" t="s">
        <v>1293</v>
      </c>
      <c r="L19" s="302">
        <f>IF(C1="",'数据-汇总表'!D3,SUMIF(项目类型,C1,'数据-汇总表'!D17:D26)+SUMIF(项目类型,C1,'数据-汇总表'!H17:H27))</f>
        <v>9100.1</v>
      </c>
      <c r="M19" s="302">
        <f>IF(C1="",'数据-汇总表'!D3,SUMIF(项目类型,C1,'数据-汇总表'!D17:D26))</f>
        <v>9100.1</v>
      </c>
    </row>
    <row r="20" spans="1:36" ht="15">
      <c r="A20" s="1764"/>
      <c r="B20" s="1026" t="s">
        <v>1294</v>
      </c>
      <c r="C20" s="137">
        <f ca="1">SUMIF(INDIRECT("'"&amp;C4&amp;"'"&amp;"!A:A"),结果表!B20,INDIRECT("'"&amp;C4&amp;"'"&amp;"!B:B"))</f>
        <v>18220</v>
      </c>
      <c r="D20" s="138">
        <f ca="1">SUMIF(INDIRECT("'"&amp;D4&amp;"'"&amp;"!A:A"),结果表!B20,INDIRECT("'"&amp;D4&amp;"'"&amp;"!B:B"))</f>
        <v>18755</v>
      </c>
      <c r="E20" s="1764"/>
      <c r="F20" s="1026" t="s">
        <v>1294</v>
      </c>
      <c r="G20" s="139">
        <f ca="1">ROUND(C20*$C$18+D20*$D$18,0)</f>
        <v>18755</v>
      </c>
      <c r="H20" s="808" t="s">
        <v>1295</v>
      </c>
      <c r="I20" s="129"/>
      <c r="J20" s="725">
        <f ca="1">(G19-J19)*10000/'数据-汇总表'!F19</f>
        <v>26897.218936097684</v>
      </c>
    </row>
    <row r="21" spans="1:36" ht="15" customHeight="1" thickBot="1">
      <c r="A21" s="828"/>
      <c r="B21" s="1765" t="s">
        <v>1296</v>
      </c>
      <c r="C21" s="719">
        <f ca="1">ROUND(C19*10000/L19,0)</f>
        <v>55638</v>
      </c>
      <c r="D21" s="720">
        <f ca="1">ROUND(D19*10000/L19,0)</f>
        <v>57271</v>
      </c>
      <c r="E21" s="828"/>
      <c r="F21" s="1765" t="s">
        <v>1296</v>
      </c>
      <c r="G21" s="140">
        <f ca="1">ROUND(G19*10000/L19,0)</f>
        <v>57271</v>
      </c>
      <c r="H21" s="1766" t="s">
        <v>1295</v>
      </c>
      <c r="I21" s="129"/>
    </row>
    <row r="22" spans="1:36" ht="15" thickBot="1">
      <c r="A22" s="1688" t="s">
        <v>1297</v>
      </c>
      <c r="B22" s="1767"/>
      <c r="C22" s="1768"/>
      <c r="D22" s="721">
        <f ca="1">IF(C19&lt;D19,D19/C19-1,C19/D19-1)</f>
        <v>2.9349607947700029E-2</v>
      </c>
      <c r="E22" s="129"/>
      <c r="F22" s="129"/>
      <c r="G22" s="129"/>
      <c r="H22" s="129"/>
      <c r="I22" s="129"/>
      <c r="K22" s="725" t="s">
        <v>3533</v>
      </c>
    </row>
    <row r="23" spans="1:36" ht="13.5" thickBot="1">
      <c r="A23" s="1747"/>
      <c r="B23" s="1747"/>
      <c r="C23" s="1747"/>
      <c r="D23" s="1747"/>
      <c r="E23" s="129"/>
      <c r="F23" s="129"/>
      <c r="G23" s="129"/>
      <c r="H23" s="129"/>
      <c r="I23" s="129"/>
    </row>
    <row r="24" spans="1:36" ht="14.25">
      <c r="A24" s="3564" t="s">
        <v>1298</v>
      </c>
      <c r="B24" s="1762" t="s">
        <v>1290</v>
      </c>
      <c r="C24" s="136">
        <f>IF(B30=0,0,D30)</f>
        <v>0</v>
      </c>
      <c r="D24" s="1769"/>
      <c r="E24" s="129"/>
      <c r="F24" s="129"/>
      <c r="G24" s="129"/>
      <c r="H24" s="129"/>
      <c r="I24" s="129"/>
    </row>
    <row r="25" spans="1:36" ht="14.25">
      <c r="A25" s="356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52117</v>
      </c>
      <c r="D32" s="1775" t="s">
        <v>3391</v>
      </c>
      <c r="E32" s="129"/>
      <c r="F32" s="129"/>
      <c r="G32" s="129"/>
      <c r="H32" s="129"/>
      <c r="I32" s="129"/>
    </row>
    <row r="33" spans="1:15" ht="15">
      <c r="A33" s="786" t="s">
        <v>1305</v>
      </c>
      <c r="B33" s="1776"/>
      <c r="C33" s="1777" t="s">
        <v>3518</v>
      </c>
      <c r="D33" s="1778" t="s">
        <v>3396</v>
      </c>
      <c r="E33" s="1779" t="s">
        <v>1306</v>
      </c>
      <c r="F33" s="1780" t="str">
        <f>IF(D32="楼面单价","取值（单价）","取值（总价）")</f>
        <v>取值（总价）</v>
      </c>
      <c r="G33" s="129"/>
      <c r="H33" s="129"/>
      <c r="I33" s="129"/>
    </row>
    <row r="34" spans="1:15" ht="15">
      <c r="A34" s="1781"/>
      <c r="B34" s="1782" t="s">
        <v>1307</v>
      </c>
      <c r="C34" s="148">
        <f ca="1">IF(C33="自定义",F34,C32-C35)</f>
        <v>33303</v>
      </c>
      <c r="D34" s="861">
        <f ca="1">IF(C33="自定义",ROUND(C34/C32,3),IF(C33="收益比率",SUMIF(INDIRECT("'"&amp;D33&amp;"'"&amp;"!b:b"),"土地收益比率",INDIRECT("'"&amp;D33&amp;"'"&amp;"!c:c")),SUMIF(INDIRECT("'"&amp;D33&amp;"'"&amp;"!b:b"),"土地成本比率",INDIRECT("'"&amp;D33&amp;"'"&amp;"!c:c"))))</f>
        <v>0.63900000000000001</v>
      </c>
      <c r="E34" s="1783" t="s">
        <v>1308</v>
      </c>
      <c r="F34" s="1330"/>
      <c r="G34" s="129"/>
      <c r="H34" s="129"/>
      <c r="I34" s="129"/>
    </row>
    <row r="35" spans="1:15" ht="15.75" thickBot="1">
      <c r="A35" s="1784"/>
      <c r="B35" s="1785" t="s">
        <v>1309</v>
      </c>
      <c r="C35" s="1170">
        <f ca="1">IF(C33="自定义",F35,ROUND(C32*D35,0))</f>
        <v>18814</v>
      </c>
      <c r="D35" s="1171">
        <f ca="1">IF(C33="自定义",ROUND(C35/C32,3),IF(C33="收益比率",SUMIF(INDIRECT("'"&amp;D33&amp;"'"&amp;"!b:b"),"建筑物收益比率",INDIRECT("'"&amp;D33&amp;"'"&amp;"!c:c")),SUMIF(INDIRECT("'"&amp;D33&amp;"'"&amp;"!b:b"),"建筑物成本比率",INDIRECT("'"&amp;D33&amp;"'"&amp;"!c:c"))))</f>
        <v>0.36099999999999999</v>
      </c>
      <c r="E35" s="1786" t="s">
        <v>1310</v>
      </c>
      <c r="F35" s="154"/>
      <c r="G35" s="129"/>
      <c r="H35" s="129"/>
      <c r="I35" s="129"/>
    </row>
    <row r="36" spans="1:15" ht="15.75" thickBot="1">
      <c r="A36" s="3584" t="s">
        <v>1311</v>
      </c>
      <c r="B36" s="1787" t="s">
        <v>1312</v>
      </c>
      <c r="C36" s="145"/>
      <c r="D36" s="1788"/>
      <c r="E36" s="1789"/>
      <c r="F36" s="1790"/>
      <c r="G36" s="129"/>
      <c r="H36" s="129"/>
      <c r="I36" s="129"/>
    </row>
    <row r="37" spans="1:15" ht="15.75" thickBot="1">
      <c r="A37" s="3585"/>
      <c r="B37" s="1674" t="s">
        <v>1313</v>
      </c>
      <c r="C37" s="147"/>
      <c r="D37" s="1139"/>
      <c r="E37" s="1139"/>
      <c r="F37" s="1790"/>
      <c r="G37" s="129"/>
      <c r="H37" s="129"/>
      <c r="I37" s="129"/>
    </row>
    <row r="38" spans="1:15" ht="15.75" thickBot="1">
      <c r="A38" s="358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61" t="s">
        <v>1325</v>
      </c>
      <c r="B45" s="3562"/>
      <c r="C45" s="3563"/>
      <c r="D45" s="155">
        <f ca="1">ROUND(H101*F45,0)</f>
        <v>52117</v>
      </c>
      <c r="E45" s="156" t="s">
        <v>1326</v>
      </c>
      <c r="F45" s="157">
        <v>1</v>
      </c>
      <c r="G45" s="158" t="s">
        <v>1327</v>
      </c>
      <c r="H45" s="129"/>
      <c r="I45" s="129"/>
      <c r="J45" s="3639" t="s">
        <v>1328</v>
      </c>
      <c r="K45" s="3639"/>
      <c r="L45" s="3639"/>
      <c r="M45" s="3639"/>
      <c r="N45" s="3639"/>
      <c r="O45" s="3639"/>
    </row>
    <row r="46" spans="1:15" ht="14.25" hidden="1" customHeight="1">
      <c r="A46" s="3558" t="s">
        <v>1329</v>
      </c>
      <c r="B46" s="3559"/>
      <c r="C46" s="3559"/>
      <c r="D46" s="3559"/>
      <c r="E46" s="3559"/>
      <c r="F46" s="3559"/>
      <c r="G46" s="3560"/>
      <c r="H46" s="1806"/>
      <c r="I46" s="159"/>
      <c r="J46" s="2515">
        <v>1</v>
      </c>
      <c r="K46" s="3620" t="s">
        <v>1330</v>
      </c>
      <c r="L46" s="3620"/>
      <c r="M46" s="3640"/>
      <c r="N46" s="3640"/>
      <c r="O46" s="3640"/>
    </row>
    <row r="47" spans="1:15" ht="12" hidden="1" customHeight="1">
      <c r="A47" s="160" t="s">
        <v>1331</v>
      </c>
      <c r="B47" s="161"/>
      <c r="C47" s="162"/>
      <c r="D47" s="1087" t="s">
        <v>1332</v>
      </c>
      <c r="E47" s="302" t="s">
        <v>1333</v>
      </c>
      <c r="F47" s="163" t="s">
        <v>1334</v>
      </c>
      <c r="G47" s="2538" t="s">
        <v>1335</v>
      </c>
      <c r="H47" s="2539"/>
      <c r="I47" s="159"/>
      <c r="J47" s="2515">
        <v>2</v>
      </c>
      <c r="K47" s="3620" t="s">
        <v>1336</v>
      </c>
      <c r="L47" s="3620"/>
      <c r="M47" s="3641">
        <f>'数据-取费表'!B2</f>
        <v>45225</v>
      </c>
      <c r="N47" s="3641"/>
      <c r="O47" s="3641"/>
    </row>
    <row r="48" spans="1:15" ht="25.5" hidden="1">
      <c r="A48" s="3589" t="s">
        <v>1337</v>
      </c>
      <c r="B48" s="3572"/>
      <c r="C48" s="3572"/>
      <c r="D48" s="2322">
        <f ca="1">IF(H48="情况1",0,IF(H48="情况2",D52,IF(H48="情况3",D53,IF(H48="情况4",D54))))</f>
        <v>2780</v>
      </c>
      <c r="E48" s="2332" t="str">
        <f>IF(H48="情况4","(销售额-原购置价)×税（费）率","销售额×税（费）率")</f>
        <v>销售额×税（费）率</v>
      </c>
      <c r="F48" s="2540">
        <f>IF(H48="情况1","免征",'数据-取费表'!B41)</f>
        <v>5.6000000000000001E-2</v>
      </c>
      <c r="G48" s="2541" t="s">
        <v>1338</v>
      </c>
      <c r="H48" s="2542" t="s">
        <v>3392</v>
      </c>
      <c r="I48" s="1806"/>
      <c r="J48" s="2515">
        <v>3</v>
      </c>
      <c r="K48" s="3620" t="s">
        <v>1339</v>
      </c>
      <c r="L48" s="3620"/>
      <c r="M48" s="3642">
        <f ca="1">H101</f>
        <v>52117</v>
      </c>
      <c r="N48" s="3642"/>
      <c r="O48" s="3642"/>
    </row>
    <row r="49" spans="1:35" ht="25.5" hidden="1" customHeight="1">
      <c r="A49" s="2331" t="s">
        <v>1340</v>
      </c>
      <c r="B49" s="3556" t="s">
        <v>1341</v>
      </c>
      <c r="C49" s="3556"/>
      <c r="D49" s="1590">
        <v>0</v>
      </c>
      <c r="E49" s="324" t="s">
        <v>1342</v>
      </c>
      <c r="F49" s="2421" t="s">
        <v>28</v>
      </c>
      <c r="G49" s="3626"/>
      <c r="H49" s="2308" t="s">
        <v>2133</v>
      </c>
      <c r="I49" s="2309"/>
      <c r="J49" s="2515">
        <v>4</v>
      </c>
      <c r="K49" s="3620" t="str">
        <f>IF(项目基本情况!E8="房地产抵押价值","房地产抵押价值","抵押担保权已注销时的房地产抵押价值")</f>
        <v>房地产抵押价值</v>
      </c>
      <c r="L49" s="3620"/>
      <c r="M49" s="3642">
        <f ca="1">IF(项目基本情况!E8="房地产抵押价值",H107,H109)</f>
        <v>52117</v>
      </c>
      <c r="N49" s="3642"/>
      <c r="O49" s="3642"/>
    </row>
    <row r="50" spans="1:35" ht="25.5" hidden="1" customHeight="1">
      <c r="A50" s="2543"/>
      <c r="B50" s="3556" t="s">
        <v>1343</v>
      </c>
      <c r="C50" s="3556"/>
      <c r="D50" s="2544"/>
      <c r="E50" s="332"/>
      <c r="F50" s="2421"/>
      <c r="G50" s="3627"/>
      <c r="H50" s="2310" t="s">
        <v>2134</v>
      </c>
      <c r="I50" s="2309"/>
      <c r="J50" s="3639" t="s">
        <v>1344</v>
      </c>
      <c r="K50" s="3639"/>
      <c r="L50" s="3639"/>
      <c r="M50" s="3639"/>
      <c r="N50" s="3639"/>
      <c r="O50" s="3639"/>
    </row>
    <row r="51" spans="1:35" ht="20.45" hidden="1" customHeight="1">
      <c r="A51" s="2545"/>
      <c r="B51" s="3556" t="s">
        <v>1345</v>
      </c>
      <c r="C51" s="3556"/>
      <c r="D51" s="1087"/>
      <c r="E51" s="327"/>
      <c r="F51" s="2421"/>
      <c r="G51" s="3628"/>
      <c r="H51" s="2310" t="s">
        <v>2135</v>
      </c>
      <c r="I51" s="2309"/>
      <c r="J51" s="2516" t="s">
        <v>1346</v>
      </c>
      <c r="K51" s="3620" t="s">
        <v>1347</v>
      </c>
      <c r="L51" s="3620"/>
      <c r="M51" s="2516" t="s">
        <v>1348</v>
      </c>
      <c r="N51" s="2516" t="s">
        <v>1349</v>
      </c>
      <c r="O51" s="2516" t="s">
        <v>1350</v>
      </c>
    </row>
    <row r="52" spans="1:35" ht="24" hidden="1" customHeight="1">
      <c r="A52" s="2333" t="s">
        <v>1351</v>
      </c>
      <c r="B52" s="3556" t="s">
        <v>1352</v>
      </c>
      <c r="C52" s="3556"/>
      <c r="D52" s="1087">
        <f ca="1">ROUND(D45*'数据-取费表'!B41/(1+'数据-取费表'!C42),0)</f>
        <v>2780</v>
      </c>
      <c r="E52" s="2332" t="s">
        <v>1353</v>
      </c>
      <c r="F52" s="2546">
        <f>'数据-取费表'!B41</f>
        <v>5.6000000000000001E-2</v>
      </c>
      <c r="G52" s="2547"/>
      <c r="H52" s="2536"/>
      <c r="I52" s="1807"/>
      <c r="J52" s="2515">
        <v>1</v>
      </c>
      <c r="K52" s="3621" t="s">
        <v>1354</v>
      </c>
      <c r="L52" s="3621"/>
      <c r="M52" s="2517">
        <f ca="1">D48</f>
        <v>2780</v>
      </c>
      <c r="N52" s="2515" t="str">
        <f>E48</f>
        <v>销售额×税（费）率</v>
      </c>
      <c r="O52" s="2518">
        <f>F48</f>
        <v>5.6000000000000001E-2</v>
      </c>
    </row>
    <row r="53" spans="1:35" ht="12" hidden="1" customHeight="1">
      <c r="A53" s="2333" t="s">
        <v>1355</v>
      </c>
      <c r="B53" s="3582" t="s">
        <v>2279</v>
      </c>
      <c r="C53" s="3583"/>
      <c r="D53" s="1087">
        <f ca="1">ROUND(D45*'数据-取费表'!B41/(1+'数据-取费表'!C42),0)</f>
        <v>2780</v>
      </c>
      <c r="E53" s="2332" t="s">
        <v>1353</v>
      </c>
      <c r="F53" s="2546">
        <f>'数据-取费表'!B41</f>
        <v>5.6000000000000001E-2</v>
      </c>
      <c r="G53" s="2547"/>
      <c r="H53" s="2536"/>
      <c r="I53" s="1807"/>
      <c r="J53" s="2515">
        <v>2</v>
      </c>
      <c r="K53" s="3621" t="s">
        <v>1356</v>
      </c>
      <c r="L53" s="3621"/>
      <c r="M53" s="2517">
        <f t="shared" ref="M53:O54" ca="1" si="0">D55</f>
        <v>26</v>
      </c>
      <c r="N53" s="2515" t="str">
        <f t="shared" si="0"/>
        <v>销售额×税（费）率</v>
      </c>
      <c r="O53" s="2518">
        <f t="shared" si="0"/>
        <v>5.0000000000000001E-4</v>
      </c>
    </row>
    <row r="54" spans="1:35" ht="12" hidden="1" customHeight="1">
      <c r="A54" s="2333" t="s">
        <v>1357</v>
      </c>
      <c r="B54" s="3582" t="s">
        <v>2280</v>
      </c>
      <c r="C54" s="3583"/>
      <c r="D54" s="1087">
        <f ca="1">C68</f>
        <v>2780</v>
      </c>
      <c r="E54" s="327" t="s">
        <v>1358</v>
      </c>
      <c r="F54" s="2546">
        <f>'数据-取费表'!B41</f>
        <v>5.6000000000000001E-2</v>
      </c>
      <c r="G54" s="2547"/>
      <c r="H54" s="2548"/>
      <c r="I54" s="1807"/>
      <c r="J54" s="2515">
        <v>3</v>
      </c>
      <c r="K54" s="3621" t="s">
        <v>1359</v>
      </c>
      <c r="L54" s="3621"/>
      <c r="M54" s="2517">
        <f t="shared" ca="1" si="0"/>
        <v>29498</v>
      </c>
      <c r="N54" s="2515" t="str">
        <f t="shared" si="0"/>
        <v>增值额×税（费）率</v>
      </c>
      <c r="O54" s="2519" t="str">
        <f t="shared" si="0"/>
        <v>——</v>
      </c>
    </row>
    <row r="55" spans="1:35" ht="24" hidden="1" customHeight="1">
      <c r="A55" s="3571" t="s">
        <v>1360</v>
      </c>
      <c r="B55" s="3572"/>
      <c r="C55" s="3572"/>
      <c r="D55" s="2322">
        <f ca="1">IF(H55="个人住宅",0,ROUND(D45*I55,0))</f>
        <v>26</v>
      </c>
      <c r="E55" s="2332" t="s">
        <v>1361</v>
      </c>
      <c r="F55" s="2546">
        <f>IF(H55="正常",I55,"免征")</f>
        <v>5.0000000000000001E-4</v>
      </c>
      <c r="G55" s="2547"/>
      <c r="H55" s="2542" t="s">
        <v>3393</v>
      </c>
      <c r="I55" s="165">
        <f>'数据-取费表'!B49</f>
        <v>5.0000000000000001E-4</v>
      </c>
      <c r="J55" s="2515" t="str">
        <f>IF(H59="非个人房产","",4)</f>
        <v/>
      </c>
      <c r="K55" s="3621" t="str">
        <f>IF(H59="非个人房产","——","个人所得税")</f>
        <v>——</v>
      </c>
      <c r="L55" s="3621"/>
      <c r="M55" s="2520" t="str">
        <f>D59</f>
        <v>——</v>
      </c>
      <c r="N55" s="2038" t="str">
        <f>E59</f>
        <v>——</v>
      </c>
      <c r="O55" s="2521" t="str">
        <f>F59</f>
        <v>——</v>
      </c>
    </row>
    <row r="56" spans="1:35" ht="24.75" hidden="1">
      <c r="A56" s="3571" t="s">
        <v>1362</v>
      </c>
      <c r="B56" s="3572"/>
      <c r="C56" s="3572"/>
      <c r="D56" s="2322">
        <f ca="1">IF(H56="个人住宅",D57,D58)</f>
        <v>29498</v>
      </c>
      <c r="E56" s="2332" t="s">
        <v>1363</v>
      </c>
      <c r="F56" s="2546" t="str">
        <f>IF(H56="正常",F58,"免征")</f>
        <v>——</v>
      </c>
      <c r="G56" s="2549" t="s">
        <v>1364</v>
      </c>
      <c r="H56" s="2550" t="s">
        <v>3393</v>
      </c>
      <c r="I56" s="1808"/>
      <c r="J56" s="2515" t="str">
        <f>IF(项目基本情况!K6="上海银行",IF(J55="",4,J55+1),"")</f>
        <v/>
      </c>
      <c r="K56" s="3644" t="str">
        <f>IF(项目基本情况!K6="上海银行","其他处置费用","")</f>
        <v/>
      </c>
      <c r="L56" s="3645"/>
      <c r="M56" s="2517" t="str">
        <f>IF(项目基本情况!K6="上海银行",M69,"")</f>
        <v/>
      </c>
      <c r="N56" s="3644" t="str">
        <f>IF(项目基本情况!K6="上海银行","包含处置中涉及的律师、诉讼、拍卖、评估等费用","")</f>
        <v/>
      </c>
      <c r="O56" s="3647"/>
    </row>
    <row r="57" spans="1:35" ht="12.75" hidden="1">
      <c r="A57" s="2333" t="s">
        <v>1340</v>
      </c>
      <c r="B57" s="3582" t="s">
        <v>1365</v>
      </c>
      <c r="C57" s="3583"/>
      <c r="D57" s="1590">
        <v>0</v>
      </c>
      <c r="E57" s="324" t="s">
        <v>1342</v>
      </c>
      <c r="F57" s="302"/>
      <c r="G57" s="2547"/>
      <c r="H57" s="2551"/>
      <c r="I57" s="1808"/>
      <c r="J57" s="3621">
        <f>IF(AND(J55="",J56=""),4,IF(项目基本情况!K6="上海银行",结果表!J56+1,结果表!J55+1))</f>
        <v>4</v>
      </c>
      <c r="K57" s="3621" t="s">
        <v>1366</v>
      </c>
      <c r="L57" s="2522" t="s">
        <v>1367</v>
      </c>
      <c r="M57" s="2523"/>
      <c r="N57" s="2524">
        <f ca="1">SUMIF(M52:M56,"&lt;9e307")</f>
        <v>32304</v>
      </c>
      <c r="O57" s="2525"/>
      <c r="P57" s="2682">
        <f ca="1">N57/M49</f>
        <v>0.61983613792044823</v>
      </c>
    </row>
    <row r="58" spans="1:35" ht="24.75" hidden="1">
      <c r="A58" s="2333" t="s">
        <v>1351</v>
      </c>
      <c r="B58" s="3582" t="s">
        <v>1368</v>
      </c>
      <c r="C58" s="3556"/>
      <c r="D58" s="2322">
        <f ca="1">IF(H58="转让取得",C81,C97)</f>
        <v>29498</v>
      </c>
      <c r="E58" s="2332" t="s">
        <v>1363</v>
      </c>
      <c r="F58" s="302" t="s">
        <v>28</v>
      </c>
      <c r="G58" s="2547"/>
      <c r="H58" s="2550" t="s">
        <v>3394</v>
      </c>
      <c r="I58" s="1808"/>
      <c r="J58" s="3621"/>
      <c r="K58" s="3621"/>
      <c r="L58" s="2522" t="s">
        <v>1369</v>
      </c>
      <c r="M58" s="2526"/>
      <c r="N58" s="2527" t="str">
        <f ca="1">NUMBERSTRING(INT(N57*10000),2)&amp;"元整"</f>
        <v>叁亿贰仟叁佰零肆万元整</v>
      </c>
      <c r="O58" s="2528"/>
    </row>
    <row r="59" spans="1:35" ht="24.75" hidden="1" thickBot="1">
      <c r="A59" s="3624" t="s">
        <v>1370</v>
      </c>
      <c r="B59" s="3625"/>
      <c r="C59" s="3625"/>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3395</v>
      </c>
      <c r="I59" s="2311" t="s">
        <v>2136</v>
      </c>
      <c r="J59" s="3622">
        <f>J57+1</f>
        <v>5</v>
      </c>
      <c r="K59" s="3621" t="s">
        <v>1371</v>
      </c>
      <c r="L59" s="2515" t="s">
        <v>1367</v>
      </c>
      <c r="M59" s="2529"/>
      <c r="N59" s="2530">
        <f ca="1">M49-N57</f>
        <v>19813</v>
      </c>
      <c r="O59" s="2531"/>
    </row>
    <row r="60" spans="1:35" ht="12" hidden="1" customHeight="1">
      <c r="A60" s="1809"/>
      <c r="B60" s="1747"/>
      <c r="C60" s="1747"/>
      <c r="D60" s="1747"/>
      <c r="E60" s="1578"/>
      <c r="F60" s="1808"/>
      <c r="G60" s="1808"/>
      <c r="H60" s="1810"/>
      <c r="I60" s="129"/>
      <c r="J60" s="3623"/>
      <c r="K60" s="3621"/>
      <c r="L60" s="2522" t="s">
        <v>1369</v>
      </c>
      <c r="M60" s="2526"/>
      <c r="N60" s="2527" t="str">
        <f ca="1">NUMBERSTRING(INT(N59*10000),2)&amp;"元整"</f>
        <v>壹亿玖仟捌佰壹拾叁万元整</v>
      </c>
      <c r="O60" s="2528"/>
    </row>
    <row r="61" spans="1:35" ht="13.5" hidden="1" thickBot="1">
      <c r="A61" s="3569" t="s">
        <v>1372</v>
      </c>
      <c r="B61" s="3569"/>
      <c r="C61" s="3569"/>
      <c r="D61" s="3569"/>
      <c r="E61" s="3569"/>
      <c r="F61" s="1808"/>
      <c r="G61" s="1808"/>
      <c r="H61" s="1810"/>
      <c r="I61" s="129"/>
      <c r="J61" s="2515">
        <f>J59+1</f>
        <v>6</v>
      </c>
      <c r="K61" s="3621" t="s">
        <v>1373</v>
      </c>
      <c r="L61" s="3621"/>
      <c r="M61" s="2532"/>
      <c r="N61" s="2533">
        <f ca="1">ROUND(N59*10000/'数据-汇总表'!E3,0)</f>
        <v>7130</v>
      </c>
      <c r="O61" s="2534"/>
    </row>
    <row r="62" spans="1:35" ht="12.75" hidden="1">
      <c r="A62" s="3587" t="s">
        <v>1374</v>
      </c>
      <c r="B62" s="3588"/>
      <c r="C62" s="2019"/>
      <c r="D62" s="2019" t="s">
        <v>1375</v>
      </c>
      <c r="E62" s="166" t="s">
        <v>1376</v>
      </c>
      <c r="F62" s="1808"/>
      <c r="G62" s="1808"/>
      <c r="H62" s="1810"/>
      <c r="I62" s="129"/>
    </row>
    <row r="63" spans="1:35" ht="12.75" hidden="1">
      <c r="A63" s="173" t="s">
        <v>330</v>
      </c>
      <c r="B63" s="167" t="s">
        <v>1377</v>
      </c>
      <c r="C63" s="2556">
        <f ca="1">ROUND((C64+C65)/(1+'数据-取费表'!C42),0)</f>
        <v>49635</v>
      </c>
      <c r="D63" s="167"/>
      <c r="E63" s="168"/>
      <c r="F63" s="1808"/>
      <c r="G63" s="1808"/>
      <c r="H63" s="1810"/>
      <c r="I63" s="129"/>
      <c r="J63" s="3646" t="s">
        <v>1378</v>
      </c>
      <c r="K63" s="1332" t="s">
        <v>1379</v>
      </c>
      <c r="L63" s="1332">
        <f ca="1">IF(M49&gt;10000,M49*0.5%,IF(AND(M49&gt;1000,M49&lt;=10000),M49*1%,IF(AND(M49&gt;100,M49&lt;=1000),M49*3%,IF(AND(M49&gt;10,M49&lt;=100),M49*5%,M49*8%))))</f>
        <v>260.58499999999998</v>
      </c>
      <c r="M63" s="302">
        <f ca="1">ROUND(L63,1)</f>
        <v>260.60000000000002</v>
      </c>
      <c r="N63" s="2535"/>
      <c r="Z63" s="1752"/>
      <c r="AI63" s="1753"/>
    </row>
    <row r="64" spans="1:35" ht="14.25" hidden="1" customHeight="1">
      <c r="A64" s="169" t="s">
        <v>325</v>
      </c>
      <c r="B64" s="170" t="s">
        <v>1380</v>
      </c>
      <c r="C64" s="2557">
        <f ca="1">D45</f>
        <v>52117</v>
      </c>
      <c r="D64" s="170" t="s">
        <v>26</v>
      </c>
      <c r="E64" s="172"/>
      <c r="F64" s="1808"/>
      <c r="G64" s="1808"/>
      <c r="H64" s="1810"/>
      <c r="I64" s="129"/>
      <c r="J64" s="3646"/>
      <c r="K64" s="1332" t="s">
        <v>1381</v>
      </c>
      <c r="L64" s="1332">
        <f ca="1">IF(M49&gt;2000,M49*0.5%,IF(AND(M49&gt;1000,M49&lt;=2000),M49*0.6%,IF(AND(M49&gt;500,M49&lt;=1000),M49*0.7%,IF(AND(M49&gt;200,M49&lt;=500),M49*0.8%,IF(AND(M49&gt;100,M49&lt;=200),M49*0.9%,IF(AND(M49&gt;50,M49&lt;=100),M49*1%,IF(AND(M49&gt;20,M49&lt;=50),M49*1.5%,IF(AND(M49&gt;10,M49&lt;=20),M49*2%,IF(AND(M49&gt;1,M49&lt;=10),M49*2.5%)))))))))</f>
        <v>260.58499999999998</v>
      </c>
      <c r="M64" s="302">
        <f t="shared" ref="M64:M65" ca="1" si="1">ROUND(L64,1)</f>
        <v>260.60000000000002</v>
      </c>
      <c r="N64" s="2536" t="s">
        <v>1382</v>
      </c>
      <c r="Z64" s="1752"/>
      <c r="AI64" s="1753"/>
    </row>
    <row r="65" spans="1:35" ht="14.25" hidden="1" customHeight="1">
      <c r="A65" s="169" t="s">
        <v>326</v>
      </c>
      <c r="B65" s="170" t="s">
        <v>1383</v>
      </c>
      <c r="C65" s="2558"/>
      <c r="D65" s="170"/>
      <c r="E65" s="172"/>
      <c r="F65" s="1808"/>
      <c r="G65" s="1808"/>
      <c r="H65" s="1810"/>
      <c r="I65" s="129"/>
      <c r="J65" s="3646"/>
      <c r="K65" s="1332" t="s">
        <v>1384</v>
      </c>
      <c r="L65" s="1332">
        <f ca="1">IF(M49&gt;1000,M49*0.1%,IF(AND(M49&gt;500,M49&lt;=1000),M49*0.5%,IF(AND(M49&gt;50,M49&lt;=500),M49*1%,IF(AND(M49&gt;1,M49&lt;=50),M49*1.5%))))</f>
        <v>52.117000000000004</v>
      </c>
      <c r="M65" s="302">
        <f t="shared" ca="1" si="1"/>
        <v>52.1</v>
      </c>
      <c r="N65" s="2536" t="s">
        <v>1382</v>
      </c>
      <c r="Z65" s="1752"/>
      <c r="AI65" s="1753"/>
    </row>
    <row r="66" spans="1:35" ht="14.25" hidden="1" customHeight="1">
      <c r="A66" s="173" t="s">
        <v>327</v>
      </c>
      <c r="B66" s="174" t="s">
        <v>1385</v>
      </c>
      <c r="C66" s="2559"/>
      <c r="D66" s="174" t="s">
        <v>26</v>
      </c>
      <c r="E66" s="1338" t="s">
        <v>671</v>
      </c>
      <c r="F66" s="1808"/>
      <c r="G66" s="1808"/>
      <c r="H66" s="1810"/>
      <c r="I66" s="129"/>
      <c r="J66" s="3646"/>
      <c r="K66" s="1332" t="s">
        <v>1386</v>
      </c>
      <c r="L66" s="1332">
        <f ca="1">M49*0.5%</f>
        <v>260.58499999999998</v>
      </c>
      <c r="M66" s="302">
        <f ca="1">IF(L66&gt;0.5,0.5,ROUND(L66,0))</f>
        <v>0.5</v>
      </c>
      <c r="N66" s="2536" t="s">
        <v>1387</v>
      </c>
      <c r="Z66" s="1752"/>
      <c r="AI66" s="1753"/>
    </row>
    <row r="67" spans="1:35" ht="14.25" hidden="1" customHeight="1">
      <c r="A67" s="173" t="s">
        <v>328</v>
      </c>
      <c r="B67" s="174" t="s">
        <v>1388</v>
      </c>
      <c r="C67" s="2560">
        <f ca="1">C63-C66</f>
        <v>49635</v>
      </c>
      <c r="D67" s="170" t="s">
        <v>26</v>
      </c>
      <c r="E67" s="172"/>
      <c r="F67" s="1808"/>
      <c r="G67" s="1808"/>
      <c r="H67" s="1810"/>
      <c r="I67" s="129"/>
      <c r="J67" s="3646"/>
      <c r="K67" s="1332" t="s">
        <v>1389</v>
      </c>
      <c r="L67" s="1332">
        <f ca="1">IF(M49&gt;=10000,(8.25+(M49-10000)*0.01%),IF(AND(M49&gt;=8000,M49&lt;10000),(7.85+(M49-8000)*0.02%),IF(AND(M49&gt;=5000,M49&lt;8000),(6.65+(M49-5000)*0.04%),IF(AND(M49&gt;=2000,M49&lt;5000),(4.25+(PM49-2000)*0.08%),IF(AND(M49&gt;=1000,M49&lt;2000),(2.75+(M49-1000)*0.15%),IF(AND(M49&gt;=100,M49&lt;1000),(0.5+(M49-100)*0.25%),IF(AND(M49&gt;0,M49&lt;100),M49*0.5%)))))))</f>
        <v>12.4617</v>
      </c>
      <c r="M67" s="302">
        <f ca="1">ROUND(L67*0.9,1)</f>
        <v>11.2</v>
      </c>
      <c r="N67" s="2535"/>
      <c r="Z67" s="1752"/>
      <c r="AI67" s="1753"/>
    </row>
    <row r="68" spans="1:35" ht="14.25" hidden="1" customHeight="1" thickBot="1">
      <c r="A68" s="176" t="s">
        <v>329</v>
      </c>
      <c r="B68" s="177" t="s">
        <v>1390</v>
      </c>
      <c r="C68" s="2561">
        <f ca="1">IF(C67&lt;=0,0,ROUND(C67*D68,0))</f>
        <v>2780</v>
      </c>
      <c r="D68" s="2562">
        <f>'数据-取费表'!B41</f>
        <v>5.6000000000000001E-2</v>
      </c>
      <c r="E68" s="178"/>
      <c r="F68" s="1808"/>
      <c r="G68" s="1808"/>
      <c r="H68" s="1810"/>
      <c r="I68" s="129"/>
      <c r="J68" s="3646"/>
      <c r="K68" s="1332" t="s">
        <v>1391</v>
      </c>
      <c r="L68" s="1332">
        <f ca="1">IF(M49&gt;10000,M49*0.5%,IF(AND(M49&gt;5000,M49&lt;=10000),M49*1%,IF(AND(M49&gt;1000,M49&lt;=5000),M49*2%,IF(AND(M49&gt;200,M49&lt;=1000),M49*3%,M49*5%))))</f>
        <v>260.58499999999998</v>
      </c>
      <c r="M68" s="302">
        <f ca="1">ROUND(L68,1)</f>
        <v>260.60000000000002</v>
      </c>
      <c r="N68" s="2535"/>
      <c r="Z68" s="1752"/>
      <c r="AI68" s="1753"/>
    </row>
    <row r="69" spans="1:35" s="1772" customFormat="1" ht="16.5" hidden="1" customHeight="1">
      <c r="A69" s="1811"/>
      <c r="B69" s="1812"/>
      <c r="C69" s="1813"/>
      <c r="D69" s="1814"/>
      <c r="E69" s="1815"/>
      <c r="F69" s="1578"/>
      <c r="G69" s="1578"/>
      <c r="H69" s="1577"/>
      <c r="I69" s="1747"/>
      <c r="J69" s="3646"/>
      <c r="K69" s="1332" t="s">
        <v>1392</v>
      </c>
      <c r="L69" s="1332"/>
      <c r="M69" s="302">
        <f ca="1">ROUND(SUM(M63:M68),0)</f>
        <v>846</v>
      </c>
      <c r="N69" s="2537">
        <f ca="1">M69/M49</f>
        <v>1.6232707178080088E-2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8" t="s">
        <v>1393</v>
      </c>
      <c r="B70" s="3609"/>
      <c r="C70" s="3609"/>
      <c r="D70" s="3609"/>
      <c r="E70" s="3609"/>
      <c r="F70" s="3609"/>
      <c r="G70" s="3609"/>
      <c r="H70" s="3609"/>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7" t="s">
        <v>1374</v>
      </c>
      <c r="B71" s="3588"/>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49635</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298</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582" t="s">
        <v>1401</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298</v>
      </c>
      <c r="D78" s="2569">
        <f>'数据-取费表'!B43</f>
        <v>6.000000000000001E-3</v>
      </c>
      <c r="E78" s="3566" t="s">
        <v>1405</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49337</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165.56040268456377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29498</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8" t="s">
        <v>1409</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7" t="s">
        <v>1374</v>
      </c>
      <c r="B84" s="3588"/>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49635</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298</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648" t="s">
        <v>2128</v>
      </c>
      <c r="H90" s="3649"/>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566" t="s">
        <v>1418</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566" t="s">
        <v>1421</v>
      </c>
      <c r="F92" s="3567"/>
      <c r="G92" s="3567"/>
      <c r="H92" s="3576"/>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298</v>
      </c>
      <c r="D93" s="2569">
        <f>'数据-取费表'!B43</f>
        <v>6.000000000000001E-3</v>
      </c>
      <c r="E93" s="3566" t="s">
        <v>1405</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577" t="s">
        <v>1425</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49337</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165.56040268456377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29498</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0" t="s">
        <v>1427</v>
      </c>
      <c r="B100" s="3551"/>
      <c r="C100" s="3551"/>
      <c r="D100" s="3568"/>
      <c r="E100" s="3551" t="s">
        <v>1428</v>
      </c>
      <c r="F100" s="3551"/>
      <c r="G100" s="3551"/>
      <c r="H100" s="3568"/>
      <c r="I100" s="129"/>
    </row>
    <row r="101" spans="1:35" ht="18.75" customHeight="1">
      <c r="A101" s="3629" t="s">
        <v>1429</v>
      </c>
      <c r="B101" s="3630"/>
      <c r="C101" s="2577" t="str">
        <f>C4</f>
        <v>成本法</v>
      </c>
      <c r="D101" s="2578" t="str">
        <f>D4</f>
        <v>收益法</v>
      </c>
      <c r="E101" s="3643" t="s">
        <v>1430</v>
      </c>
      <c r="F101" s="3600"/>
      <c r="G101" s="1827" t="s">
        <v>1431</v>
      </c>
      <c r="H101" s="2587">
        <f ca="1">H118</f>
        <v>52117</v>
      </c>
      <c r="I101" s="129"/>
    </row>
    <row r="102" spans="1:35" ht="18.75" customHeight="1">
      <c r="A102" s="3602" t="s">
        <v>1432</v>
      </c>
      <c r="B102" s="2576" t="s">
        <v>1431</v>
      </c>
      <c r="C102" s="2577">
        <f ca="1">IF(D32="楼面单价",ROUND(C19,0),C19)</f>
        <v>50631</v>
      </c>
      <c r="D102" s="2578">
        <f ca="1">IF(D32="楼面单价",ROUND(D19,0),D19)</f>
        <v>52117</v>
      </c>
      <c r="E102" s="3643"/>
      <c r="F102" s="3600"/>
      <c r="G102" s="1827" t="s">
        <v>1433</v>
      </c>
      <c r="H102" s="2547">
        <f ca="1">I118</f>
        <v>18755</v>
      </c>
      <c r="I102" s="129"/>
    </row>
    <row r="103" spans="1:35" ht="42.75" customHeight="1">
      <c r="A103" s="3602"/>
      <c r="B103" s="2576" t="s">
        <v>1433</v>
      </c>
      <c r="C103" s="2579">
        <f ca="1">C20</f>
        <v>18220</v>
      </c>
      <c r="D103" s="2580">
        <f ca="1">D20</f>
        <v>18755</v>
      </c>
      <c r="E103" s="3637" t="s">
        <v>1434</v>
      </c>
      <c r="F103" s="3638"/>
      <c r="G103" s="1828" t="s">
        <v>1435</v>
      </c>
      <c r="H103" s="2587">
        <f>IF(D36="正常操作",H104+H105+H106,H105+H106)</f>
        <v>0</v>
      </c>
      <c r="I103" s="129"/>
    </row>
    <row r="104" spans="1:35" ht="18.75" customHeight="1">
      <c r="A104" s="3602" t="s">
        <v>1436</v>
      </c>
      <c r="B104" s="2581" t="s">
        <v>1431</v>
      </c>
      <c r="C104" s="2582">
        <f ca="1">H118</f>
        <v>52117</v>
      </c>
      <c r="D104" s="2583"/>
      <c r="E104" s="1674" t="s">
        <v>1437</v>
      </c>
      <c r="F104" s="1666"/>
      <c r="G104" s="1828" t="s">
        <v>1435</v>
      </c>
      <c r="H104" s="2588">
        <f>IF(D36="同一抵押权人同一抵押物续贷",C36&amp;"（续贷，未扣减，详见特别提示）",C36)</f>
        <v>0</v>
      </c>
      <c r="I104" s="129"/>
    </row>
    <row r="105" spans="1:35" ht="18.75" customHeight="1" thickBot="1">
      <c r="A105" s="3603"/>
      <c r="B105" s="2584" t="s">
        <v>1433</v>
      </c>
      <c r="C105" s="2585">
        <f ca="1">I118</f>
        <v>18755</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599" t="str">
        <f>IF(项目基本情况!E8="已注销","——","3.房地产抵押价值")</f>
        <v>3.房地产抵押价值</v>
      </c>
      <c r="F107" s="3600"/>
      <c r="G107" s="1827" t="s">
        <v>1431</v>
      </c>
      <c r="H107" s="2587">
        <f ca="1">IF(E107="——","——",H101-H103)</f>
        <v>52117</v>
      </c>
      <c r="I107" s="129"/>
    </row>
    <row r="108" spans="1:35" ht="18.75" customHeight="1">
      <c r="A108" s="129"/>
      <c r="B108" s="129"/>
      <c r="C108" s="129"/>
      <c r="D108" s="129"/>
      <c r="E108" s="3599"/>
      <c r="F108" s="3600"/>
      <c r="G108" s="1827" t="s">
        <v>1433</v>
      </c>
      <c r="H108" s="2547">
        <f ca="1">IF(H107=H101,H102,ROUND(H107*10000/'数据-汇总表'!E3,0))</f>
        <v>18755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1431</v>
      </c>
      <c r="H109" s="2590" t="str">
        <f>IF(E109="——","——",H101-H105-H106)</f>
        <v>——</v>
      </c>
      <c r="I109" s="129"/>
    </row>
    <row r="110" spans="1:35" ht="18.75" customHeight="1">
      <c r="A110" s="129"/>
      <c r="B110" s="129"/>
      <c r="C110" s="129"/>
      <c r="D110" s="129"/>
      <c r="E110" s="3599"/>
      <c r="F110" s="3600"/>
      <c r="G110" s="1827" t="s">
        <v>1433</v>
      </c>
      <c r="H110" s="2547"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1431</v>
      </c>
      <c r="H111" s="2587" t="str">
        <f>IF(E111="——","——",N59)</f>
        <v>——</v>
      </c>
      <c r="I111" s="129"/>
    </row>
    <row r="112" spans="1:35" ht="18.75" customHeight="1" thickBot="1">
      <c r="A112" s="129"/>
      <c r="B112" s="129"/>
      <c r="C112" s="129"/>
      <c r="D112" s="129"/>
      <c r="E112" s="3632"/>
      <c r="F112" s="3633"/>
      <c r="G112" s="1830" t="s">
        <v>1433</v>
      </c>
      <c r="H112" s="2591" t="str">
        <f>IF(E111="——","——",N61)</f>
        <v>——</v>
      </c>
      <c r="I112" s="129"/>
    </row>
    <row r="113" spans="1:27" ht="18.75" customHeight="1">
      <c r="A113" s="129"/>
      <c r="B113" s="129"/>
      <c r="C113" s="129"/>
      <c r="D113" s="129"/>
      <c r="E113" s="3604" t="s">
        <v>1439</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1441</v>
      </c>
      <c r="B115" s="3615"/>
      <c r="C115" s="3615"/>
      <c r="D115" s="3615"/>
      <c r="E115" s="3615"/>
      <c r="F115" s="3615"/>
      <c r="G115" s="3615"/>
      <c r="H115" s="3615"/>
      <c r="I115" s="3616"/>
    </row>
    <row r="116" spans="1:27" ht="27" customHeight="1">
      <c r="A116" s="3570" t="s">
        <v>1442</v>
      </c>
      <c r="B116" s="3605" t="s">
        <v>1443</v>
      </c>
      <c r="C116" s="3605" t="s">
        <v>1444</v>
      </c>
      <c r="D116" s="3618" t="s">
        <v>1445</v>
      </c>
      <c r="E116" s="3619"/>
      <c r="F116" s="3613" t="s">
        <v>1446</v>
      </c>
      <c r="G116" s="3613"/>
      <c r="H116" s="3570" t="s">
        <v>1447</v>
      </c>
      <c r="I116" s="3570"/>
    </row>
    <row r="117" spans="1:27" ht="18.75" customHeight="1">
      <c r="A117" s="3570"/>
      <c r="B117" s="3606"/>
      <c r="C117" s="3606"/>
      <c r="D117" s="2327" t="s">
        <v>1448</v>
      </c>
      <c r="E117" s="2327" t="s">
        <v>1449</v>
      </c>
      <c r="F117" s="2327" t="s">
        <v>1448</v>
      </c>
      <c r="G117" s="2327" t="s">
        <v>1450</v>
      </c>
      <c r="H117" s="2327" t="s">
        <v>1448</v>
      </c>
      <c r="I117" s="2327" t="s">
        <v>1450</v>
      </c>
    </row>
    <row r="118" spans="1:27" ht="24.75" customHeight="1">
      <c r="A118" s="2592" t="str">
        <f>项目基本情况!S2</f>
        <v>北京市丰台区周庄子路1号院1号楼-3至6层101房地产</v>
      </c>
      <c r="B118" s="2327">
        <f>M18</f>
        <v>27788.400000000001</v>
      </c>
      <c r="C118" s="2327">
        <f>M19</f>
        <v>9100.1</v>
      </c>
      <c r="D118" s="2327">
        <f ca="1">ROUND(IF(D32="总价",C34,E118*B118/10000),0)</f>
        <v>33303</v>
      </c>
      <c r="E118" s="2327">
        <f ca="1">ROUND(IF(C33="自定义",IF(D32="楼面单价",C34,D118*10000/B118),I118-G118),0)</f>
        <v>11985</v>
      </c>
      <c r="F118" s="2327">
        <f ca="1">ROUND(IF(D32="总价",C35,G118*B118/10000),0)</f>
        <v>18814</v>
      </c>
      <c r="G118" s="2327">
        <f ca="1">ROUND(IF(D32="楼面单价",C35,F118*10000/B118),0)</f>
        <v>6770</v>
      </c>
      <c r="H118" s="2327">
        <f ca="1">ROUND(IF(D32="总价",C32,I118*B118/10000),0)</f>
        <v>52117</v>
      </c>
      <c r="I118" s="2327">
        <f ca="1">ROUND(IF(D32="楼面单价",C32,H118*10000/B118),0)</f>
        <v>18755</v>
      </c>
    </row>
    <row r="119" spans="1:27" ht="18.75" customHeight="1">
      <c r="A119" s="3570" t="s">
        <v>1451</v>
      </c>
      <c r="B119" s="3570"/>
      <c r="C119" s="3570"/>
      <c r="D119" s="3610" t="str">
        <f ca="1">NUMBERSTRING(INT(D118*10000),2)&amp;"元整"</f>
        <v>叁亿叁仟叁佰零叁万元整</v>
      </c>
      <c r="E119" s="3612"/>
      <c r="F119" s="3610" t="str">
        <f ca="1">NUMBERSTRING(INT(F118*10000),2)&amp;"元整"</f>
        <v>壹亿捌仟捌佰壹拾肆万元整</v>
      </c>
      <c r="G119" s="3612"/>
      <c r="H119" s="3610" t="str">
        <f ca="1">NUMBERSTRING(INT(H118*10000),2)&amp;"元整"</f>
        <v>伍亿贰仟壹佰壹拾柒万元整</v>
      </c>
      <c r="I119" s="3612"/>
    </row>
    <row r="120" spans="1:27" ht="18.75" customHeight="1">
      <c r="A120" s="3634" t="str">
        <f>IF(项目基本情况!B9="房地产市场价值","",MID(E103,3,LEN(E103)-2))</f>
        <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0" t="s">
        <v>1451</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
      </c>
      <c r="B122" s="3601"/>
      <c r="C122" s="3601"/>
      <c r="D122" s="3634">
        <f ca="1">H107</f>
        <v>52117</v>
      </c>
      <c r="E122" s="3635"/>
      <c r="F122" s="3635"/>
      <c r="G122" s="3635"/>
      <c r="H122" s="3635"/>
      <c r="I122" s="3636"/>
      <c r="AA122" s="725"/>
    </row>
    <row r="123" spans="1:27" ht="18.75" customHeight="1">
      <c r="A123" s="3570" t="s">
        <v>1451</v>
      </c>
      <c r="B123" s="3570"/>
      <c r="C123" s="3570"/>
      <c r="D123" s="3610" t="str">
        <f ca="1">NUMBERSTRING(INT(D122*10000),2)&amp;"元整"</f>
        <v>伍亿贰仟壹佰壹拾柒万元整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1451</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1451</v>
      </c>
      <c r="B127" s="3570"/>
      <c r="C127" s="3570"/>
      <c r="D127" s="3610" t="e">
        <f>NUMBERSTRING(INT(D126*10000),2)&amp;"元整"</f>
        <v>#VALUE!</v>
      </c>
      <c r="E127" s="3611"/>
      <c r="F127" s="3611"/>
      <c r="G127" s="3611"/>
      <c r="H127" s="3611"/>
      <c r="I127" s="3612"/>
      <c r="AA127" s="725"/>
    </row>
    <row r="128" spans="1:27" ht="21.75" customHeight="1">
      <c r="A128" s="3617" t="s">
        <v>1452</v>
      </c>
      <c r="B128" s="3617"/>
      <c r="C128" s="3617"/>
      <c r="D128" s="3617"/>
      <c r="E128" s="3617"/>
      <c r="F128" s="3617"/>
      <c r="G128" s="3617"/>
      <c r="H128" s="3617"/>
      <c r="I128" s="361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M59" sqref="M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50631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18220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24011</v>
      </c>
      <c r="D5" s="211" t="s">
        <v>1468</v>
      </c>
      <c r="E5" s="212" t="s">
        <v>1469</v>
      </c>
      <c r="F5" s="212" t="s">
        <v>1470</v>
      </c>
      <c r="G5" s="213"/>
    </row>
    <row r="6" spans="1:9" s="214" customFormat="1" ht="13.5" customHeight="1">
      <c r="A6" s="778" t="s">
        <v>1471</v>
      </c>
      <c r="B6" s="215" t="s">
        <v>1472</v>
      </c>
      <c r="C6" s="216">
        <f>基准地价修正!B2</f>
        <v>22761</v>
      </c>
      <c r="D6" s="217"/>
      <c r="E6" s="218"/>
      <c r="F6" s="218"/>
      <c r="G6" s="219"/>
    </row>
    <row r="7" spans="1:9" s="214" customFormat="1" ht="13.5" customHeight="1">
      <c r="A7" s="778" t="s">
        <v>1473</v>
      </c>
      <c r="B7" s="215" t="s">
        <v>1474</v>
      </c>
      <c r="C7" s="220">
        <f>ROUND(C6*F7,0)</f>
        <v>694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556</v>
      </c>
      <c r="D8" s="222"/>
      <c r="E8" s="220"/>
      <c r="F8" s="221"/>
      <c r="G8" s="1856" t="s">
        <v>3397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556</v>
      </c>
      <c r="D10" s="845">
        <f ca="1">IF(B1="",'数据-汇总表'!E6,IF(INDIRECT("'数据-取费表'!c"&amp;$G$1)="住宅",INDIRECT("'数据-取费表'!s"&amp;$G$1),INDIRECT("'数据-取费表'!k"&amp;$G$1)+INDIRECT("'数据-取费表'!s"&amp;$G$1)))</f>
        <v>27788.400000000001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27788.400000000001</v>
      </c>
      <c r="E19" s="211">
        <f>'数据-取费表'!B31</f>
        <v>180</v>
      </c>
      <c r="F19" s="231"/>
      <c r="G19" s="1856" t="s">
        <v>3398</v>
      </c>
    </row>
    <row r="20" spans="1:7" s="214" customFormat="1" ht="13.5" customHeight="1">
      <c r="A20" s="255" t="s">
        <v>1492</v>
      </c>
      <c r="B20" s="210" t="s">
        <v>1493</v>
      </c>
      <c r="C20" s="232">
        <f ca="1">ROUND((C5+C19)*F20,0)</f>
        <v>480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1702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1685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17</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3674</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3674</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32359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14244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13232</v>
      </c>
      <c r="D34" s="217"/>
      <c r="E34" s="220"/>
      <c r="F34" s="257">
        <f ca="1">IF('数据-取费表'!B24=0,1,IF(B1="",'数据-取费表'!N16,INDIRECT("'数据-取费表'!n"&amp;$G$1)))</f>
        <v>1</v>
      </c>
      <c r="G34" s="219" t="s">
        <v>1525</v>
      </c>
    </row>
    <row r="35" spans="1:7" ht="13.5" customHeight="1">
      <c r="A35" s="780" t="s">
        <v>351</v>
      </c>
      <c r="B35" s="215" t="s">
        <v>1526</v>
      </c>
      <c r="C35" s="220">
        <f ca="1">ROUND(C34*F35,0)</f>
        <v>397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417</v>
      </c>
      <c r="D37" s="217">
        <f ca="1">D19</f>
        <v>27788.400000000001</v>
      </c>
      <c r="E37" s="249">
        <f>'数据-取费表'!B35</f>
        <v>150</v>
      </c>
      <c r="F37" s="259"/>
      <c r="G37" s="261" t="s">
        <v>1531</v>
      </c>
    </row>
    <row r="38" spans="1:7" ht="13.5" customHeight="1">
      <c r="A38" s="780" t="s">
        <v>354</v>
      </c>
      <c r="B38" s="215" t="s">
        <v>1532</v>
      </c>
      <c r="C38" s="220">
        <f ca="1">ROUND(C34*F38,0)</f>
        <v>198</v>
      </c>
      <c r="D38" s="220"/>
      <c r="E38" s="220"/>
      <c r="F38" s="259">
        <f>'数据-取费表'!B36</f>
        <v>1.4999999999999999E-2</v>
      </c>
      <c r="G38" s="219" t="s">
        <v>1527</v>
      </c>
    </row>
    <row r="39" spans="1:7" s="214" customFormat="1" ht="13.5" customHeight="1">
      <c r="A39" s="255" t="s">
        <v>1533</v>
      </c>
      <c r="B39" s="210" t="s">
        <v>1534</v>
      </c>
      <c r="C39" s="232">
        <f ca="1">ROUND(C33*F20,0)</f>
        <v>285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501</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491</v>
      </c>
      <c r="D42" s="238"/>
      <c r="E42" s="238"/>
      <c r="F42" s="239"/>
      <c r="G42" s="3650" t="s">
        <v>1543</v>
      </c>
    </row>
    <row r="43" spans="1:7" ht="13.5" customHeight="1">
      <c r="A43" s="780" t="s">
        <v>347</v>
      </c>
      <c r="B43" s="215" t="s">
        <v>1544</v>
      </c>
      <c r="C43" s="238">
        <f ca="1">ROUND(IF('数据-取费表'!B22&lt;=1,C39*F22*'数据-取费表'!B21/2,C39*(POWER((1+F22),'数据-取费表'!B21/2)-1)),0)</f>
        <v>10</v>
      </c>
      <c r="D43" s="238"/>
      <c r="E43" s="238"/>
      <c r="F43" s="239"/>
      <c r="G43" s="3651"/>
    </row>
    <row r="44" spans="1:7" ht="13.5" customHeight="1">
      <c r="A44" s="780" t="s">
        <v>348</v>
      </c>
      <c r="B44" s="215" t="s">
        <v>1545</v>
      </c>
      <c r="C44" s="238">
        <f ca="1">ROUND(IF('数据-取费表'!B22&lt;=1,C40*F22*'数据-取费表'!B21/2,C40*(POWER((1+F22),'数据-取费表'!B21/2)-1)),4)</f>
        <v>6.9999999999999999E-4</v>
      </c>
      <c r="D44" s="238"/>
      <c r="E44" s="238"/>
      <c r="F44" s="239"/>
      <c r="G44" s="3652"/>
    </row>
    <row r="45" spans="1:7" s="214" customFormat="1" ht="13.5" customHeight="1">
      <c r="A45" s="255" t="s">
        <v>1546</v>
      </c>
      <c r="B45" s="244" t="s">
        <v>1512</v>
      </c>
      <c r="C45" s="245">
        <f ca="1">C46</f>
        <v>2179</v>
      </c>
      <c r="D45" s="235">
        <f ca="1">C47</f>
        <v>3.0000000000000001E-3</v>
      </c>
      <c r="E45" s="236" t="s">
        <v>1538</v>
      </c>
      <c r="F45" s="246">
        <f ca="1">F27</f>
        <v>0.15</v>
      </c>
      <c r="G45" s="247" t="s">
        <v>1547</v>
      </c>
    </row>
    <row r="46" spans="1:7" s="214" customFormat="1" ht="13.5" customHeight="1">
      <c r="A46" s="780" t="s">
        <v>346</v>
      </c>
      <c r="B46" s="248" t="s">
        <v>1548</v>
      </c>
      <c r="C46" s="249">
        <f ca="1">ROUND((C33+C39)*F27,0)</f>
        <v>2179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18645</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18272</v>
      </c>
      <c r="D51" s="232"/>
      <c r="E51" s="232"/>
      <c r="F51" s="264"/>
      <c r="G51" s="234" t="s">
        <v>1559</v>
      </c>
    </row>
    <row r="52" spans="1:7" s="208" customFormat="1" ht="16.5" thickBot="1">
      <c r="A52" s="265" t="s">
        <v>1560</v>
      </c>
      <c r="B52" s="266"/>
      <c r="C52" s="267">
        <f ca="1">C31+C51</f>
        <v>50631</v>
      </c>
      <c r="D52" s="266"/>
      <c r="E52" s="266"/>
      <c r="F52" s="266"/>
      <c r="G52" s="268"/>
    </row>
    <row r="55" spans="1:7" ht="15">
      <c r="B55" s="270" t="s">
        <v>1561</v>
      </c>
      <c r="C55" s="271"/>
    </row>
    <row r="56" spans="1:7">
      <c r="B56" s="273" t="s">
        <v>802</v>
      </c>
      <c r="C56" s="275">
        <f ca="1">1-C57</f>
        <v>0.63900000000000001</v>
      </c>
    </row>
    <row r="57" spans="1:7">
      <c r="B57" s="273" t="s">
        <v>803</v>
      </c>
      <c r="C57" s="274">
        <f ca="1">ROUND(C51/C52,3)</f>
        <v>0.36099999999999999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北京市丰台区周庄子路1号院1号楼-3至6层101房地产市场价值预评估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52" sqref="J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19021.071499999998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6845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5557680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5557680</v>
      </c>
      <c r="D8" s="222"/>
      <c r="E8" s="220"/>
      <c r="F8" s="221"/>
      <c r="G8" s="1856" t="s">
        <v>3397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5557680</v>
      </c>
      <c r="D10" s="845">
        <f ca="1">IF(B1="",'数据-汇总表'!E6,IF(INDIRECT("'数据-取费表'!c"&amp;$G$1)="住宅",INDIRECT("'数据-取费表'!s"&amp;$G$1),INDIRECT("'数据-取费表'!k"&amp;$G$1)+INDIRECT("'数据-取费表'!s"&amp;$G$1)))</f>
        <v>27788.400000000001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27788.400000000001</v>
      </c>
      <c r="E19" s="211">
        <f>'数据-取费表'!B31</f>
        <v>180</v>
      </c>
      <c r="F19" s="231"/>
      <c r="G19" s="1856" t="s">
        <v>3398</v>
      </c>
    </row>
    <row r="20" spans="1:7" s="214" customFormat="1" ht="13.5" customHeight="1">
      <c r="A20" s="255" t="s">
        <v>1573</v>
      </c>
      <c r="B20" s="210" t="s">
        <v>1574</v>
      </c>
      <c r="C20" s="232">
        <f ca="1">ROUND((C5+C19)*F20,0)</f>
        <v>111154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393930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390095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3835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850325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850325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7489804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142438910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132316412</v>
      </c>
      <c r="D34" s="217"/>
      <c r="E34" s="220"/>
      <c r="F34" s="257"/>
      <c r="G34" s="219"/>
    </row>
    <row r="35" spans="1:7" ht="13.5" customHeight="1">
      <c r="A35" s="780" t="s">
        <v>351</v>
      </c>
      <c r="B35" s="215" t="s">
        <v>1526</v>
      </c>
      <c r="C35" s="220">
        <f ca="1">ROUND(C34*F35,0)</f>
        <v>3969492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4168260</v>
      </c>
      <c r="D37" s="217">
        <f ca="1">D19</f>
        <v>27788.400000000001</v>
      </c>
      <c r="E37" s="249">
        <f>'数据-取费表'!B35</f>
        <v>150</v>
      </c>
      <c r="F37" s="259"/>
      <c r="G37" s="261"/>
    </row>
    <row r="38" spans="1:7" ht="13.5" customHeight="1">
      <c r="A38" s="780" t="s">
        <v>354</v>
      </c>
      <c r="B38" s="215" t="s">
        <v>1532</v>
      </c>
      <c r="C38" s="220">
        <f ca="1">ROUND(C34*F38,0)</f>
        <v>1984746</v>
      </c>
      <c r="D38" s="220"/>
      <c r="E38" s="220"/>
      <c r="F38" s="259">
        <f>'数据-取费表'!B36</f>
        <v>1.4999999999999999E-2</v>
      </c>
      <c r="G38" s="219" t="s">
        <v>1527</v>
      </c>
    </row>
    <row r="39" spans="1:7" s="214" customFormat="1" ht="13.5" customHeight="1">
      <c r="A39" s="255" t="s">
        <v>1533</v>
      </c>
      <c r="B39" s="210" t="s">
        <v>1534</v>
      </c>
      <c r="C39" s="232">
        <f ca="1">ROUND(C33*F20,0)</f>
        <v>2848778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5012425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4914142</v>
      </c>
      <c r="D42" s="238"/>
      <c r="E42" s="238"/>
      <c r="F42" s="239"/>
      <c r="G42" s="3650" t="s">
        <v>1590</v>
      </c>
    </row>
    <row r="43" spans="1:7" ht="13.5" customHeight="1">
      <c r="A43" s="780" t="s">
        <v>347</v>
      </c>
      <c r="B43" s="215" t="s">
        <v>1544</v>
      </c>
      <c r="C43" s="238">
        <f ca="1">ROUND(IF('数据-取费表'!B22&lt;=1,C39*F22*'数据-取费表'!B20/2,C39*(POWER((1+F22),'数据-取费表'!B20/2)-1)),0)</f>
        <v>98283</v>
      </c>
      <c r="D43" s="238"/>
      <c r="E43" s="238"/>
      <c r="F43" s="239"/>
      <c r="G43" s="3651"/>
    </row>
    <row r="44" spans="1:7" ht="13.5" customHeight="1">
      <c r="A44" s="780" t="s">
        <v>348</v>
      </c>
      <c r="B44" s="215" t="s">
        <v>1545</v>
      </c>
      <c r="C44" s="238">
        <f ca="1">ROUND(IF('数据-取费表'!B22&lt;=1,C40*F22*'数据-取费表'!B20/2,C40*(POWER((1+F22),'数据-取费表'!B20/2)-1)),4)</f>
        <v>6.9999999999999999E-4</v>
      </c>
      <c r="D44" s="238"/>
      <c r="E44" s="238"/>
      <c r="F44" s="239"/>
      <c r="G44" s="3652"/>
    </row>
    <row r="45" spans="1:7" s="214" customFormat="1" ht="13.5" customHeight="1">
      <c r="A45" s="255" t="s">
        <v>1546</v>
      </c>
      <c r="B45" s="244" t="s">
        <v>1512</v>
      </c>
      <c r="C45" s="245">
        <f ca="1">C46</f>
        <v>21793153</v>
      </c>
      <c r="D45" s="235">
        <f ca="1">C47</f>
        <v>3.0000000000000001E-3</v>
      </c>
      <c r="E45" s="236" t="s">
        <v>1538</v>
      </c>
      <c r="F45" s="246">
        <f ca="1">F27</f>
        <v>0.15</v>
      </c>
      <c r="G45" s="247" t="s">
        <v>1547</v>
      </c>
    </row>
    <row r="46" spans="1:7" s="214" customFormat="1" ht="13.5" customHeight="1">
      <c r="A46" s="780" t="s">
        <v>346</v>
      </c>
      <c r="B46" s="248" t="s">
        <v>1548</v>
      </c>
      <c r="C46" s="249">
        <f ca="1">ROUND((C33+C39)*F27,0)</f>
        <v>21793153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186449909</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182720911</v>
      </c>
      <c r="D51" s="232"/>
      <c r="E51" s="232"/>
      <c r="F51" s="264"/>
      <c r="G51" s="234" t="s">
        <v>1559</v>
      </c>
    </row>
    <row r="52" spans="1:7" s="208" customFormat="1" ht="16.5" thickBot="1">
      <c r="A52" s="265" t="s">
        <v>1560</v>
      </c>
      <c r="B52" s="266"/>
      <c r="C52" s="267">
        <f ca="1">C31+C51</f>
        <v>190210715</v>
      </c>
      <c r="D52" s="266"/>
      <c r="E52" s="266"/>
      <c r="F52" s="266"/>
      <c r="G52" s="268"/>
    </row>
    <row r="55" spans="1:7" ht="15">
      <c r="B55" s="270" t="s">
        <v>1561</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27788.400000000001</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27788.400000000001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556</v>
      </c>
      <c r="D20" s="846">
        <f ca="1">IF(C1="",'数据-汇总表'!E6,IF(INDIRECT("'数据-取费表'!c"&amp;$K$1)="住宅",INDIRECT("'数据-取费表'!s"&amp;$K$1),INDIRECT("'数据-取费表'!k"&amp;$K$1)+INDIRECT("'数据-取费表'!s"&amp;$K$1)))</f>
        <v>27788.400000000001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D41" sqref="D4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27788.400000000005</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22761</v>
      </c>
      <c r="C2" s="1997" t="s">
        <v>1934</v>
      </c>
      <c r="D2" s="1998" t="s">
        <v>1935</v>
      </c>
      <c r="E2" s="3414" t="s">
        <v>3505</v>
      </c>
      <c r="F2" s="1998" t="s">
        <v>1936</v>
      </c>
      <c r="G2" s="1999" t="str">
        <f>IF(E2="商业",项目基本情况!B37,IF(E2="办公",项目基本情况!C37,IF(E2="住宅",项目基本情况!D37,IF(E2="工业",项目基本情况!E37,项目基本情况!F37))))</f>
        <v>四级</v>
      </c>
      <c r="H2" s="1998" t="s">
        <v>1937</v>
      </c>
      <c r="I2" s="1999" t="str">
        <f>IF(E2="商业",项目基本情况!B38,IF(E2="办公",项目基本情况!C38,IF(E2="住宅",项目基本情况!D38,IF(E2="工业",项目基本情况!E38,项目基本情况!F38))))</f>
        <v>Ⅳ-09</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17495</v>
      </c>
      <c r="U2" s="1213"/>
      <c r="V2" s="335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8191</v>
      </c>
      <c r="C3" s="1997" t="s">
        <v>1940</v>
      </c>
      <c r="D3" s="1998" t="s">
        <v>1941</v>
      </c>
      <c r="E3" s="3412" t="s">
        <v>2444</v>
      </c>
      <c r="F3" s="2002" t="s">
        <v>3507</v>
      </c>
      <c r="G3" s="752">
        <f>IF(F3="宗地容积率",'数据-汇总表'!I4,IF(F3="估价对象容积率",'数据-汇总表'!I6,'数据-汇总表'!I7))</f>
        <v>1.92</v>
      </c>
      <c r="H3" s="170" t="s">
        <v>1942</v>
      </c>
      <c r="I3" s="775"/>
      <c r="J3" s="2000" t="s">
        <v>1943</v>
      </c>
      <c r="K3" s="1119"/>
      <c r="L3" s="2001"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13789</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0"/>
      <c r="B4" s="3661"/>
      <c r="C4" s="3661"/>
      <c r="D4" s="3662"/>
      <c r="E4" s="3662"/>
      <c r="F4" s="3662"/>
      <c r="G4" s="3662"/>
      <c r="H4" s="3662"/>
      <c r="I4" s="3662"/>
      <c r="J4" s="3663"/>
      <c r="K4" s="1119"/>
      <c r="L4" s="2001" t="s">
        <v>1945</v>
      </c>
      <c r="M4" s="864">
        <f>SUMPRODUCT((区片价!B55:B86=I2)*(区片价!C3:G3=E2)*(区片价!C55:G86))</f>
        <v>11420</v>
      </c>
      <c r="N4" s="866">
        <f>SUMPRODUCT((因素修正幅度!B55:B86=I2)*(因素修正幅度!C3:G3=E2)*(因素修正幅度!C55:G86))</f>
        <v>9.7000000000000003E-2</v>
      </c>
      <c r="O4" s="1119"/>
      <c r="P4" s="1119"/>
      <c r="Q4" s="1119"/>
      <c r="R4" s="1212">
        <v>3</v>
      </c>
      <c r="S4" s="3353">
        <f>ROUND(SUMPRODUCT((B106:B110=R4)*(C105:N105=G2)*(C106:N110)),4)</f>
        <v>1.0004999999999999</v>
      </c>
      <c r="T4" s="3353">
        <f t="shared" si="0"/>
        <v>11654</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11400</v>
      </c>
      <c r="D5" s="1339">
        <f>ROUND(C6*C17+C20,0)</f>
        <v>11400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10278</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11420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9878</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1.92</v>
      </c>
      <c r="AA7" s="1216"/>
      <c r="AB7" s="1216"/>
      <c r="AC7" s="1217"/>
      <c r="AD7" s="1218"/>
      <c r="AE7" s="1218"/>
      <c r="AF7" s="1218"/>
      <c r="AG7" s="1218"/>
      <c r="AH7" s="1218"/>
      <c r="AI7" s="1218"/>
      <c r="AJ7" s="1219"/>
    </row>
    <row r="8" spans="1:36" ht="25.5">
      <c r="A8" s="3291"/>
      <c r="B8" s="170" t="s">
        <v>1956</v>
      </c>
      <c r="C8" s="2024" t="s">
        <v>3405</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57" t="s">
        <v>1959</v>
      </c>
      <c r="X8" s="365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659"/>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5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1981</v>
      </c>
      <c r="C13" s="755">
        <f>ROUND(C16*D16*E16*F16*G16*H16*I16*J16,4)</f>
        <v>0</v>
      </c>
      <c r="D13" s="2033" t="s">
        <v>1982</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1984</v>
      </c>
      <c r="C14" s="2039" t="s">
        <v>1985</v>
      </c>
      <c r="D14" s="1350" t="s">
        <v>1986</v>
      </c>
      <c r="E14" s="27" t="s">
        <v>1987</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64" t="s">
        <v>3248</v>
      </c>
      <c r="B20" s="167" t="s">
        <v>1993</v>
      </c>
      <c r="C20" s="3317">
        <f>ROUND(IF(F21="与级别开发程度一致",0,(G21-E21)/C21),0)</f>
        <v>-20</v>
      </c>
      <c r="D20" s="3333" t="s">
        <v>1997</v>
      </c>
      <c r="E20" s="3334"/>
      <c r="F20" s="3670" t="s">
        <v>1994</v>
      </c>
      <c r="G20" s="3671"/>
      <c r="H20" s="3318" t="s">
        <v>3376</v>
      </c>
      <c r="I20" s="3318" t="s">
        <v>3377</v>
      </c>
      <c r="J20" s="3319" t="s">
        <v>3378</v>
      </c>
      <c r="K20" s="2045" t="s">
        <v>3379</v>
      </c>
      <c r="L20" s="2045" t="s">
        <v>3380</v>
      </c>
      <c r="M20" s="2045" t="s">
        <v>3381</v>
      </c>
      <c r="N20" s="2045" t="s">
        <v>3503</v>
      </c>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65"/>
      <c r="B21" s="2162" t="s">
        <v>1996</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3406</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1999</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2001</v>
      </c>
      <c r="E23" s="761">
        <v>44197</v>
      </c>
      <c r="F23" s="2052" t="s">
        <v>2002</v>
      </c>
      <c r="G23" s="762">
        <f>'数据-取费表'!B2</f>
        <v>45225</v>
      </c>
      <c r="H23" s="3335" t="s">
        <v>3250</v>
      </c>
      <c r="I23" s="3336" t="str">
        <f>IF(H23="季度增幅（自定义）",SUMIF(N25:N28,E2,O25:O28),"")</f>
        <v/>
      </c>
      <c r="J23" s="3438" t="s">
        <v>3249</v>
      </c>
      <c r="K23" s="1125"/>
      <c r="L23" s="2053" t="s">
        <v>2003</v>
      </c>
      <c r="M23" s="1328">
        <f>ROUND(SUMIF(地价!B2:G2,E2,地价!B16:G16),0)</f>
        <v>0</v>
      </c>
      <c r="N23" s="2054" t="s">
        <v>2004</v>
      </c>
      <c r="O23" s="763">
        <f>ROUNDDOWN(DATEDIF(E23,G23,"M")/3,0)</f>
        <v>11</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0.96250000000000002</v>
      </c>
      <c r="D24" s="2058" t="s">
        <v>2006</v>
      </c>
      <c r="E24" s="1335">
        <f>存贷款利率!E24/100</f>
        <v>4.3499999999999997E-2</v>
      </c>
      <c r="F24" s="2058" t="s">
        <v>1998</v>
      </c>
      <c r="G24" s="768">
        <f>SUMIF(M30:Q30,E2,M33:Q33)</f>
        <v>0.05</v>
      </c>
      <c r="H24" s="2058" t="s">
        <v>2007</v>
      </c>
      <c r="I24" s="769">
        <f>SUMIF('数据-取费表'!C6:C15,E2,'数据-取费表'!F6:F15)/COUNTIF('数据-取费表'!C6:C15,E2)</f>
        <v>43.21</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1.0094000000000001</v>
      </c>
      <c r="D25" s="2065"/>
      <c r="E25" s="2065"/>
      <c r="F25" s="2065"/>
      <c r="G25" s="2065"/>
      <c r="H25" s="2065"/>
      <c r="I25" s="2065"/>
      <c r="J25" s="2066"/>
      <c r="K25" s="1125"/>
      <c r="L25" s="2780"/>
      <c r="M25" s="2780"/>
      <c r="N25" s="2067"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7" t="s">
        <v>3251</v>
      </c>
      <c r="D26" s="1352">
        <f>IF(E26=G26,F26,IF(G3&lt;10,ROUND(F26+(H26-F26)*(G3-E26)/(G26-E26),4),"——"))</f>
        <v>1.0094000000000001</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3252</v>
      </c>
      <c r="J26" s="772" t="str">
        <f>IF(G3&gt;=10,D115,"——")</f>
        <v>——</v>
      </c>
      <c r="K26" s="1125"/>
      <c r="L26" s="2780"/>
      <c r="M26" s="2780"/>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1.0356000000000001</v>
      </c>
      <c r="D28" s="2050"/>
      <c r="E28" s="2075"/>
      <c r="F28" s="2075"/>
      <c r="G28" s="2075"/>
      <c r="H28" s="2075"/>
      <c r="I28" s="2075"/>
      <c r="J28" s="2076"/>
      <c r="K28" s="1125"/>
      <c r="L28" s="2780"/>
      <c r="M28" s="2780"/>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22761</v>
      </c>
      <c r="D30" s="2081"/>
      <c r="E30" s="2044"/>
      <c r="F30" s="2082"/>
      <c r="G30" s="2044"/>
      <c r="H30" s="2044"/>
      <c r="I30" s="2044"/>
      <c r="J30" s="2083"/>
      <c r="K30" s="1119"/>
      <c r="L30" s="3343" t="s">
        <v>1935</v>
      </c>
      <c r="M30" s="3344" t="s">
        <v>1989</v>
      </c>
      <c r="N30" s="3344" t="s">
        <v>1990</v>
      </c>
      <c r="O30" s="3344" t="s">
        <v>1991</v>
      </c>
      <c r="P30" s="3344" t="s">
        <v>1992</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560</v>
      </c>
      <c r="D31" s="2085"/>
      <c r="E31" s="2086"/>
      <c r="F31" s="2087"/>
      <c r="G31" s="2086"/>
      <c r="H31" s="2086"/>
      <c r="I31" s="2086"/>
      <c r="J31" s="2088"/>
      <c r="K31" s="1119"/>
      <c r="L31" s="3345" t="s">
        <v>1995</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11758</v>
      </c>
      <c r="D33" s="2096">
        <f>'数据-汇总表'!F31</f>
        <v>17455.550000000003</v>
      </c>
      <c r="E33" s="773">
        <f>ROUND(C33*D33/10000,0)</f>
        <v>20524</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2940</v>
      </c>
      <c r="D34" s="2101"/>
      <c r="E34" s="773">
        <f>ROUND(IF(B25="楼层修正",SUM(V2:V16)*M40,C34*D34/10000),0)</f>
        <v>0</v>
      </c>
      <c r="F34" s="2102" t="s">
        <v>2031</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39" t="s">
        <v>3255</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68"/>
      <c r="B37" s="2111" t="s">
        <v>2035</v>
      </c>
      <c r="C37" s="175">
        <f>ROUND(D5*C22*C23*C24*C28*F37,0)</f>
        <v>6989</v>
      </c>
      <c r="D37" s="2096"/>
      <c r="E37" s="171">
        <f>ROUND(C37*D37/10000,0)</f>
        <v>0</v>
      </c>
      <c r="F37" s="171">
        <f>SUMIF(修正!A57:A68,G2,修正!B57:B68)</f>
        <v>0.6</v>
      </c>
      <c r="G37" s="171">
        <f>ROUND(IF(E2="工业",C37*$M$42,C37*$M$41),0)</f>
        <v>1747</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69"/>
      <c r="B38" s="2039" t="s">
        <v>2036</v>
      </c>
      <c r="C38" s="175">
        <f>ROUND(D5*C22*C23*C24*C28*F38,0)</f>
        <v>3495</v>
      </c>
      <c r="D38" s="2096"/>
      <c r="E38" s="171">
        <f t="shared" ref="E38:E42" si="4">ROUND(C38*D38/10000,0)</f>
        <v>0</v>
      </c>
      <c r="F38" s="171">
        <f>SUMIF(修正!A57:A68,G2,修正!C57:C68)</f>
        <v>0.3</v>
      </c>
      <c r="G38" s="171">
        <f>ROUND(IF(E2="工业",C38*$M$42,C38*$M$41),0)</f>
        <v>874</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69"/>
      <c r="B39" s="2039" t="s">
        <v>3253</v>
      </c>
      <c r="C39" s="175">
        <f>ROUND(D5*C22*C23*C24*C28*F39,0)</f>
        <v>2912</v>
      </c>
      <c r="D39" s="2096"/>
      <c r="E39" s="171">
        <f t="shared" si="4"/>
        <v>0</v>
      </c>
      <c r="F39" s="171">
        <f>SUMIF(修正!A57:A68,G2,修正!D57:D68)</f>
        <v>0.25</v>
      </c>
      <c r="G39" s="171">
        <f>ROUND(IF(E2="工业",C39*$M$42,C39*$M$41),0)</f>
        <v>728</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2912</v>
      </c>
      <c r="D40" s="2096">
        <f>'数据-基础表'!K15</f>
        <v>3707.26</v>
      </c>
      <c r="E40" s="171">
        <f t="shared" si="4"/>
        <v>1080</v>
      </c>
      <c r="F40" s="175">
        <f>SUMIF(修正!A57:A68,G2,修正!E57:E68)</f>
        <v>0.25</v>
      </c>
      <c r="G40" s="171">
        <f>ROUND(IF(E2="工业",C40*$M$42,C40*$M$41),0)</f>
        <v>728</v>
      </c>
      <c r="H40" s="171">
        <f t="shared" si="5"/>
        <v>3707.26</v>
      </c>
      <c r="I40" s="171">
        <f t="shared" si="6"/>
        <v>270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2912</v>
      </c>
      <c r="D41" s="2096"/>
      <c r="E41" s="171">
        <f t="shared" si="4"/>
        <v>0</v>
      </c>
      <c r="F41" s="175">
        <f>SUMIF(修正!A57:A68,G2,修正!F57:F68)</f>
        <v>0.25</v>
      </c>
      <c r="G41" s="171">
        <f>ROUND(IF(E2="工业",C41*$M$42,C41*$M$41),0)</f>
        <v>728</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1747</v>
      </c>
      <c r="D42" s="2101">
        <f>'数据-基础表'!K13+'数据-基础表'!K14</f>
        <v>6625.59</v>
      </c>
      <c r="E42" s="187">
        <f t="shared" si="4"/>
        <v>1157</v>
      </c>
      <c r="F42" s="767">
        <f>SUMIF(修正!A57:A68,G2,修正!G57:G68)</f>
        <v>0.15</v>
      </c>
      <c r="G42" s="187">
        <f>ROUND(IF(E2="工业",C42*$M$42,C42*$M$41),0)</f>
        <v>437</v>
      </c>
      <c r="H42" s="187">
        <f t="shared" si="5"/>
        <v>6625.59</v>
      </c>
      <c r="I42" s="187">
        <f t="shared" si="6"/>
        <v>290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0.96250000000000002</v>
      </c>
      <c r="D44" s="171" t="s">
        <v>1998</v>
      </c>
      <c r="E44" s="2151">
        <f>G24</f>
        <v>0.05</v>
      </c>
      <c r="F44" s="171" t="s">
        <v>2007</v>
      </c>
      <c r="G44" s="183">
        <f>'数据-取费表'!F6</f>
        <v>43.21</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一般</v>
      </c>
      <c r="C50" s="2042" t="s">
        <v>3385</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t="s">
        <v>3385</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3385</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2053</v>
      </c>
      <c r="B53" s="2133" t="s">
        <v>2054</v>
      </c>
      <c r="C53" s="2042" t="s">
        <v>3385</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t="s">
        <v>3407</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2056</v>
      </c>
      <c r="B55" s="2134" t="s">
        <v>2057</v>
      </c>
      <c r="C55" s="2042" t="s">
        <v>3385</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t="s">
        <v>3385</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t="s">
        <v>3408</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t="s">
        <v>3385</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2061</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一般</v>
      </c>
      <c r="C61" s="2042" t="s">
        <v>3407</v>
      </c>
      <c r="D61" s="1065">
        <f t="shared" ref="D61:D69" si="13">SUMIF($J$60:$N$60,C61,J61:N61)</f>
        <v>0</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t="s">
        <v>3385</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3385</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2053</v>
      </c>
      <c r="B64" s="2133" t="s">
        <v>2054</v>
      </c>
      <c r="C64" s="2042" t="s">
        <v>3385</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t="s">
        <v>3407</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2056</v>
      </c>
      <c r="B66" s="2134" t="s">
        <v>2057</v>
      </c>
      <c r="C66" s="2042" t="s">
        <v>3385</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t="s">
        <v>3385</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t="s">
        <v>3408</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t="s">
        <v>3385</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2064</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t="s">
        <v>3385</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t="s">
        <v>3385</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3385</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t="s">
        <v>3407</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2058</v>
      </c>
      <c r="B76" s="1326" t="str">
        <f>估价对象房地状况!C21</f>
        <v>较好</v>
      </c>
      <c r="C76" s="2042" t="s">
        <v>3385</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2059</v>
      </c>
      <c r="B77" s="1326" t="str">
        <f>估价对象房地状况!C22</f>
        <v>七通</v>
      </c>
      <c r="C77" s="2042" t="s">
        <v>3408</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2056</v>
      </c>
      <c r="B78" s="2134" t="s">
        <v>2057</v>
      </c>
      <c r="C78" s="2042" t="s">
        <v>3385</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2060</v>
      </c>
      <c r="B79" s="2131" t="str">
        <f>估价对象房地状况!C20</f>
        <v>较好</v>
      </c>
      <c r="C79" s="2042" t="s">
        <v>3385</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2067</v>
      </c>
      <c r="B80" s="2140"/>
      <c r="C80" s="2042" t="s">
        <v>3385</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hidden="1">
      <c r="A81" s="2124" t="s">
        <v>2068</v>
      </c>
      <c r="B81" s="2125">
        <f>1+E83</f>
        <v>1</v>
      </c>
      <c r="C81" s="741"/>
      <c r="D81" s="741"/>
      <c r="E81" s="742"/>
      <c r="F81" s="2127"/>
      <c r="G81" s="3"/>
      <c r="H81" s="3"/>
      <c r="I81" s="3"/>
      <c r="J81" s="4"/>
      <c r="K81" s="4"/>
      <c r="L81" s="4"/>
      <c r="M81" s="4"/>
      <c r="N81" s="4"/>
      <c r="Z81" s="1996"/>
      <c r="AA81" s="2051"/>
      <c r="AG81" s="1121"/>
      <c r="AK81" s="2051"/>
    </row>
    <row r="82" spans="1:37" ht="24.75" hidden="1">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hidden="1">
      <c r="A83" s="2128" t="s">
        <v>2069</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hidden="1">
      <c r="A84" s="2128" t="s">
        <v>2052</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hidden="1">
      <c r="A85" s="3361" t="s">
        <v>3264</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hidden="1">
      <c r="A86" s="2128" t="s">
        <v>2066</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hidden="1">
      <c r="A87" s="2128" t="s">
        <v>2058</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hidden="1">
      <c r="A88" s="2128" t="s">
        <v>2059</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hidden="1">
      <c r="A89" s="2128" t="s">
        <v>2056</v>
      </c>
      <c r="B89" s="2134" t="s">
        <v>2070</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hidden="1" thickBot="1">
      <c r="A90" s="2136" t="s">
        <v>2071</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2604</v>
      </c>
      <c r="B91" s="3370">
        <f>1+E93</f>
        <v>1.0356000000000001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t="s">
        <v>3407</v>
      </c>
      <c r="D93" s="3358">
        <f>SUMIF($J$92:$N$92,C93,J93:N93)</f>
        <v>0</v>
      </c>
      <c r="E93" s="3374">
        <f>ROUND(SUM(D93:D101),4)</f>
        <v>3.56E-2</v>
      </c>
      <c r="F93" s="1814">
        <f>IF(E2="公共服务",SUMIF(L1:L12,G2,N1:N12),"——")</f>
        <v>9.7000000000000003E-2</v>
      </c>
      <c r="G93" s="3365">
        <v>1.21E-2</v>
      </c>
      <c r="H93" s="3413">
        <f>IFERROR(ROUNDDOWN($F$93*I93/2,4),"——")</f>
        <v>1.21E-2</v>
      </c>
      <c r="I93" s="3359">
        <v>0.25</v>
      </c>
      <c r="J93" s="3337">
        <f t="shared" ref="J93:J101" si="31">K93+$G93</f>
        <v>2.4199999999999999E-2</v>
      </c>
      <c r="K93" s="3337">
        <f t="shared" ref="K93:K101" si="32">$L93+$G93</f>
        <v>1.21E-2</v>
      </c>
      <c r="L93" s="3337">
        <v>0</v>
      </c>
      <c r="M93" s="3337">
        <f t="shared" ref="M93:N101" si="33">L93-$G93</f>
        <v>-1.21E-2</v>
      </c>
      <c r="N93" s="3337">
        <f t="shared" si="33"/>
        <v>-2.4199999999999999E-2</v>
      </c>
    </row>
    <row r="94" spans="1:37" ht="14.25">
      <c r="A94" s="3371" t="s">
        <v>3267</v>
      </c>
      <c r="B94" s="3362" t="str">
        <f>估价对象房地状况!C18</f>
        <v>较好</v>
      </c>
      <c r="C94" s="2042" t="s">
        <v>3385</v>
      </c>
      <c r="D94" s="3358">
        <f t="shared" ref="D94:D101" si="34">SUMIF($J$60:$N$60,C94,J94:N94)</f>
        <v>1.26E-2</v>
      </c>
      <c r="E94" s="3375"/>
      <c r="F94" s="1814"/>
      <c r="G94" s="3365">
        <v>1.26E-2</v>
      </c>
      <c r="H94" s="3413">
        <f>IFERROR(ROUNDDOWN($F$93*I94/2,4),"——")</f>
        <v>1.26E-2</v>
      </c>
      <c r="I94" s="3359">
        <v>0.26</v>
      </c>
      <c r="J94" s="3337">
        <f t="shared" si="31"/>
        <v>2.52E-2</v>
      </c>
      <c r="K94" s="3337">
        <f t="shared" si="32"/>
        <v>1.26E-2</v>
      </c>
      <c r="L94" s="3337">
        <v>0</v>
      </c>
      <c r="M94" s="3337">
        <f t="shared" si="33"/>
        <v>-1.26E-2</v>
      </c>
      <c r="N94" s="3337">
        <f t="shared" si="33"/>
        <v>-2.52E-2</v>
      </c>
    </row>
    <row r="95" spans="1:37" ht="36">
      <c r="A95" s="3361" t="s">
        <v>3263</v>
      </c>
      <c r="B95" s="3362" t="str">
        <f>估价对象房地状况!C19</f>
        <v>较好</v>
      </c>
      <c r="C95" s="2042" t="s">
        <v>3385</v>
      </c>
      <c r="D95" s="3358">
        <f t="shared" si="34"/>
        <v>5.3E-3</v>
      </c>
      <c r="E95" s="3375"/>
      <c r="F95" s="1814"/>
      <c r="G95" s="3365">
        <v>5.3E-3</v>
      </c>
      <c r="H95" s="3413">
        <f t="shared" ref="H95:H101" si="35">IFERROR(ROUNDDOWN($F$93*I95/2,4),"——")</f>
        <v>5.3E-3</v>
      </c>
      <c r="I95" s="3359">
        <v>0.11</v>
      </c>
      <c r="J95" s="3337">
        <f t="shared" si="31"/>
        <v>1.06E-2</v>
      </c>
      <c r="K95" s="3337">
        <f t="shared" si="32"/>
        <v>5.3E-3</v>
      </c>
      <c r="L95" s="3337">
        <v>0</v>
      </c>
      <c r="M95" s="3337">
        <f t="shared" si="33"/>
        <v>-5.3E-3</v>
      </c>
      <c r="N95" s="3337">
        <f t="shared" si="33"/>
        <v>-1.06E-2</v>
      </c>
    </row>
    <row r="96" spans="1:37" ht="36.75">
      <c r="A96" s="3371" t="s">
        <v>3268</v>
      </c>
      <c r="B96" s="3377" t="s">
        <v>3279</v>
      </c>
      <c r="C96" s="2042" t="s">
        <v>3407</v>
      </c>
      <c r="D96" s="3358">
        <f t="shared" si="34"/>
        <v>0</v>
      </c>
      <c r="E96" s="3375"/>
      <c r="F96" s="1814"/>
      <c r="G96" s="3365">
        <v>2.3999999999999998E-3</v>
      </c>
      <c r="H96" s="3413">
        <f t="shared" si="35"/>
        <v>2.3999999999999998E-3</v>
      </c>
      <c r="I96" s="3359">
        <v>0.05</v>
      </c>
      <c r="J96" s="3337">
        <f t="shared" si="31"/>
        <v>4.7999999999999996E-3</v>
      </c>
      <c r="K96" s="3337">
        <f t="shared" si="32"/>
        <v>2.3999999999999998E-3</v>
      </c>
      <c r="L96" s="3337">
        <v>0</v>
      </c>
      <c r="M96" s="3337">
        <f t="shared" si="33"/>
        <v>-2.3999999999999998E-3</v>
      </c>
      <c r="N96" s="3337">
        <f t="shared" si="33"/>
        <v>-4.7999999999999996E-3</v>
      </c>
    </row>
    <row r="97" spans="1:14" ht="24">
      <c r="A97" s="3371" t="s">
        <v>3269</v>
      </c>
      <c r="B97" s="3362">
        <f>估价对象房地状况!C24</f>
        <v>0</v>
      </c>
      <c r="C97" s="2042" t="s">
        <v>3407</v>
      </c>
      <c r="D97" s="3358">
        <f t="shared" si="34"/>
        <v>0</v>
      </c>
      <c r="E97" s="3375"/>
      <c r="F97" s="1814"/>
      <c r="G97" s="3365">
        <v>2.3999999999999998E-3</v>
      </c>
      <c r="H97" s="3413">
        <f t="shared" si="35"/>
        <v>2.3999999999999998E-3</v>
      </c>
      <c r="I97" s="3359">
        <v>0.05</v>
      </c>
      <c r="J97" s="3337">
        <f t="shared" si="31"/>
        <v>4.7999999999999996E-3</v>
      </c>
      <c r="K97" s="3337">
        <f t="shared" si="32"/>
        <v>2.3999999999999998E-3</v>
      </c>
      <c r="L97" s="3337">
        <v>0</v>
      </c>
      <c r="M97" s="3337">
        <f t="shared" si="33"/>
        <v>-2.3999999999999998E-3</v>
      </c>
      <c r="N97" s="3337">
        <f t="shared" si="33"/>
        <v>-4.7999999999999996E-3</v>
      </c>
    </row>
    <row r="98" spans="1:14" ht="24">
      <c r="A98" s="3371" t="s">
        <v>3270</v>
      </c>
      <c r="B98" s="3378" t="s">
        <v>3280</v>
      </c>
      <c r="C98" s="2042" t="s">
        <v>3385</v>
      </c>
      <c r="D98" s="3358">
        <f t="shared" si="34"/>
        <v>2.8999999999999998E-3</v>
      </c>
      <c r="E98" s="3375"/>
      <c r="F98" s="1814"/>
      <c r="G98" s="3365">
        <v>2.8999999999999998E-3</v>
      </c>
      <c r="H98" s="3413">
        <f t="shared" si="35"/>
        <v>2.8999999999999998E-3</v>
      </c>
      <c r="I98" s="3359">
        <v>0.06</v>
      </c>
      <c r="J98" s="3337">
        <f t="shared" si="31"/>
        <v>5.7999999999999996E-3</v>
      </c>
      <c r="K98" s="3337">
        <f t="shared" si="32"/>
        <v>2.8999999999999998E-3</v>
      </c>
      <c r="L98" s="3337">
        <v>0</v>
      </c>
      <c r="M98" s="3337">
        <f t="shared" si="33"/>
        <v>-2.8999999999999998E-3</v>
      </c>
      <c r="N98" s="3337">
        <f t="shared" si="33"/>
        <v>-5.7999999999999996E-3</v>
      </c>
    </row>
    <row r="99" spans="1:14" ht="24">
      <c r="A99" s="3371" t="s">
        <v>3271</v>
      </c>
      <c r="B99" s="3362" t="str">
        <f>估价对象房地状况!C21</f>
        <v>较好</v>
      </c>
      <c r="C99" s="2042" t="s">
        <v>3385</v>
      </c>
      <c r="D99" s="3358">
        <f t="shared" si="34"/>
        <v>2.8999999999999998E-3</v>
      </c>
      <c r="E99" s="3375"/>
      <c r="F99" s="1814"/>
      <c r="G99" s="3365">
        <v>2.8999999999999998E-3</v>
      </c>
      <c r="H99" s="3413">
        <f t="shared" si="35"/>
        <v>2.8999999999999998E-3</v>
      </c>
      <c r="I99" s="3359">
        <v>0.06</v>
      </c>
      <c r="J99" s="3337">
        <f t="shared" si="31"/>
        <v>5.7999999999999996E-3</v>
      </c>
      <c r="K99" s="3337">
        <f t="shared" si="32"/>
        <v>2.8999999999999998E-3</v>
      </c>
      <c r="L99" s="3337">
        <v>0</v>
      </c>
      <c r="M99" s="3337">
        <f t="shared" si="33"/>
        <v>-2.8999999999999998E-3</v>
      </c>
      <c r="N99" s="3337">
        <f t="shared" si="33"/>
        <v>-5.7999999999999996E-3</v>
      </c>
    </row>
    <row r="100" spans="1:14" ht="24">
      <c r="A100" s="3371" t="s">
        <v>3272</v>
      </c>
      <c r="B100" s="3362" t="str">
        <f>估价对象房地状况!C22</f>
        <v>七通</v>
      </c>
      <c r="C100" s="2042" t="s">
        <v>3408</v>
      </c>
      <c r="D100" s="3358">
        <f t="shared" si="34"/>
        <v>8.6E-3</v>
      </c>
      <c r="E100" s="3375"/>
      <c r="F100" s="1814"/>
      <c r="G100" s="3365">
        <v>4.3E-3</v>
      </c>
      <c r="H100" s="3413">
        <f t="shared" si="35"/>
        <v>4.3E-3</v>
      </c>
      <c r="I100" s="3359">
        <v>0.09</v>
      </c>
      <c r="J100" s="3337">
        <f t="shared" si="31"/>
        <v>8.6E-3</v>
      </c>
      <c r="K100" s="3337">
        <f t="shared" si="32"/>
        <v>4.3E-3</v>
      </c>
      <c r="L100" s="3337">
        <v>0</v>
      </c>
      <c r="M100" s="3337">
        <f t="shared" si="33"/>
        <v>-4.3E-3</v>
      </c>
      <c r="N100" s="3337">
        <f t="shared" si="33"/>
        <v>-8.6E-3</v>
      </c>
    </row>
    <row r="101" spans="1:14" ht="24.75" thickBot="1">
      <c r="A101" s="3372" t="s">
        <v>3273</v>
      </c>
      <c r="B101" s="3379" t="str">
        <f>估价对象房地状况!C20</f>
        <v>较好</v>
      </c>
      <c r="C101" s="2042" t="s">
        <v>3385</v>
      </c>
      <c r="D101" s="3358">
        <f t="shared" si="34"/>
        <v>3.3E-3</v>
      </c>
      <c r="E101" s="3376"/>
      <c r="F101" s="1814"/>
      <c r="G101" s="3365">
        <v>3.3E-3</v>
      </c>
      <c r="H101" s="3413">
        <f t="shared" si="35"/>
        <v>3.3E-3</v>
      </c>
      <c r="I101" s="3360">
        <v>7.0000000000000007E-2</v>
      </c>
      <c r="J101" s="3337">
        <f t="shared" si="31"/>
        <v>6.6E-3</v>
      </c>
      <c r="K101" s="3337">
        <f t="shared" si="32"/>
        <v>3.3E-3</v>
      </c>
      <c r="L101" s="3337">
        <v>0</v>
      </c>
      <c r="M101" s="3337">
        <f t="shared" si="33"/>
        <v>-3.3E-3</v>
      </c>
      <c r="N101" s="3337">
        <f t="shared" si="33"/>
        <v>-6.6E-3</v>
      </c>
    </row>
    <row r="103" spans="1:14">
      <c r="A103" s="3666" t="s">
        <v>3288</v>
      </c>
      <c r="B103" s="3666"/>
      <c r="C103" s="3666"/>
      <c r="D103" s="3666"/>
      <c r="E103" s="3666"/>
      <c r="F103" s="3666"/>
      <c r="G103" s="3666"/>
      <c r="H103" s="3666"/>
      <c r="I103" s="3666"/>
      <c r="J103" s="3666"/>
      <c r="K103" s="3382"/>
      <c r="L103" s="3382"/>
      <c r="M103" s="3382"/>
      <c r="N103" s="3382"/>
    </row>
    <row r="104" spans="1:14">
      <c r="A104" s="3667" t="s">
        <v>3289</v>
      </c>
      <c r="B104" s="3667" t="s">
        <v>3290</v>
      </c>
      <c r="C104" s="3383" t="s">
        <v>3291</v>
      </c>
      <c r="D104" s="3384"/>
      <c r="E104" s="3384"/>
      <c r="F104" s="3384"/>
      <c r="G104" s="3384"/>
      <c r="H104" s="3384"/>
      <c r="I104" s="3384"/>
      <c r="J104" s="3385"/>
      <c r="K104" s="3386"/>
      <c r="L104" s="3386"/>
      <c r="M104" s="3386"/>
      <c r="N104" s="3386"/>
    </row>
    <row r="105" spans="1:14">
      <c r="A105" s="3667"/>
      <c r="B105" s="3667"/>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53"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4"/>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55"/>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56" t="s">
        <v>3305</v>
      </c>
      <c r="B113" s="3656"/>
      <c r="C113" s="3656"/>
      <c r="D113" s="3656"/>
      <c r="E113" s="3656"/>
      <c r="F113" s="3656"/>
      <c r="G113" s="3656"/>
      <c r="H113" s="3656"/>
      <c r="I113" s="3656"/>
      <c r="J113" s="365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1.92</v>
      </c>
      <c r="C116" s="3392" t="s">
        <v>3307</v>
      </c>
      <c r="D116" s="3393">
        <f>SUMPRODUCT((A118:A122=F116)*(B117:M117=H116)*B118:M122)</f>
        <v>0.86960000000000004</v>
      </c>
      <c r="E116" s="1998" t="s">
        <v>3308</v>
      </c>
      <c r="F116" s="3394" t="str">
        <f>E2</f>
        <v>公共服务</v>
      </c>
      <c r="G116" s="1998" t="s">
        <v>3309</v>
      </c>
      <c r="H116" s="3394" t="str">
        <f>G2</f>
        <v>四级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0.97570000000000001</v>
      </c>
      <c r="C118" s="3380">
        <f>B118</f>
        <v>0.97570000000000001</v>
      </c>
      <c r="D118" s="3380">
        <f>ROUND(0.949-0.014*B116,4)</f>
        <v>0.92210000000000003</v>
      </c>
      <c r="E118" s="3380">
        <f>D118</f>
        <v>0.92210000000000003</v>
      </c>
      <c r="F118" s="3380">
        <f>E118</f>
        <v>0.92210000000000003</v>
      </c>
      <c r="G118" s="3380">
        <f>F118</f>
        <v>0.92210000000000003</v>
      </c>
      <c r="H118" s="3380">
        <f>G118</f>
        <v>0.92210000000000003</v>
      </c>
      <c r="I118" s="3380">
        <f>ROUND(0.8486-0.018*B116,4)</f>
        <v>0.81399999999999995</v>
      </c>
      <c r="J118" s="3380">
        <f t="shared" ref="J118:M122" si="39">I118</f>
        <v>0.81399999999999995</v>
      </c>
      <c r="K118" s="3380">
        <f t="shared" si="39"/>
        <v>0.81399999999999995</v>
      </c>
      <c r="L118" s="3380">
        <f t="shared" si="39"/>
        <v>0.81399999999999995</v>
      </c>
      <c r="M118" s="3403">
        <f t="shared" si="39"/>
        <v>0.81399999999999995</v>
      </c>
      <c r="N118" s="3390"/>
    </row>
    <row r="119" spans="1:14">
      <c r="A119" s="3402" t="s">
        <v>3323</v>
      </c>
      <c r="B119" s="3380">
        <f>ROUND(0.993-0.0112*B116,4)</f>
        <v>0.97150000000000003</v>
      </c>
      <c r="C119" s="3380">
        <f>B119</f>
        <v>0.97150000000000003</v>
      </c>
      <c r="D119" s="3380">
        <f>ROUND(0.9415-0.0142*B116,4)</f>
        <v>0.91420000000000001</v>
      </c>
      <c r="E119" s="3380">
        <f t="shared" ref="E119:H120" si="40">D119</f>
        <v>0.91420000000000001</v>
      </c>
      <c r="F119" s="3380">
        <f t="shared" si="40"/>
        <v>0.91420000000000001</v>
      </c>
      <c r="G119" s="3380">
        <f t="shared" si="40"/>
        <v>0.91420000000000001</v>
      </c>
      <c r="H119" s="3380">
        <f t="shared" si="40"/>
        <v>0.91420000000000001</v>
      </c>
      <c r="I119" s="3380">
        <f>ROUND(0.838-0.0182*B116,4)</f>
        <v>0.80310000000000004</v>
      </c>
      <c r="J119" s="3380">
        <f t="shared" si="39"/>
        <v>0.80310000000000004</v>
      </c>
      <c r="K119" s="3380">
        <f t="shared" si="39"/>
        <v>0.80310000000000004</v>
      </c>
      <c r="L119" s="3380">
        <f t="shared" si="39"/>
        <v>0.80310000000000004</v>
      </c>
      <c r="M119" s="3403">
        <f t="shared" si="39"/>
        <v>0.80310000000000004</v>
      </c>
      <c r="N119" s="3390"/>
    </row>
    <row r="120" spans="1:14">
      <c r="A120" s="3402" t="s">
        <v>3324</v>
      </c>
      <c r="B120" s="3380">
        <f>ROUND(0.9448-0.0115*B116,4)</f>
        <v>0.92269999999999996</v>
      </c>
      <c r="C120" s="3380">
        <f>B120</f>
        <v>0.92269999999999996</v>
      </c>
      <c r="D120" s="3380">
        <f>ROUND(0.937-0.0145*B116,4)</f>
        <v>0.90920000000000001</v>
      </c>
      <c r="E120" s="3380">
        <f t="shared" si="40"/>
        <v>0.90920000000000001</v>
      </c>
      <c r="F120" s="3380">
        <f t="shared" si="40"/>
        <v>0.90920000000000001</v>
      </c>
      <c r="G120" s="3380">
        <f t="shared" si="40"/>
        <v>0.90920000000000001</v>
      </c>
      <c r="H120" s="3380">
        <f t="shared" si="40"/>
        <v>0.90920000000000001</v>
      </c>
      <c r="I120" s="3380">
        <f>ROUND(0.7965-0.0185*B116,4)</f>
        <v>0.76100000000000001</v>
      </c>
      <c r="J120" s="3380">
        <f t="shared" si="39"/>
        <v>0.76100000000000001</v>
      </c>
      <c r="K120" s="3380">
        <f t="shared" si="39"/>
        <v>0.76100000000000001</v>
      </c>
      <c r="L120" s="3380">
        <f t="shared" si="39"/>
        <v>0.76100000000000001</v>
      </c>
      <c r="M120" s="3403">
        <f t="shared" si="39"/>
        <v>0.76100000000000001</v>
      </c>
      <c r="N120" s="3390"/>
    </row>
    <row r="121" spans="1:14" ht="13.5" thickBot="1">
      <c r="A121" s="3404" t="s">
        <v>3325</v>
      </c>
      <c r="B121" s="3405">
        <f>ROUND(0.7836-0.012*B116,4)</f>
        <v>0.76060000000000005</v>
      </c>
      <c r="C121" s="3405">
        <f>B121</f>
        <v>0.76060000000000005</v>
      </c>
      <c r="D121" s="3405">
        <f>ROUND(0.753-0.015*B116,4)</f>
        <v>0.72419999999999995</v>
      </c>
      <c r="E121" s="3405">
        <f>D121</f>
        <v>0.72419999999999995</v>
      </c>
      <c r="F121" s="3405">
        <f>E121</f>
        <v>0.72419999999999995</v>
      </c>
      <c r="G121" s="3405">
        <f>ROUND(0.6612-0.018*B116,4)</f>
        <v>0.62660000000000005</v>
      </c>
      <c r="H121" s="3405">
        <f>G121</f>
        <v>0.62660000000000005</v>
      </c>
      <c r="I121" s="3405">
        <f>ROUND(0.5905-0.019*B116,4)</f>
        <v>0.55400000000000005</v>
      </c>
      <c r="J121" s="3405">
        <f t="shared" si="39"/>
        <v>0.55400000000000005</v>
      </c>
      <c r="K121" s="3405">
        <f t="shared" si="39"/>
        <v>0.55400000000000005</v>
      </c>
      <c r="L121" s="3405">
        <f t="shared" si="39"/>
        <v>0.55400000000000005</v>
      </c>
      <c r="M121" s="3406">
        <f t="shared" si="39"/>
        <v>0.55400000000000005</v>
      </c>
      <c r="N121" s="3390"/>
    </row>
    <row r="122" spans="1:14">
      <c r="A122" s="3407" t="s">
        <v>2604</v>
      </c>
      <c r="B122" s="3380">
        <f>ROUND(0.9404-0.0106*B116,4)</f>
        <v>0.92</v>
      </c>
      <c r="C122" s="3380">
        <f>B122</f>
        <v>0.92</v>
      </c>
      <c r="D122" s="3380">
        <f>ROUND(0.8955-0.0135*B116,4)</f>
        <v>0.86960000000000004</v>
      </c>
      <c r="E122" s="3380">
        <f t="shared" ref="E122:H122" si="41">D122</f>
        <v>0.86960000000000004</v>
      </c>
      <c r="F122" s="3380">
        <f t="shared" si="41"/>
        <v>0.86960000000000004</v>
      </c>
      <c r="G122" s="3380">
        <f t="shared" si="41"/>
        <v>0.86960000000000004</v>
      </c>
      <c r="H122" s="3380">
        <f t="shared" si="41"/>
        <v>0.86960000000000004</v>
      </c>
      <c r="I122" s="3380">
        <f>ROUND(0.7632-0.0166*B116,4)</f>
        <v>0.73129999999999995</v>
      </c>
      <c r="J122" s="3380">
        <f t="shared" si="39"/>
        <v>0.73129999999999995</v>
      </c>
      <c r="K122" s="3380">
        <f t="shared" si="39"/>
        <v>0.73129999999999995</v>
      </c>
      <c r="L122" s="3380">
        <f t="shared" si="39"/>
        <v>0.73129999999999995</v>
      </c>
      <c r="M122" s="3403">
        <f t="shared" si="39"/>
        <v>0.73129999999999995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3509</v>
      </c>
      <c r="D1" s="1362" t="s">
        <v>43</v>
      </c>
      <c r="E1" s="1363" t="s">
        <v>678</v>
      </c>
      <c r="F1" s="1062">
        <f ca="1">J53</f>
        <v>43.21</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52117</v>
      </c>
      <c r="C2" s="1387" t="s">
        <v>805</v>
      </c>
      <c r="D2" s="1387"/>
      <c r="E2" s="1388"/>
      <c r="F2" s="1389"/>
      <c r="G2" s="2698"/>
      <c r="H2" s="2687"/>
      <c r="I2" s="2687"/>
      <c r="J2" s="2687"/>
      <c r="K2" s="2688"/>
      <c r="L2" s="2687"/>
      <c r="M2" s="2687"/>
    </row>
    <row r="3" spans="1:37" ht="18" customHeight="1" thickBot="1">
      <c r="A3" s="1390" t="s">
        <v>806</v>
      </c>
      <c r="B3" s="1391">
        <f ca="1">IF(ISERROR(B2*10000/F43),0,ROUND(B2*10000/F43,0))</f>
        <v>18755</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2720</v>
      </c>
      <c r="D5" s="1364" t="s">
        <v>693</v>
      </c>
      <c r="E5" s="1071"/>
      <c r="F5" s="1072"/>
      <c r="G5" s="1384"/>
      <c r="H5" s="299">
        <v>1</v>
      </c>
      <c r="I5" s="300" t="s">
        <v>692</v>
      </c>
      <c r="J5" s="1070">
        <f ca="1">J6+J10+J12</f>
        <v>0</v>
      </c>
      <c r="K5" s="1364" t="s">
        <v>693</v>
      </c>
      <c r="L5" s="1071"/>
      <c r="M5" s="1072"/>
    </row>
    <row r="6" spans="1:37" ht="18" customHeight="1">
      <c r="A6" s="1069" t="s">
        <v>398</v>
      </c>
      <c r="B6" s="3674" t="s">
        <v>694</v>
      </c>
      <c r="C6" s="1074">
        <f ca="1">ROUND(F6*F8*F7*(1-F9)/10000,0)</f>
        <v>2717</v>
      </c>
      <c r="D6" s="155" t="s">
        <v>2108</v>
      </c>
      <c r="E6" s="302" t="s">
        <v>696</v>
      </c>
      <c r="F6" s="303">
        <f ca="1">INDIRECT("'数据-取费表'!u"&amp;$G$1)</f>
        <v>2.82</v>
      </c>
      <c r="G6" s="1384"/>
      <c r="H6" s="1069" t="s">
        <v>398</v>
      </c>
      <c r="I6" s="3674" t="s">
        <v>694</v>
      </c>
      <c r="J6" s="301">
        <f ca="1">ROUND(M6*M8*M7*(1-M9)/10000,0)</f>
        <v>0</v>
      </c>
      <c r="K6" s="155"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27788.400000000001</v>
      </c>
      <c r="G7" s="1384"/>
      <c r="H7" s="304"/>
      <c r="I7" s="3675"/>
      <c r="J7" s="306"/>
      <c r="K7" s="307"/>
      <c r="L7" s="302" t="s">
        <v>697</v>
      </c>
      <c r="M7" s="303">
        <f ca="1">F7</f>
        <v>27788.400000000001</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0.05</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3399</v>
      </c>
      <c r="G10" s="1384"/>
      <c r="H10" s="1069" t="s">
        <v>402</v>
      </c>
      <c r="I10" s="1365" t="s">
        <v>700</v>
      </c>
      <c r="J10" s="301">
        <f ca="1">ROUND(IF(M10="押一",J6/12*M11,IF(M10="押二",J6/12*2*M11,IF(M10="押三",J6/12*3*M11,J11*M11))),0)</f>
        <v>0</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18272</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13232</v>
      </c>
      <c r="D14" s="1345" t="s">
        <v>708</v>
      </c>
      <c r="E14" s="1342"/>
      <c r="F14" s="319"/>
      <c r="G14" s="1384"/>
      <c r="H14" s="982" t="s">
        <v>398</v>
      </c>
      <c r="I14" s="302" t="s">
        <v>709</v>
      </c>
      <c r="J14" s="21">
        <f ca="1">C29</f>
        <v>18645</v>
      </c>
      <c r="K14" s="12"/>
      <c r="L14" s="807"/>
      <c r="M14" s="808"/>
    </row>
    <row r="15" spans="1:37" s="1397" customFormat="1" ht="18" customHeight="1" thickBot="1">
      <c r="A15" s="982" t="s">
        <v>399</v>
      </c>
      <c r="B15" s="302" t="s">
        <v>710</v>
      </c>
      <c r="C15" s="21">
        <f ca="1">ROUND(C14*F15,0)</f>
        <v>397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152</v>
      </c>
      <c r="K16" s="1087" t="s">
        <v>715</v>
      </c>
      <c r="L16" s="1088"/>
      <c r="M16" s="1072"/>
    </row>
    <row r="17" spans="1:37" s="1397" customFormat="1" ht="18" customHeight="1">
      <c r="A17" s="982" t="s">
        <v>681</v>
      </c>
      <c r="B17" s="302" t="s">
        <v>716</v>
      </c>
      <c r="C17" s="21">
        <f ca="1">ROUND(F17*(F43+INDIRECT("'数据-取费表'!S"&amp;$G$1))/10000,0)</f>
        <v>417</v>
      </c>
      <c r="D17" s="302" t="s">
        <v>717</v>
      </c>
      <c r="E17" s="302" t="s">
        <v>718</v>
      </c>
      <c r="F17" s="23">
        <f>'数据-取费表'!B35</f>
        <v>150</v>
      </c>
      <c r="G17" s="1396"/>
      <c r="H17" s="982" t="s">
        <v>398</v>
      </c>
      <c r="I17" s="302" t="s">
        <v>719</v>
      </c>
      <c r="J17" s="2314">
        <f ca="1">ROUND(IF(AND(项目基本情况!B11="自然人",项目基本情况!B10="北京市"),J6*M17/(1+'数据-取费表'!C42),J18+J19+J20),2)</f>
        <v>2.73</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14244</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285</v>
      </c>
      <c r="D20" s="323" t="s">
        <v>729</v>
      </c>
      <c r="E20" s="302" t="s">
        <v>712</v>
      </c>
      <c r="F20" s="322">
        <f>'数据-取费表'!B37</f>
        <v>0.02</v>
      </c>
      <c r="G20" s="1396"/>
      <c r="H20" s="982" t="s">
        <v>680</v>
      </c>
      <c r="I20" s="155" t="s">
        <v>730</v>
      </c>
      <c r="J20" s="22">
        <f ca="1">ROUND(M20*M21/10000,2)</f>
        <v>2.73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9100.1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149.16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501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-152</v>
      </c>
      <c r="K25" s="1095" t="s">
        <v>753</v>
      </c>
      <c r="L25" s="1096"/>
      <c r="M25" s="1097"/>
    </row>
    <row r="26" spans="1:37">
      <c r="A26" s="982" t="s">
        <v>397</v>
      </c>
      <c r="B26" s="302" t="s">
        <v>754</v>
      </c>
      <c r="C26" s="21">
        <f ca="1">ROUND((C19+C20)*F26,0)</f>
        <v>2179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5.1999999999999998E-2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18645</v>
      </c>
      <c r="D29" s="1092"/>
      <c r="E29" s="1090"/>
      <c r="F29" s="1093"/>
      <c r="G29" s="1396"/>
      <c r="H29" s="334" t="s">
        <v>396</v>
      </c>
      <c r="I29" s="335" t="s">
        <v>768</v>
      </c>
      <c r="J29" s="336">
        <f ca="1">ROUND(J26/(1+F40)^F41,0)</f>
        <v>0</v>
      </c>
      <c r="K29" s="337" t="s">
        <v>769</v>
      </c>
      <c r="L29" s="338"/>
      <c r="M29" s="339">
        <f ca="1">INDIRECT("'数据-取费表'!k"&amp;$G$1)</f>
        <v>27788.400000000001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648</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458.15</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144.91</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310.51</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2.73</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9100.1</v>
      </c>
      <c r="G35" s="1384"/>
      <c r="H35" s="2689"/>
      <c r="I35" s="1398"/>
      <c r="J35" s="1399"/>
      <c r="K35" s="2693"/>
      <c r="L35" s="2692"/>
      <c r="M35" s="2692"/>
    </row>
    <row r="36" spans="1:18" ht="18" customHeight="1">
      <c r="A36" s="1102" t="s">
        <v>402</v>
      </c>
      <c r="B36" s="302" t="s">
        <v>738</v>
      </c>
      <c r="C36" s="21">
        <f ca="1">ROUND(C29*F36,2)</f>
        <v>149.16</v>
      </c>
      <c r="D36" s="1344" t="s">
        <v>771</v>
      </c>
      <c r="E36" s="302" t="s">
        <v>712</v>
      </c>
      <c r="F36" s="328">
        <f ca="1">INDIRECT("'数据-取费表'!Ak"&amp;$G$1)</f>
        <v>8.0000000000000002E-3</v>
      </c>
      <c r="G36" s="1384"/>
      <c r="H36" s="2692"/>
      <c r="I36" s="1398"/>
      <c r="J36" s="1399"/>
      <c r="K36" s="2536"/>
      <c r="L36" s="2692"/>
      <c r="M36" s="2692"/>
    </row>
    <row r="37" spans="1:18" ht="18" customHeight="1">
      <c r="A37" s="982" t="s">
        <v>437</v>
      </c>
      <c r="B37" s="302" t="s">
        <v>742</v>
      </c>
      <c r="C37" s="21">
        <f ca="1">ROUND(C13*F37,2)</f>
        <v>27.41</v>
      </c>
      <c r="D37" s="1344" t="s">
        <v>743</v>
      </c>
      <c r="E37" s="302" t="s">
        <v>744</v>
      </c>
      <c r="F37" s="330">
        <f ca="1">INDIRECT("'数据-取费表'!Al"&amp;$G$1)</f>
        <v>1.5E-3</v>
      </c>
      <c r="G37" s="1384"/>
      <c r="H37" s="2692"/>
      <c r="I37" s="1398"/>
      <c r="J37" s="1399"/>
      <c r="K37" s="2536"/>
      <c r="L37" s="2692"/>
      <c r="M37" s="2692"/>
    </row>
    <row r="38" spans="1:18" ht="18" customHeight="1" thickBot="1">
      <c r="A38" s="1089" t="s">
        <v>684</v>
      </c>
      <c r="B38" s="1090" t="s">
        <v>728</v>
      </c>
      <c r="C38" s="1091">
        <f ca="1">ROUND(C5*F38,2)</f>
        <v>13.6</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2072</v>
      </c>
      <c r="D39" s="1095" t="s">
        <v>773</v>
      </c>
      <c r="E39" s="1096"/>
      <c r="F39" s="1097"/>
      <c r="G39" s="1384"/>
      <c r="H39" s="2692"/>
      <c r="I39" s="1398"/>
      <c r="J39" s="1399"/>
      <c r="K39" s="2696"/>
      <c r="L39" s="2692"/>
      <c r="M39" s="2692"/>
    </row>
    <row r="40" spans="1:18" ht="18" customHeight="1">
      <c r="A40" s="299" t="s">
        <v>395</v>
      </c>
      <c r="B40" s="300" t="s">
        <v>774</v>
      </c>
      <c r="C40" s="301">
        <f ca="1">ROUND(C39*(1-((1+F42)/(1+F40))^F41)/(F40-F42),0)</f>
        <v>51789</v>
      </c>
      <c r="D40" s="324" t="s">
        <v>758</v>
      </c>
      <c r="E40" s="302" t="s">
        <v>759</v>
      </c>
      <c r="F40" s="312">
        <f ca="1">INDIRECT("'数据-取费表'!I"&amp;$G$1)</f>
        <v>5.1999999999999998E-2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43.21</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18637</v>
      </c>
      <c r="D43" s="337" t="s">
        <v>777</v>
      </c>
      <c r="E43" s="338" t="s">
        <v>778</v>
      </c>
      <c r="F43" s="339">
        <f ca="1">INDIRECT("'数据-取费表'!k"&amp;$G$1)</f>
        <v>27788.400000000001</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-54863</v>
      </c>
      <c r="D46" s="1406" t="str">
        <f>C2</f>
        <v>万元</v>
      </c>
      <c r="E46" s="1400"/>
      <c r="F46" s="1400"/>
      <c r="I46" s="1407" t="s">
        <v>810</v>
      </c>
      <c r="J46" s="1408"/>
      <c r="K46" s="1409"/>
      <c r="L46" s="1410">
        <f ca="1">IF(M47="住宅",0,IF(L48&gt;J51,L60,J60))</f>
        <v>328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51789</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43.21</v>
      </c>
      <c r="O48" s="1418" t="s">
        <v>404</v>
      </c>
      <c r="P48" s="1419" t="s">
        <v>821</v>
      </c>
      <c r="Q48" s="1420">
        <f ca="1">J60</f>
        <v>328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2022</v>
      </c>
      <c r="K49" s="1423" t="s">
        <v>824</v>
      </c>
      <c r="L49" s="1427"/>
      <c r="O49" s="1428" t="s">
        <v>405</v>
      </c>
      <c r="P49" s="1419" t="s">
        <v>825</v>
      </c>
      <c r="Q49" s="1420">
        <f ca="1">C29</f>
        <v>18645</v>
      </c>
      <c r="R49" s="1420" t="s">
        <v>818</v>
      </c>
    </row>
    <row r="50" spans="1:18" s="1384" customFormat="1" ht="13.5" thickBot="1">
      <c r="A50" s="976"/>
      <c r="B50" s="979"/>
      <c r="C50" s="1118"/>
      <c r="D50" s="953"/>
      <c r="E50" s="1056" t="s">
        <v>697</v>
      </c>
      <c r="F50" s="1057">
        <f ca="1">F7</f>
        <v>27788.400000000001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14968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43.21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43.21</v>
      </c>
      <c r="K53" s="3672" t="s">
        <v>837</v>
      </c>
      <c r="L53" s="3673"/>
      <c r="O53" s="1418" t="s">
        <v>409</v>
      </c>
      <c r="P53" s="1419" t="s">
        <v>838</v>
      </c>
      <c r="Q53" s="1420">
        <f ca="1">Q47+Q48</f>
        <v>52117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18272</v>
      </c>
      <c r="D56" s="1447"/>
      <c r="E56" s="1448"/>
      <c r="F56" s="1440"/>
      <c r="I56" s="1449" t="s">
        <v>842</v>
      </c>
      <c r="J56" s="1450" t="s">
        <v>3402</v>
      </c>
      <c r="K56" s="1421" t="s">
        <v>843</v>
      </c>
      <c r="L56" s="1424" t="str">
        <f ca="1">IF(L48&lt;J51,"——",L48-J53)</f>
        <v>——</v>
      </c>
      <c r="O56" s="1418" t="s">
        <v>403</v>
      </c>
      <c r="P56" s="1419" t="s">
        <v>817</v>
      </c>
      <c r="Q56" s="1420">
        <f ca="1">C40+J29</f>
        <v>51789</v>
      </c>
      <c r="R56" s="1420" t="s">
        <v>818</v>
      </c>
    </row>
    <row r="57" spans="1:18" s="1384" customFormat="1" ht="24.75" thickBot="1">
      <c r="A57" s="1451"/>
      <c r="B57" s="950" t="s">
        <v>767</v>
      </c>
      <c r="C57" s="238">
        <f ca="1">C29</f>
        <v>18645</v>
      </c>
      <c r="D57" s="1452"/>
      <c r="E57" s="1453"/>
      <c r="F57" s="1454"/>
      <c r="I57" s="1455" t="s">
        <v>844</v>
      </c>
      <c r="J57" s="1456">
        <f ca="1">IF(OR(M47="住宅",J51&lt;L48,J56="是"),"——",J51-L48)</f>
        <v>15.79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7458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3</v>
      </c>
      <c r="I62" s="1462" t="s">
        <v>858</v>
      </c>
      <c r="J62" s="1463" t="s">
        <v>859</v>
      </c>
      <c r="K62" s="1463" t="s">
        <v>860</v>
      </c>
      <c r="L62" s="1463" t="s">
        <v>861</v>
      </c>
      <c r="M62" s="1464" t="s">
        <v>862</v>
      </c>
      <c r="O62" s="1418" t="s">
        <v>409</v>
      </c>
      <c r="P62" s="1419" t="s">
        <v>863</v>
      </c>
      <c r="Q62" s="1420">
        <f ca="1">Q56+Q57</f>
        <v>51789</v>
      </c>
      <c r="R62" s="1420" t="s">
        <v>410</v>
      </c>
    </row>
    <row r="63" spans="1:18" s="1384" customFormat="1" ht="13.5" thickBot="1">
      <c r="A63" s="326"/>
      <c r="B63" s="956"/>
      <c r="C63" s="26"/>
      <c r="D63" s="966"/>
      <c r="E63" s="950" t="s">
        <v>788</v>
      </c>
      <c r="F63" s="303">
        <f t="shared" ca="1" si="0"/>
        <v>9100.1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149.16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27.41</v>
      </c>
      <c r="D65" s="964" t="s">
        <v>743</v>
      </c>
      <c r="E65" s="950" t="s">
        <v>744</v>
      </c>
      <c r="F65" s="330">
        <f t="shared" ca="1" si="0"/>
        <v>1.5E-3</v>
      </c>
      <c r="I65" s="1462" t="s">
        <v>867</v>
      </c>
      <c r="J65" s="1463">
        <v>40</v>
      </c>
      <c r="K65" s="1463">
        <v>30</v>
      </c>
      <c r="L65" s="1463">
        <v>50</v>
      </c>
      <c r="M65" s="1465">
        <v>0.02</v>
      </c>
      <c r="O65" s="1418" t="s">
        <v>403</v>
      </c>
      <c r="P65" s="1419" t="s">
        <v>868</v>
      </c>
      <c r="Q65" s="1420">
        <f ca="1">C40+J29</f>
        <v>51789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-180</v>
      </c>
      <c r="D67" s="963" t="s">
        <v>753</v>
      </c>
      <c r="E67" s="968"/>
      <c r="F67" s="969"/>
      <c r="O67" s="1428" t="s">
        <v>405</v>
      </c>
      <c r="P67" s="1419" t="s">
        <v>850</v>
      </c>
      <c r="Q67" s="1466">
        <f ca="1">L51</f>
        <v>14968</v>
      </c>
      <c r="R67" s="1420" t="s">
        <v>870</v>
      </c>
    </row>
    <row r="68" spans="1:18" s="1384" customFormat="1" ht="16.5" thickBot="1">
      <c r="A68" s="947" t="s">
        <v>395</v>
      </c>
      <c r="B68" s="948" t="s">
        <v>774</v>
      </c>
      <c r="C68" s="301">
        <f ca="1">ROUND(C67*(1-((1+F70)/(1+F68))^F69)/(F68-F70),0)</f>
        <v>-3074</v>
      </c>
      <c r="D68" s="965" t="s">
        <v>758</v>
      </c>
      <c r="E68" s="950" t="s">
        <v>759</v>
      </c>
      <c r="F68" s="312">
        <f ca="1">F40</f>
        <v>5.1999999999999998E-2</v>
      </c>
      <c r="O68" s="1428" t="s">
        <v>406</v>
      </c>
      <c r="P68" s="1467" t="s">
        <v>871</v>
      </c>
      <c r="Q68" s="1420">
        <f ca="1">ROUND(Q69-Q70*Q71,0)</f>
        <v>793</v>
      </c>
      <c r="R68" s="1420" t="s">
        <v>414</v>
      </c>
    </row>
    <row r="69" spans="1:18" s="1384" customFormat="1" ht="13.5" thickBot="1">
      <c r="A69" s="951"/>
      <c r="B69" s="952"/>
      <c r="C69" s="306"/>
      <c r="D69" s="970" t="s">
        <v>762</v>
      </c>
      <c r="E69" s="950" t="s">
        <v>763</v>
      </c>
      <c r="F69" s="333">
        <f ca="1">F41</f>
        <v>43.21</v>
      </c>
      <c r="O69" s="1428" t="s">
        <v>411</v>
      </c>
      <c r="P69" s="1467" t="s">
        <v>872</v>
      </c>
      <c r="Q69" s="1420">
        <f ca="1">C39</f>
        <v>2072</v>
      </c>
      <c r="R69" s="1420" t="s">
        <v>818</v>
      </c>
    </row>
    <row r="70" spans="1:18" s="1384" customFormat="1" ht="13.5" thickBot="1">
      <c r="A70" s="954"/>
      <c r="B70" s="955"/>
      <c r="C70" s="310"/>
      <c r="D70" s="966"/>
      <c r="E70" s="950" t="s">
        <v>766</v>
      </c>
      <c r="F70" s="1054"/>
      <c r="O70" s="1428" t="s">
        <v>412</v>
      </c>
      <c r="P70" s="1467" t="s">
        <v>873</v>
      </c>
      <c r="Q70" s="1420">
        <f ca="1">C13</f>
        <v>18272</v>
      </c>
      <c r="R70" s="1420" t="s">
        <v>818</v>
      </c>
    </row>
    <row r="71" spans="1:18" s="1384" customFormat="1" ht="13.5" thickBot="1">
      <c r="A71" s="971" t="s">
        <v>396</v>
      </c>
      <c r="B71" s="972" t="s">
        <v>776</v>
      </c>
      <c r="C71" s="336">
        <f ca="1">ROUND(C68*10000/F71,0)</f>
        <v>-1106</v>
      </c>
      <c r="D71" s="973" t="s">
        <v>777</v>
      </c>
      <c r="E71" s="974" t="s">
        <v>778</v>
      </c>
      <c r="F71" s="339">
        <f ca="1">F43</f>
        <v>27788.400000000001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1279</v>
      </c>
      <c r="D75" s="1384"/>
      <c r="E75" s="1384"/>
      <c r="F75" s="1384"/>
      <c r="K75" s="1402"/>
      <c r="L75" s="1384"/>
      <c r="O75" s="1418" t="s">
        <v>409</v>
      </c>
      <c r="P75" s="1419" t="s">
        <v>838</v>
      </c>
      <c r="Q75" s="1420">
        <f ca="1">Q65+Q66</f>
        <v>51789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0.38300000000000001</v>
      </c>
    </row>
    <row r="80" spans="1:18">
      <c r="B80" s="340" t="s">
        <v>800</v>
      </c>
      <c r="C80" s="274">
        <f ca="1">ROUND(C75/C39,3)</f>
        <v>0.61699999999999999</v>
      </c>
    </row>
    <row r="81" spans="2:3">
      <c r="B81" s="270" t="s">
        <v>801</v>
      </c>
      <c r="C81" s="238"/>
    </row>
    <row r="82" spans="2:3">
      <c r="B82" s="273" t="s">
        <v>802</v>
      </c>
      <c r="C82" s="275">
        <f ca="1">1-C83</f>
        <v>0.64700000000000002</v>
      </c>
    </row>
    <row r="83" spans="2:3">
      <c r="B83" s="273" t="s">
        <v>803</v>
      </c>
      <c r="C83" s="274">
        <f ca="1">ROUND(C13/C40,3)</f>
        <v>0.35299999999999998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4" t="s">
        <v>694</v>
      </c>
      <c r="C6" s="1074">
        <f ca="1">ROUND(F6*F8*F7*(1-F9),0)</f>
        <v>0</v>
      </c>
      <c r="D6" s="155" t="s">
        <v>2105</v>
      </c>
      <c r="E6" s="302" t="s">
        <v>696</v>
      </c>
      <c r="F6" s="303">
        <f ca="1">INDIRECT("'数据-取费表'!u"&amp;$G$1)</f>
        <v>0</v>
      </c>
      <c r="G6" s="1384"/>
      <c r="H6" s="1069" t="s">
        <v>398</v>
      </c>
      <c r="I6" s="3674" t="s">
        <v>694</v>
      </c>
      <c r="J6" s="301">
        <f ca="1">ROUND(M6*M8*M7*(1-M9),0)</f>
        <v>0</v>
      </c>
      <c r="K6" s="1376" t="s">
        <v>2106</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0</v>
      </c>
      <c r="G7" s="1384"/>
      <c r="H7" s="304"/>
      <c r="I7" s="3675"/>
      <c r="J7" s="306"/>
      <c r="K7" s="307"/>
      <c r="L7" s="302" t="s">
        <v>697</v>
      </c>
      <c r="M7" s="303">
        <f ca="1">F7</f>
        <v>0</v>
      </c>
    </row>
    <row r="8" spans="1:37" ht="18" customHeight="1">
      <c r="A8" s="304"/>
      <c r="B8" s="3675"/>
      <c r="C8" s="306"/>
      <c r="D8" s="307"/>
      <c r="E8" s="302" t="s">
        <v>698</v>
      </c>
      <c r="F8" s="303">
        <f ca="1">INDIRECT("'数据-取费表'!ai"&amp;$G$1)</f>
        <v>0</v>
      </c>
      <c r="G8" s="1384"/>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t="s">
        <v>3399</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t="e">
        <f ca="1">ROUND((C68-C40)/10000,4)</f>
        <v>#DIV/0!</v>
      </c>
      <c r="D45" s="3424"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2022</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0.98299999999999998</v>
      </c>
      <c r="R50" s="1420"/>
    </row>
    <row r="51" spans="1:18" s="1384" customFormat="1" ht="13.5" thickBot="1">
      <c r="A51" s="977"/>
      <c r="B51" s="979"/>
      <c r="C51" s="980"/>
      <c r="D51" s="953"/>
      <c r="E51" s="981" t="s">
        <v>698</v>
      </c>
      <c r="F51" s="303">
        <f ca="1">F8</f>
        <v>0</v>
      </c>
      <c r="I51" s="1432" t="s">
        <v>829</v>
      </c>
      <c r="J51" s="1433">
        <f>IF(J49="",J50,J49+J50-YEAR('数据-取费表'!B2))</f>
        <v>59</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0</v>
      </c>
      <c r="K53" s="3672" t="s">
        <v>837</v>
      </c>
      <c r="L53" s="367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0.98299999999999998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3402</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0.98299999999999998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83" t="s">
        <v>2309</v>
      </c>
      <c r="K2" s="3684"/>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85" t="s">
        <v>2319</v>
      </c>
      <c r="K3" s="3686"/>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85" t="s">
        <v>2321</v>
      </c>
      <c r="K4" s="3686"/>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91" t="s">
        <v>2325</v>
      </c>
      <c r="B6" s="3692"/>
      <c r="C6" s="3693"/>
      <c r="D6" s="2862"/>
      <c r="E6" s="2863"/>
      <c r="F6" s="2864"/>
      <c r="G6" s="2865"/>
      <c r="H6" s="2840"/>
      <c r="I6" s="2841"/>
      <c r="J6" s="3677">
        <v>1</v>
      </c>
      <c r="K6" s="3678"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77"/>
      <c r="K7" s="3679"/>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94" t="s">
        <v>2339</v>
      </c>
      <c r="C8" s="3695"/>
      <c r="D8" s="2881" t="s">
        <v>2340</v>
      </c>
      <c r="E8" s="2882" t="s">
        <v>2341</v>
      </c>
      <c r="F8" s="2883" t="s">
        <v>2342</v>
      </c>
      <c r="G8" s="2884"/>
      <c r="H8" s="2840"/>
      <c r="I8" s="2841"/>
      <c r="J8" s="3677"/>
      <c r="K8" s="3679"/>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94" t="s">
        <v>2345</v>
      </c>
      <c r="C9" s="3695"/>
      <c r="D9" s="2881">
        <f>ROUND(D6*E9,0)</f>
        <v>0</v>
      </c>
      <c r="E9" s="2885"/>
      <c r="F9" s="2886" t="s">
        <v>2346</v>
      </c>
      <c r="G9" s="2865"/>
      <c r="H9" s="2840"/>
      <c r="I9" s="2841"/>
      <c r="J9" s="3677"/>
      <c r="K9" s="3679"/>
      <c r="L9" s="2875" t="s">
        <v>2347</v>
      </c>
      <c r="M9" s="2876"/>
      <c r="N9" s="2852"/>
      <c r="O9" s="2877"/>
      <c r="P9" s="2877"/>
      <c r="Q9" s="2878">
        <v>365</v>
      </c>
      <c r="R9" s="2879">
        <f t="shared" si="0"/>
        <v>0</v>
      </c>
      <c r="S9" s="2833"/>
      <c r="T9" s="2833"/>
      <c r="U9" s="2833"/>
      <c r="V9" s="2841"/>
    </row>
    <row r="10" spans="1:22" s="2845" customFormat="1" ht="13.15" customHeight="1">
      <c r="A10" s="2880">
        <v>2</v>
      </c>
      <c r="B10" s="3694" t="s">
        <v>2348</v>
      </c>
      <c r="C10" s="3695"/>
      <c r="D10" s="2881">
        <f>ROUND(D6*E10,0)</f>
        <v>0</v>
      </c>
      <c r="E10" s="2885"/>
      <c r="F10" s="2886" t="s">
        <v>2349</v>
      </c>
      <c r="G10" s="2865"/>
      <c r="H10" s="2840"/>
      <c r="I10" s="2841"/>
      <c r="J10" s="3677"/>
      <c r="K10" s="3679"/>
      <c r="L10" s="2875" t="s">
        <v>2350</v>
      </c>
      <c r="M10" s="2876"/>
      <c r="N10" s="2852"/>
      <c r="O10" s="2877"/>
      <c r="P10" s="2877"/>
      <c r="Q10" s="2878">
        <v>365</v>
      </c>
      <c r="R10" s="2879">
        <f t="shared" si="0"/>
        <v>0</v>
      </c>
      <c r="S10" s="2833"/>
      <c r="T10" s="2833"/>
      <c r="U10" s="2833"/>
      <c r="V10" s="2841"/>
    </row>
    <row r="11" spans="1:22" s="2845" customFormat="1" ht="13.15" customHeight="1">
      <c r="A11" s="2880">
        <v>3</v>
      </c>
      <c r="B11" s="3694" t="s">
        <v>2351</v>
      </c>
      <c r="C11" s="3695"/>
      <c r="D11" s="2881">
        <f>D12+D14+D15+D16</f>
        <v>0</v>
      </c>
      <c r="E11" s="2887" t="e">
        <f>D11/D6</f>
        <v>#DIV/0!</v>
      </c>
      <c r="F11" s="2883"/>
      <c r="G11" s="2884"/>
      <c r="H11" s="2840"/>
      <c r="I11" s="2841"/>
      <c r="J11" s="3677"/>
      <c r="K11" s="3679"/>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87" t="s">
        <v>2354</v>
      </c>
      <c r="C12" s="3688"/>
      <c r="D12" s="2889">
        <f>ROUND(D13*1.2%*(1-30%),0)</f>
        <v>0</v>
      </c>
      <c r="E12" s="2890">
        <v>1.2E-2</v>
      </c>
      <c r="F12" s="2883" t="s">
        <v>2355</v>
      </c>
      <c r="G12" s="2884"/>
      <c r="H12" s="2840"/>
      <c r="I12" s="2841"/>
      <c r="J12" s="3677"/>
      <c r="K12" s="3679"/>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77"/>
      <c r="K13" s="3679"/>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87" t="s">
        <v>2360</v>
      </c>
      <c r="C14" s="3688"/>
      <c r="D14" s="2889">
        <f>ROUND(E14*B5/10000,0)</f>
        <v>0</v>
      </c>
      <c r="E14" s="2878"/>
      <c r="F14" s="2883" t="s">
        <v>2361</v>
      </c>
      <c r="G14" s="2884"/>
      <c r="H14" s="2840"/>
      <c r="I14" s="2841"/>
      <c r="J14" s="3677"/>
      <c r="K14" s="3680"/>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87" t="s">
        <v>2364</v>
      </c>
      <c r="C15" s="3688"/>
      <c r="D15" s="2889">
        <f>ROUND(D6*E15,0)</f>
        <v>0</v>
      </c>
      <c r="E15" s="2890">
        <v>5.5E-2</v>
      </c>
      <c r="F15" s="2883" t="s">
        <v>2365</v>
      </c>
      <c r="G15" s="2865"/>
      <c r="H15" s="2840"/>
      <c r="I15" s="2841"/>
      <c r="J15" s="3677">
        <v>2</v>
      </c>
      <c r="K15" s="3678"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87" t="s">
        <v>2373</v>
      </c>
      <c r="C16" s="3688"/>
      <c r="D16" s="2900">
        <f>D6*E16</f>
        <v>0</v>
      </c>
      <c r="E16" s="2901"/>
      <c r="F16" s="2886" t="s">
        <v>2374</v>
      </c>
      <c r="G16" s="2865"/>
      <c r="H16" s="2840"/>
      <c r="I16" s="2841"/>
      <c r="J16" s="3677"/>
      <c r="K16" s="3679"/>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89" t="s">
        <v>2376</v>
      </c>
      <c r="C17" s="3690"/>
      <c r="D17" s="2903">
        <f>ROUND(D6*E17,0)</f>
        <v>0</v>
      </c>
      <c r="E17" s="2904"/>
      <c r="F17" s="2905" t="s">
        <v>2377</v>
      </c>
      <c r="G17" s="2865"/>
      <c r="H17" s="2840"/>
      <c r="I17" s="2841"/>
      <c r="J17" s="3677"/>
      <c r="K17" s="3679"/>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77"/>
      <c r="K18" s="3679"/>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77"/>
      <c r="K19" s="3680"/>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77">
        <v>3</v>
      </c>
      <c r="K20" s="3678"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77"/>
      <c r="K21" s="3679"/>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77"/>
      <c r="K22" s="3679"/>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77"/>
      <c r="K23" s="3679"/>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77"/>
      <c r="K24" s="3680"/>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81">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8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83" t="s">
        <v>2309</v>
      </c>
      <c r="K32" s="3684"/>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85" t="s">
        <v>2319</v>
      </c>
      <c r="K33" s="3686"/>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85" t="s">
        <v>2321</v>
      </c>
      <c r="K34" s="368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77">
        <v>1</v>
      </c>
      <c r="K36" s="3678"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77"/>
      <c r="K37" s="3679"/>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77"/>
      <c r="K38" s="3679"/>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77"/>
      <c r="K39" s="3679"/>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77"/>
      <c r="K40" s="3680"/>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81">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8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52117</v>
      </c>
      <c r="C2" s="1872" t="s">
        <v>1650</v>
      </c>
      <c r="D2" s="1873" t="s">
        <v>1651</v>
      </c>
      <c r="E2" s="2599">
        <f>SUM(E6:E13)</f>
        <v>27788.400000000001</v>
      </c>
      <c r="F2" s="2699"/>
      <c r="G2" s="1489"/>
      <c r="H2" s="1489"/>
      <c r="I2" s="1489"/>
      <c r="J2" s="1489"/>
      <c r="K2" s="1489"/>
      <c r="L2" s="1489"/>
      <c r="M2" s="1489"/>
      <c r="N2" s="1489"/>
      <c r="O2" s="1489"/>
      <c r="P2" s="1489"/>
      <c r="Q2" s="1489"/>
      <c r="R2" s="1489"/>
      <c r="S2" s="1489"/>
    </row>
    <row r="3" spans="1:22" ht="15.75">
      <c r="A3" s="1870" t="s">
        <v>686</v>
      </c>
      <c r="B3" s="2593">
        <f ca="1">ROUND(B2*10000/E2,0)</f>
        <v>18755</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696" t="s">
        <v>1653</v>
      </c>
      <c r="C5" s="3697"/>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52117</v>
      </c>
      <c r="C6" s="1872" t="s">
        <v>1650</v>
      </c>
      <c r="D6" s="2701"/>
      <c r="E6" s="2598">
        <f>IF(OR(A6=0,F6="否"),0,'数据-取费表'!K6+'数据-取费表'!S6)</f>
        <v>27788.400000000001</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27788.400000000001</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16" t="s">
        <v>1666</v>
      </c>
      <c r="D4" s="3717"/>
      <c r="E4" s="3718" t="s">
        <v>1667</v>
      </c>
      <c r="F4" s="3719"/>
      <c r="G4" s="3716" t="s">
        <v>1668</v>
      </c>
      <c r="H4" s="3717"/>
      <c r="I4" s="3716" t="s">
        <v>1669</v>
      </c>
      <c r="J4" s="3717"/>
      <c r="K4" s="1889" t="s">
        <v>1670</v>
      </c>
      <c r="L4" s="2707"/>
      <c r="M4" s="2708"/>
      <c r="N4" s="2708"/>
      <c r="O4" s="2708"/>
      <c r="P4" s="3720" t="s">
        <v>1671</v>
      </c>
      <c r="Q4" s="3721"/>
      <c r="R4" s="3726" t="s">
        <v>1667</v>
      </c>
      <c r="S4" s="3727"/>
      <c r="T4" s="3726" t="s">
        <v>1668</v>
      </c>
      <c r="U4" s="3727"/>
      <c r="V4" s="3732" t="s">
        <v>1669</v>
      </c>
      <c r="W4" s="3732"/>
      <c r="X4" s="1355"/>
      <c r="Y4" s="3726" t="s">
        <v>1671</v>
      </c>
      <c r="Z4" s="3727"/>
      <c r="AA4" s="3713" t="s">
        <v>1667</v>
      </c>
      <c r="AB4" s="3713" t="s">
        <v>1668</v>
      </c>
      <c r="AC4" s="3713" t="s">
        <v>1669</v>
      </c>
    </row>
    <row r="5" spans="1:29" ht="15">
      <c r="A5" s="358"/>
      <c r="B5" s="359"/>
      <c r="C5" s="3735" t="s">
        <v>1672</v>
      </c>
      <c r="D5" s="3736"/>
      <c r="E5" s="3742" t="s">
        <v>1673</v>
      </c>
      <c r="F5" s="3743"/>
      <c r="G5" s="3735" t="s">
        <v>1674</v>
      </c>
      <c r="H5" s="3736"/>
      <c r="I5" s="3735" t="s">
        <v>1675</v>
      </c>
      <c r="J5" s="3736"/>
      <c r="K5" s="1890"/>
      <c r="L5" s="2707"/>
      <c r="M5" s="2708"/>
      <c r="N5" s="2708"/>
      <c r="O5" s="2708"/>
      <c r="P5" s="3722"/>
      <c r="Q5" s="3723"/>
      <c r="R5" s="3728"/>
      <c r="S5" s="3729"/>
      <c r="T5" s="3728"/>
      <c r="U5" s="3729"/>
      <c r="V5" s="3732"/>
      <c r="W5" s="3732"/>
      <c r="X5" s="1355"/>
      <c r="Y5" s="3728"/>
      <c r="Z5" s="3729"/>
      <c r="AA5" s="3714"/>
      <c r="AB5" s="3714"/>
      <c r="AC5" s="3714"/>
    </row>
    <row r="6" spans="1:29" ht="15.75" thickBot="1">
      <c r="A6" s="360"/>
      <c r="B6" s="361"/>
      <c r="C6" s="3733" t="s">
        <v>1676</v>
      </c>
      <c r="D6" s="3734"/>
      <c r="E6" s="3740" t="s">
        <v>1676</v>
      </c>
      <c r="F6" s="3741"/>
      <c r="G6" s="3733" t="s">
        <v>1676</v>
      </c>
      <c r="H6" s="3734"/>
      <c r="I6" s="3733" t="s">
        <v>1676</v>
      </c>
      <c r="J6" s="3734"/>
      <c r="K6" s="1890" t="s">
        <v>1677</v>
      </c>
      <c r="L6" s="2707"/>
      <c r="M6" s="2708"/>
      <c r="N6" s="2708"/>
      <c r="O6" s="2708"/>
      <c r="P6" s="3724"/>
      <c r="Q6" s="3725"/>
      <c r="R6" s="3728"/>
      <c r="S6" s="3729"/>
      <c r="T6" s="3730"/>
      <c r="U6" s="3731"/>
      <c r="V6" s="3732"/>
      <c r="W6" s="3732"/>
      <c r="X6" s="1355"/>
      <c r="Y6" s="3730"/>
      <c r="Z6" s="3731"/>
      <c r="AA6" s="3715"/>
      <c r="AB6" s="3715"/>
      <c r="AC6" s="3715"/>
    </row>
    <row r="7" spans="1:29" s="108" customFormat="1" ht="15.75" thickBot="1">
      <c r="A7" s="362" t="s">
        <v>1678</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37" t="s">
        <v>1679</v>
      </c>
      <c r="Q7" s="3739"/>
      <c r="R7" s="701" t="s">
        <v>20</v>
      </c>
      <c r="S7" s="702">
        <f t="shared" ref="S7:S15" si="0">F7</f>
        <v>0</v>
      </c>
      <c r="T7" s="701" t="s">
        <v>20</v>
      </c>
      <c r="U7" s="702">
        <f t="shared" ref="U7:U15" si="1">H7</f>
        <v>0</v>
      </c>
      <c r="V7" s="701" t="s">
        <v>20</v>
      </c>
      <c r="W7" s="702">
        <f t="shared" ref="W7:W15" si="2">J7</f>
        <v>0</v>
      </c>
      <c r="X7" s="703"/>
      <c r="Y7" s="3737" t="s">
        <v>1679</v>
      </c>
      <c r="Z7" s="373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37" t="s">
        <v>1682</v>
      </c>
      <c r="Q8" s="3738"/>
      <c r="R8" s="701" t="s">
        <v>20</v>
      </c>
      <c r="S8" s="702">
        <f t="shared" si="0"/>
        <v>100</v>
      </c>
      <c r="T8" s="701" t="s">
        <v>20</v>
      </c>
      <c r="U8" s="702">
        <f t="shared" si="1"/>
        <v>100</v>
      </c>
      <c r="V8" s="701" t="s">
        <v>20</v>
      </c>
      <c r="W8" s="702">
        <f t="shared" si="2"/>
        <v>100</v>
      </c>
      <c r="X8" s="703"/>
      <c r="Y8" s="3737" t="s">
        <v>1682</v>
      </c>
      <c r="Z8" s="373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2"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2"/>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2"/>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2"/>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2"/>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10" t="s">
        <v>1690</v>
      </c>
      <c r="Q15" s="1352" t="str">
        <f t="shared" si="6"/>
        <v>居住社区成熟度</v>
      </c>
      <c r="R15" s="705" t="s">
        <v>18</v>
      </c>
      <c r="S15" s="706">
        <f t="shared" si="0"/>
        <v>100</v>
      </c>
      <c r="T15" s="705" t="s">
        <v>18</v>
      </c>
      <c r="U15" s="706">
        <f t="shared" si="1"/>
        <v>100</v>
      </c>
      <c r="V15" s="705" t="s">
        <v>18</v>
      </c>
      <c r="W15" s="706">
        <f t="shared" si="2"/>
        <v>100</v>
      </c>
      <c r="X15" s="1355"/>
      <c r="Y15" s="370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11"/>
      <c r="Q16" s="1352"/>
      <c r="R16" s="705"/>
      <c r="S16" s="706"/>
      <c r="T16" s="705"/>
      <c r="U16" s="706"/>
      <c r="V16" s="705"/>
      <c r="W16" s="706"/>
      <c r="X16" s="1355"/>
      <c r="Y16" s="370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11"/>
      <c r="Q18" s="1352"/>
      <c r="R18" s="705"/>
      <c r="S18" s="706"/>
      <c r="T18" s="705"/>
      <c r="U18" s="706"/>
      <c r="V18" s="705"/>
      <c r="W18" s="706"/>
      <c r="X18" s="1355"/>
      <c r="Y18" s="370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11"/>
      <c r="Q20" s="1352"/>
      <c r="R20" s="705"/>
      <c r="S20" s="706"/>
      <c r="T20" s="705"/>
      <c r="U20" s="706"/>
      <c r="V20" s="705"/>
      <c r="W20" s="706"/>
      <c r="X20" s="1355"/>
      <c r="Y20" s="370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11"/>
      <c r="Q22" s="1352"/>
      <c r="R22" s="705"/>
      <c r="S22" s="706"/>
      <c r="T22" s="705"/>
      <c r="U22" s="706"/>
      <c r="V22" s="705"/>
      <c r="W22" s="706"/>
      <c r="X22" s="1355"/>
      <c r="Y22" s="370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11"/>
      <c r="Q24" s="1352"/>
      <c r="R24" s="705"/>
      <c r="S24" s="706"/>
      <c r="T24" s="705"/>
      <c r="U24" s="706"/>
      <c r="V24" s="705"/>
      <c r="W24" s="706"/>
      <c r="X24" s="1355"/>
      <c r="Y24" s="370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05" t="s">
        <v>1695</v>
      </c>
      <c r="Q32" s="1352" t="str">
        <f t="shared" si="11"/>
        <v>建筑类型</v>
      </c>
      <c r="R32" s="705" t="s">
        <v>18</v>
      </c>
      <c r="S32" s="706">
        <f t="shared" si="12"/>
        <v>100</v>
      </c>
      <c r="T32" s="705" t="s">
        <v>18</v>
      </c>
      <c r="U32" s="706">
        <f t="shared" si="13"/>
        <v>100</v>
      </c>
      <c r="V32" s="705" t="s">
        <v>18</v>
      </c>
      <c r="W32" s="706">
        <f t="shared" si="14"/>
        <v>100</v>
      </c>
      <c r="X32" s="1355"/>
      <c r="Y32" s="370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377">
        <v>2</v>
      </c>
      <c r="L34" s="2714"/>
      <c r="M34" s="2708"/>
      <c r="N34" s="2708"/>
      <c r="O34" s="2708"/>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1699</v>
      </c>
      <c r="C36" s="1906" t="s">
        <v>3403</v>
      </c>
      <c r="D36" s="386">
        <v>100</v>
      </c>
      <c r="E36" s="1906" t="s">
        <v>3403</v>
      </c>
      <c r="F36" s="412">
        <f>SUMIF(109:109,E36,110:110)-SUMIF(109:109,C36,110:110)+100</f>
        <v>100</v>
      </c>
      <c r="G36" s="1906" t="s">
        <v>3403</v>
      </c>
      <c r="H36" s="386">
        <f>SUMIF(109:109,G36,110:110)-SUMIF(109:109,C36,110:110)+100</f>
        <v>100</v>
      </c>
      <c r="I36" s="1906" t="s">
        <v>3403</v>
      </c>
      <c r="J36" s="386">
        <f>SUMIF(109:109,I36,110:110)-SUMIF(109:109,C36,110:110)+100</f>
        <v>100</v>
      </c>
      <c r="K36" s="377">
        <v>2</v>
      </c>
      <c r="L36" s="2714"/>
      <c r="M36" s="2708"/>
      <c r="N36" s="2708"/>
      <c r="O36" s="2708"/>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1701</v>
      </c>
      <c r="C38" s="1906" t="s">
        <v>3404</v>
      </c>
      <c r="D38" s="386">
        <v>100</v>
      </c>
      <c r="E38" s="1906" t="s">
        <v>3404</v>
      </c>
      <c r="F38" s="412">
        <f>SUMIF(114:114,E38,115:115)-SUMIF(114:114,C38,115:115)+100</f>
        <v>100</v>
      </c>
      <c r="G38" s="1906" t="s">
        <v>3404</v>
      </c>
      <c r="H38" s="386">
        <f>SUMIF(114:114,G38,115:115)-SUMIF(114:114,C38,115:115)+100</f>
        <v>100</v>
      </c>
      <c r="I38" s="1906" t="s">
        <v>3404</v>
      </c>
      <c r="J38" s="386">
        <f>SUMIF(114:114,I38,115:115)-SUMIF(114:114,C38,115:115)+100</f>
        <v>100</v>
      </c>
      <c r="K38" s="377">
        <v>2</v>
      </c>
      <c r="L38" s="2714"/>
      <c r="M38" s="2708"/>
      <c r="N38" s="2708"/>
      <c r="O38" s="2708"/>
      <c r="P38" s="3706" t="s">
        <v>1695</v>
      </c>
      <c r="Q38" s="1352" t="str">
        <f t="shared" si="11"/>
        <v>物业管理</v>
      </c>
      <c r="R38" s="705" t="s">
        <v>18</v>
      </c>
      <c r="S38" s="706">
        <f t="shared" si="12"/>
        <v>100</v>
      </c>
      <c r="T38" s="705" t="s">
        <v>18</v>
      </c>
      <c r="U38" s="706">
        <f t="shared" si="13"/>
        <v>100</v>
      </c>
      <c r="V38" s="705" t="s">
        <v>18</v>
      </c>
      <c r="W38" s="706">
        <f t="shared" si="14"/>
        <v>100</v>
      </c>
      <c r="X38" s="1355"/>
      <c r="Y38" s="3708" t="s">
        <v>1695</v>
      </c>
      <c r="Z38" s="1356" t="str">
        <f t="shared" si="18"/>
        <v>物业管理</v>
      </c>
      <c r="AA38" s="1353">
        <f t="shared" si="15"/>
        <v>1</v>
      </c>
      <c r="AB38" s="1353">
        <f t="shared" si="16"/>
        <v>1</v>
      </c>
      <c r="AC38" s="1353">
        <f t="shared" si="17"/>
        <v>1</v>
      </c>
    </row>
    <row r="39" spans="1:29" ht="15">
      <c r="A39" s="423"/>
      <c r="B39" s="375" t="s">
        <v>1702</v>
      </c>
      <c r="C39" s="1906" t="s">
        <v>3388</v>
      </c>
      <c r="D39" s="386">
        <v>100</v>
      </c>
      <c r="E39" s="1906" t="s">
        <v>3388</v>
      </c>
      <c r="F39" s="412">
        <f>SUMIF(116:116,E39,117:117)-SUMIF(116:116,C39,117:117)+100</f>
        <v>100</v>
      </c>
      <c r="G39" s="1906" t="s">
        <v>3388</v>
      </c>
      <c r="H39" s="386">
        <f>SUMIF(116:116,G39,117:117)-SUMIF(116:116,C39,117:117)+100</f>
        <v>100</v>
      </c>
      <c r="I39" s="1906" t="s">
        <v>3388</v>
      </c>
      <c r="J39" s="386">
        <f>SUMIF(116:116,I39,117:117)-SUMIF(116:116,C39,117:117)+100</f>
        <v>100</v>
      </c>
      <c r="K39" s="377">
        <v>1</v>
      </c>
      <c r="L39" s="2714"/>
      <c r="M39" s="2708"/>
      <c r="N39" s="2708"/>
      <c r="O39" s="2708"/>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377">
        <v>2</v>
      </c>
      <c r="L43" s="2714"/>
      <c r="M43" s="2708"/>
      <c r="N43" s="2708"/>
      <c r="O43" s="2708"/>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6"/>
      <c r="M47" s="2717"/>
      <c r="N47" s="2708"/>
      <c r="O47" s="2717"/>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6"/>
      <c r="M48" s="2717"/>
      <c r="N48" s="2717"/>
      <c r="O48" s="2717"/>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6"/>
      <c r="M49" s="2717"/>
      <c r="N49" s="2717"/>
      <c r="O49" s="2717"/>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t="s">
        <v>3420</v>
      </c>
      <c r="F1" s="1879" t="s">
        <v>3421</v>
      </c>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f>IF(E1="项目模式",IF(C2="——",ROUND(C49*D3/10000,0),ROUND(C49*D3/10000,0)-D2),IF(E1="单套模式",IF(C2="——",ROUND(C49*D3/10000,4),ROUND(C49*D3/10000,4)-D2)))</f>
        <v>19668.629499999999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7078</v>
      </c>
      <c r="C3" s="354" t="s">
        <v>1767</v>
      </c>
      <c r="D3" s="353">
        <f>IF(D1="",'数据-汇总表'!E3,SUMIF('数据-汇总表'!$C19:$C33,D1,'数据-汇总表'!$E19:$E33))</f>
        <v>27788.400000000001</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26" t="s">
        <v>1770</v>
      </c>
      <c r="S4" s="3727"/>
      <c r="T4" s="3726" t="s">
        <v>1771</v>
      </c>
      <c r="U4" s="3727"/>
      <c r="V4" s="3732" t="s">
        <v>1772</v>
      </c>
      <c r="W4" s="3732"/>
      <c r="X4" s="1355"/>
      <c r="Y4" s="3726" t="s">
        <v>1774</v>
      </c>
      <c r="Z4" s="3727"/>
      <c r="AA4" s="3713" t="s">
        <v>1770</v>
      </c>
      <c r="AB4" s="3732" t="s">
        <v>1771</v>
      </c>
      <c r="AC4" s="3713" t="s">
        <v>1772</v>
      </c>
    </row>
    <row r="5" spans="1:29" ht="15">
      <c r="A5" s="358"/>
      <c r="B5" s="359"/>
      <c r="C5" s="3735" t="s">
        <v>1672</v>
      </c>
      <c r="D5" s="3736"/>
      <c r="E5" s="3742" t="str">
        <f>案例!A2</f>
        <v>AAA</v>
      </c>
      <c r="F5" s="3743"/>
      <c r="G5" s="3735" t="str">
        <f>案例!A3</f>
        <v>BBB</v>
      </c>
      <c r="H5" s="3736"/>
      <c r="I5" s="3735" t="str">
        <f>案例!A4</f>
        <v>CCC</v>
      </c>
      <c r="J5" s="3736"/>
      <c r="K5" s="559"/>
      <c r="L5" s="2707"/>
      <c r="M5" s="2708"/>
      <c r="N5" s="2708"/>
      <c r="O5" s="2708"/>
      <c r="P5" s="3722"/>
      <c r="Q5" s="3723"/>
      <c r="R5" s="3728"/>
      <c r="S5" s="3729"/>
      <c r="T5" s="3728"/>
      <c r="U5" s="3729"/>
      <c r="V5" s="3732"/>
      <c r="W5" s="3732"/>
      <c r="X5" s="1355"/>
      <c r="Y5" s="3728"/>
      <c r="Z5" s="3729"/>
      <c r="AA5" s="3714"/>
      <c r="AB5" s="3732"/>
      <c r="AC5" s="3714"/>
    </row>
    <row r="6" spans="1:29" ht="15.75" thickBot="1">
      <c r="A6" s="360"/>
      <c r="B6" s="361"/>
      <c r="C6" s="3733" t="s">
        <v>1676</v>
      </c>
      <c r="D6" s="3734"/>
      <c r="E6" s="3740" t="s">
        <v>1676</v>
      </c>
      <c r="F6" s="3741"/>
      <c r="G6" s="3733" t="s">
        <v>1676</v>
      </c>
      <c r="H6" s="3734"/>
      <c r="I6" s="3733" t="s">
        <v>1676</v>
      </c>
      <c r="J6" s="3734"/>
      <c r="K6" s="559" t="s">
        <v>1677</v>
      </c>
      <c r="L6" s="2707"/>
      <c r="M6" s="2708"/>
      <c r="N6" s="2708"/>
      <c r="O6" s="2708"/>
      <c r="P6" s="3724"/>
      <c r="Q6" s="3725"/>
      <c r="R6" s="3728"/>
      <c r="S6" s="3729"/>
      <c r="T6" s="3730"/>
      <c r="U6" s="3731"/>
      <c r="V6" s="3732"/>
      <c r="W6" s="3732"/>
      <c r="X6" s="1355"/>
      <c r="Y6" s="3730"/>
      <c r="Z6" s="3731"/>
      <c r="AA6" s="3715"/>
      <c r="AB6" s="3732"/>
      <c r="AC6" s="3715"/>
    </row>
    <row r="7" spans="1:29" s="108" customFormat="1" ht="15.75" thickBot="1">
      <c r="A7" s="362" t="s">
        <v>1678</v>
      </c>
      <c r="B7" s="363"/>
      <c r="C7" s="364">
        <f>'数据-取费表'!B2</f>
        <v>45225</v>
      </c>
      <c r="D7" s="365">
        <v>100</v>
      </c>
      <c r="E7" s="366">
        <f>案例!B2</f>
        <v>45225</v>
      </c>
      <c r="F7" s="367">
        <f>SUMIF(58:58,YEAR(E7)&amp;"-"&amp;MONTH(E7),59:59)</f>
        <v>100</v>
      </c>
      <c r="G7" s="366">
        <f>案例!B3</f>
        <v>45225</v>
      </c>
      <c r="H7" s="365">
        <f>SUMIF(58:58,YEAR(G7)&amp;"-"&amp;MONTH(G7),59:59)</f>
        <v>100</v>
      </c>
      <c r="I7" s="366">
        <f>案例!B4</f>
        <v>45225</v>
      </c>
      <c r="J7" s="365">
        <f>SUMIF(58:58,YEAR(I7)&amp;"-"&amp;MONTH(I7),59:59)</f>
        <v>100</v>
      </c>
      <c r="K7" s="560"/>
      <c r="L7" s="2709"/>
      <c r="M7" s="2710"/>
      <c r="N7" s="2710"/>
      <c r="O7" s="2710"/>
      <c r="P7" s="3737" t="s">
        <v>1679</v>
      </c>
      <c r="Q7" s="3739"/>
      <c r="R7" s="701" t="s">
        <v>14</v>
      </c>
      <c r="S7" s="702">
        <f t="shared" ref="S7:S15" si="0">F7</f>
        <v>100</v>
      </c>
      <c r="T7" s="701" t="s">
        <v>14</v>
      </c>
      <c r="U7" s="702">
        <f t="shared" ref="U7:U15" si="1">H7</f>
        <v>100</v>
      </c>
      <c r="V7" s="701" t="s">
        <v>14</v>
      </c>
      <c r="W7" s="702">
        <f t="shared" ref="W7:W15" si="2">J7</f>
        <v>100</v>
      </c>
      <c r="X7" s="703"/>
      <c r="Y7" s="3737" t="s">
        <v>1679</v>
      </c>
      <c r="Z7" s="3738"/>
      <c r="AA7" s="704">
        <f>D7/F7</f>
        <v>1</v>
      </c>
      <c r="AB7" s="704">
        <f>D7/H7</f>
        <v>1</v>
      </c>
      <c r="AC7" s="704">
        <f>D7/J7</f>
        <v>1</v>
      </c>
    </row>
    <row r="8" spans="1:29" s="108" customFormat="1" ht="15.75" thickBot="1">
      <c r="A8" s="362" t="s">
        <v>1680</v>
      </c>
      <c r="B8" s="363"/>
      <c r="C8" s="368" t="s">
        <v>3393</v>
      </c>
      <c r="D8" s="365">
        <v>100</v>
      </c>
      <c r="E8" s="368" t="s">
        <v>3422</v>
      </c>
      <c r="F8" s="367">
        <f>SUMIF(61:61,E8,62:62)-SUMIF(61:61,C8,62:62)+100</f>
        <v>102</v>
      </c>
      <c r="G8" s="368" t="s">
        <v>3422</v>
      </c>
      <c r="H8" s="365">
        <f>SUMIF(61:61,G8,62:62)-SUMIF(61:61,C8,62:62)+100</f>
        <v>102</v>
      </c>
      <c r="I8" s="368" t="s">
        <v>3422</v>
      </c>
      <c r="J8" s="365">
        <f>SUMIF(61:61,I8,62:62)-SUMIF(61:61,C8,62:62)+100</f>
        <v>102</v>
      </c>
      <c r="K8" s="560"/>
      <c r="L8" s="2709"/>
      <c r="M8" s="2710"/>
      <c r="N8" s="2710"/>
      <c r="O8" s="2710"/>
      <c r="P8" s="3737" t="s">
        <v>1682</v>
      </c>
      <c r="Q8" s="3738"/>
      <c r="R8" s="701" t="s">
        <v>14</v>
      </c>
      <c r="S8" s="702">
        <f t="shared" si="0"/>
        <v>102</v>
      </c>
      <c r="T8" s="701" t="s">
        <v>14</v>
      </c>
      <c r="U8" s="702">
        <f t="shared" si="1"/>
        <v>102</v>
      </c>
      <c r="V8" s="701" t="s">
        <v>14</v>
      </c>
      <c r="W8" s="702">
        <f t="shared" si="2"/>
        <v>102</v>
      </c>
      <c r="X8" s="703"/>
      <c r="Y8" s="3737" t="s">
        <v>1682</v>
      </c>
      <c r="Z8" s="3738"/>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61" t="s">
        <v>3463</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2"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3385</v>
      </c>
      <c r="F15" s="394">
        <f>SUMIF(76:76,E16,77:77)-SUMIF(76:76,C16,77:77)+100</f>
        <v>100</v>
      </c>
      <c r="G15" s="393" t="s">
        <v>3385</v>
      </c>
      <c r="H15" s="392">
        <f>SUMIF(76:76,G16,77:77)-SUMIF(76:76,C16,77:77)+100</f>
        <v>100</v>
      </c>
      <c r="I15" s="393" t="s">
        <v>3385</v>
      </c>
      <c r="J15" s="392">
        <f>SUMIF(76:76,I16,77:77)-SUMIF(76:76,C16,77:77)+100</f>
        <v>100</v>
      </c>
      <c r="K15" s="563">
        <v>2</v>
      </c>
      <c r="L15" s="2714"/>
      <c r="M15" s="2708"/>
      <c r="N15" s="2708"/>
      <c r="O15" s="2708"/>
      <c r="P15" s="3710" t="s">
        <v>1690</v>
      </c>
      <c r="Q15" s="1352" t="str">
        <f t="shared" si="6"/>
        <v>商业繁华度</v>
      </c>
      <c r="R15" s="705" t="s">
        <v>14</v>
      </c>
      <c r="S15" s="706">
        <f t="shared" si="0"/>
        <v>100</v>
      </c>
      <c r="T15" s="705" t="s">
        <v>14</v>
      </c>
      <c r="U15" s="706">
        <f t="shared" si="1"/>
        <v>100</v>
      </c>
      <c r="V15" s="705" t="s">
        <v>14</v>
      </c>
      <c r="W15" s="706">
        <f t="shared" si="2"/>
        <v>100</v>
      </c>
      <c r="X15" s="1355"/>
      <c r="Y15" s="3703" t="s">
        <v>1690</v>
      </c>
      <c r="Z15" s="1356" t="str">
        <f t="shared" si="7"/>
        <v>商业繁华度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2714"/>
      <c r="M16" s="2708"/>
      <c r="N16" s="2708"/>
      <c r="O16" s="2708"/>
      <c r="P16" s="3711"/>
      <c r="Q16" s="1352"/>
      <c r="R16" s="705"/>
      <c r="S16" s="706"/>
      <c r="T16" s="705"/>
      <c r="U16" s="706"/>
      <c r="V16" s="705"/>
      <c r="W16" s="706"/>
      <c r="X16" s="1355"/>
      <c r="Y16" s="3704"/>
      <c r="Z16" s="1356"/>
      <c r="AA16" s="1353">
        <v>1</v>
      </c>
      <c r="AB16" s="1353">
        <v>1</v>
      </c>
      <c r="AC16" s="1353">
        <v>1</v>
      </c>
    </row>
    <row r="17" spans="1:29" ht="15">
      <c r="A17" s="379"/>
      <c r="B17" s="402" t="s">
        <v>1258</v>
      </c>
      <c r="C17" s="1900" t="str">
        <f>估价对象房地状况!C6</f>
        <v>较好</v>
      </c>
      <c r="D17" s="401">
        <v>100</v>
      </c>
      <c r="E17" s="403" t="s">
        <v>3385</v>
      </c>
      <c r="F17" s="404">
        <f>SUMIF(78:78,E18,79:79)-SUMIF(78:78,C18,79:79)+100</f>
        <v>100</v>
      </c>
      <c r="G17" s="403" t="s">
        <v>3385</v>
      </c>
      <c r="H17" s="406">
        <f>SUMIF(78:78,G18,79:79)-SUMIF(78:78,C18,79:79)+100</f>
        <v>100</v>
      </c>
      <c r="I17" s="403" t="s">
        <v>3385</v>
      </c>
      <c r="J17" s="406">
        <f>SUMIF(78:78,I18,79:79)-SUMIF(78:78,C18,79:79)+100</f>
        <v>100</v>
      </c>
      <c r="K17" s="563">
        <v>2</v>
      </c>
      <c r="L17" s="2714"/>
      <c r="M17" s="2708"/>
      <c r="N17" s="2708"/>
      <c r="O17" s="2708"/>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2714"/>
      <c r="M18" s="2708"/>
      <c r="N18" s="2708"/>
      <c r="O18" s="2708"/>
      <c r="P18" s="3711"/>
      <c r="Q18" s="1352"/>
      <c r="R18" s="705"/>
      <c r="S18" s="706"/>
      <c r="T18" s="705"/>
      <c r="U18" s="706"/>
      <c r="V18" s="705"/>
      <c r="W18" s="706"/>
      <c r="X18" s="1355"/>
      <c r="Y18" s="3704"/>
      <c r="Z18" s="1356"/>
      <c r="AA18" s="1353">
        <v>1</v>
      </c>
      <c r="AB18" s="1353">
        <v>1</v>
      </c>
      <c r="AC18" s="1353">
        <v>1</v>
      </c>
    </row>
    <row r="19" spans="1:29" ht="15">
      <c r="A19" s="379"/>
      <c r="B19" s="402" t="s">
        <v>1777</v>
      </c>
      <c r="C19" s="1900" t="str">
        <f>估价对象房地状况!C7</f>
        <v>较好</v>
      </c>
      <c r="D19" s="406">
        <v>100</v>
      </c>
      <c r="E19" s="408" t="s">
        <v>3385</v>
      </c>
      <c r="F19" s="409">
        <f>SUMIF(80:80,E20,81:81)-SUMIF(80:80,C20,81:81)+100</f>
        <v>100</v>
      </c>
      <c r="G19" s="408" t="s">
        <v>3385</v>
      </c>
      <c r="H19" s="401">
        <f>SUMIF(80:80,G20,81:81)-SUMIF(80:80,C20,81:81)+100</f>
        <v>100</v>
      </c>
      <c r="I19" s="408" t="s">
        <v>3385</v>
      </c>
      <c r="J19" s="401">
        <f>SUMIF(80:80,I20,81:81)-SUMIF(80:80,C20,81:81)+100</f>
        <v>100</v>
      </c>
      <c r="K19" s="563">
        <v>2</v>
      </c>
      <c r="L19" s="2714"/>
      <c r="M19" s="2708"/>
      <c r="N19" s="2708"/>
      <c r="O19" s="2708"/>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2714"/>
      <c r="M20" s="2708"/>
      <c r="N20" s="2708"/>
      <c r="O20" s="2708"/>
      <c r="P20" s="3711"/>
      <c r="Q20" s="1352"/>
      <c r="R20" s="705"/>
      <c r="S20" s="706"/>
      <c r="T20" s="705"/>
      <c r="U20" s="706"/>
      <c r="V20" s="705"/>
      <c r="W20" s="706"/>
      <c r="X20" s="1355"/>
      <c r="Y20" s="3704"/>
      <c r="Z20" s="1356"/>
      <c r="AA20" s="1353">
        <v>1</v>
      </c>
      <c r="AB20" s="1353">
        <v>1</v>
      </c>
      <c r="AC20" s="1353">
        <v>1</v>
      </c>
    </row>
    <row r="21" spans="1:29" ht="15">
      <c r="A21" s="379"/>
      <c r="B21" s="1131" t="s">
        <v>1778</v>
      </c>
      <c r="C21" s="1900" t="str">
        <f>估价对象房地状况!C8</f>
        <v>七通</v>
      </c>
      <c r="D21" s="406">
        <v>100</v>
      </c>
      <c r="E21" s="408" t="s">
        <v>3388</v>
      </c>
      <c r="F21" s="409">
        <f>SUMIF(82:82,E22,83:83)-SUMIF(82:82,C22,83:83)+100</f>
        <v>100</v>
      </c>
      <c r="G21" s="408" t="s">
        <v>3388</v>
      </c>
      <c r="H21" s="401">
        <f>SUMIF(82:82,G22,83:83)-SUMIF(82:82,C22,83:83)+100</f>
        <v>100</v>
      </c>
      <c r="I21" s="408" t="s">
        <v>3388</v>
      </c>
      <c r="J21" s="401">
        <f>SUMIF(82:82,I22,83:83)-SUMIF(82:82,C22,83:83)+100</f>
        <v>100</v>
      </c>
      <c r="K21" s="563">
        <v>1</v>
      </c>
      <c r="L21" s="2714"/>
      <c r="M21" s="2708"/>
      <c r="N21" s="2708"/>
      <c r="O21" s="2708"/>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2714"/>
      <c r="M22" s="2708"/>
      <c r="N22" s="2708"/>
      <c r="O22" s="2708"/>
      <c r="P22" s="3711"/>
      <c r="Q22" s="1352"/>
      <c r="R22" s="705"/>
      <c r="S22" s="706"/>
      <c r="T22" s="705"/>
      <c r="U22" s="706"/>
      <c r="V22" s="705"/>
      <c r="W22" s="706"/>
      <c r="X22" s="1355"/>
      <c r="Y22" s="3704"/>
      <c r="Z22" s="1356"/>
      <c r="AA22" s="1353">
        <v>1</v>
      </c>
      <c r="AB22" s="1353">
        <v>1</v>
      </c>
      <c r="AC22" s="1353">
        <v>1</v>
      </c>
    </row>
    <row r="23" spans="1:29" ht="15">
      <c r="A23" s="379"/>
      <c r="B23" s="402" t="s">
        <v>1260</v>
      </c>
      <c r="C23" s="1953"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714"/>
      <c r="M23" s="2708"/>
      <c r="N23" s="2708"/>
      <c r="O23" s="2708"/>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t="s">
        <v>3385</v>
      </c>
      <c r="D24" s="399"/>
      <c r="E24" s="1898" t="s">
        <v>3385</v>
      </c>
      <c r="F24" s="400"/>
      <c r="G24" s="1898" t="s">
        <v>3385</v>
      </c>
      <c r="H24" s="399"/>
      <c r="I24" s="1898" t="s">
        <v>3385</v>
      </c>
      <c r="J24" s="399"/>
      <c r="K24" s="564"/>
      <c r="L24" s="2714"/>
      <c r="M24" s="2708"/>
      <c r="N24" s="2708"/>
      <c r="O24" s="2708"/>
      <c r="P24" s="3711"/>
      <c r="Q24" s="1352"/>
      <c r="R24" s="705"/>
      <c r="S24" s="706"/>
      <c r="T24" s="705"/>
      <c r="U24" s="706"/>
      <c r="V24" s="705"/>
      <c r="W24" s="706"/>
      <c r="X24" s="1355"/>
      <c r="Y24" s="3704"/>
      <c r="Z24" s="1356"/>
      <c r="AA24" s="1353">
        <v>1</v>
      </c>
      <c r="AB24" s="1353">
        <v>1</v>
      </c>
      <c r="AC24" s="1353">
        <v>1</v>
      </c>
    </row>
    <row r="25" spans="1:29" ht="15">
      <c r="A25" s="379"/>
      <c r="B25" s="375" t="s">
        <v>1779</v>
      </c>
      <c r="C25" s="565" t="s">
        <v>3430</v>
      </c>
      <c r="D25" s="386">
        <v>100</v>
      </c>
      <c r="E25" s="565" t="s">
        <v>3430</v>
      </c>
      <c r="F25" s="412">
        <f>SUMIF(86:86,E25,87:87)-SUMIF(86:86,C25,87:87)+100</f>
        <v>100</v>
      </c>
      <c r="G25" s="565" t="s">
        <v>3430</v>
      </c>
      <c r="H25" s="386">
        <f>SUMIF(86:86,G25,87:87)-SUMIF(86:86,C25,87:87)+100</f>
        <v>100</v>
      </c>
      <c r="I25" s="565" t="s">
        <v>3430</v>
      </c>
      <c r="J25" s="386">
        <f>SUMIF(86:86,I25,87:87)-SUMIF(86:86,C25,87:87)+100</f>
        <v>100</v>
      </c>
      <c r="K25" s="561">
        <v>5</v>
      </c>
      <c r="L25" s="2714"/>
      <c r="M25" s="2708"/>
      <c r="N25" s="2708"/>
      <c r="O25" s="2708"/>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1780</v>
      </c>
      <c r="C26" s="3462" t="s">
        <v>3434</v>
      </c>
      <c r="D26" s="386">
        <v>100</v>
      </c>
      <c r="E26" s="385" t="s">
        <v>3385</v>
      </c>
      <c r="F26" s="412">
        <f>SUMIF(88:88,E26,89:89)-SUMIF(88:88,C26,89:89)+100</f>
        <v>100</v>
      </c>
      <c r="G26" s="385" t="s">
        <v>3385</v>
      </c>
      <c r="H26" s="386">
        <f>SUMIF(88:88,G26,89:89)-SUMIF(88:88,C26,89:89)+100</f>
        <v>100</v>
      </c>
      <c r="I26" s="385" t="s">
        <v>3385</v>
      </c>
      <c r="J26" s="386">
        <f>SUMIF(88:88,I26,89:89)-SUMIF(88:88,C26,89:89)+100</f>
        <v>100</v>
      </c>
      <c r="K26" s="562"/>
      <c r="L26" s="2714"/>
      <c r="M26" s="2708"/>
      <c r="N26" s="2708"/>
      <c r="O26" s="2708"/>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1781</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5</v>
      </c>
      <c r="L27" s="2709"/>
      <c r="M27" s="2710"/>
      <c r="N27" s="2710"/>
      <c r="O27" s="2710"/>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05" t="s">
        <v>1695</v>
      </c>
      <c r="Q32" s="1352" t="str">
        <f t="shared" si="11"/>
        <v>商业类型</v>
      </c>
      <c r="R32" s="705" t="s">
        <v>14</v>
      </c>
      <c r="S32" s="706">
        <f t="shared" si="12"/>
        <v>100</v>
      </c>
      <c r="T32" s="705" t="s">
        <v>14</v>
      </c>
      <c r="U32" s="706">
        <f t="shared" si="13"/>
        <v>100</v>
      </c>
      <c r="V32" s="705" t="s">
        <v>14</v>
      </c>
      <c r="W32" s="706">
        <f t="shared" si="14"/>
        <v>100</v>
      </c>
      <c r="X32" s="1355"/>
      <c r="Y32" s="3708" t="s">
        <v>1695</v>
      </c>
      <c r="Z32" s="1356" t="str">
        <f t="shared" si="15"/>
        <v>商业类型</v>
      </c>
      <c r="AA32" s="1353">
        <f t="shared" si="3"/>
        <v>1</v>
      </c>
      <c r="AB32" s="1353">
        <f t="shared" si="4"/>
        <v>1</v>
      </c>
      <c r="AC32" s="1353">
        <f t="shared" si="5"/>
        <v>1</v>
      </c>
    </row>
    <row r="33" spans="1:29" s="422" customFormat="1" ht="15">
      <c r="A33" s="419"/>
      <c r="B33" s="375" t="s">
        <v>1696</v>
      </c>
      <c r="C33" s="420">
        <f>'数据-汇总表'!E3</f>
        <v>27788.400000000001</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3"/>
      <c r="M33" s="2715"/>
      <c r="N33" s="2715"/>
      <c r="O33" s="2715"/>
      <c r="P33" s="3706"/>
      <c r="Q33" s="707" t="str">
        <f t="shared" si="11"/>
        <v>项目建筑规模</v>
      </c>
      <c r="R33" s="708" t="s">
        <v>14</v>
      </c>
      <c r="S33" s="709">
        <f t="shared" si="12"/>
        <v>194</v>
      </c>
      <c r="T33" s="708" t="s">
        <v>14</v>
      </c>
      <c r="U33" s="709">
        <f t="shared" si="13"/>
        <v>194</v>
      </c>
      <c r="V33" s="708" t="s">
        <v>14</v>
      </c>
      <c r="W33" s="709">
        <f t="shared" si="14"/>
        <v>194</v>
      </c>
      <c r="X33" s="710"/>
      <c r="Y33" s="3708"/>
      <c r="Z33" s="711" t="str">
        <f t="shared" si="15"/>
        <v>项目建筑规模</v>
      </c>
      <c r="AA33" s="1353">
        <f t="shared" si="3"/>
        <v>0.51546391752577314</v>
      </c>
      <c r="AB33" s="1353">
        <f t="shared" si="4"/>
        <v>0.51546391752577314</v>
      </c>
      <c r="AC33" s="1353">
        <f t="shared" si="5"/>
        <v>0.51546391752577314</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561">
        <v>2</v>
      </c>
      <c r="L34" s="2714"/>
      <c r="M34" s="2708"/>
      <c r="N34" s="2708"/>
      <c r="O34" s="2708"/>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1784</v>
      </c>
      <c r="C35" s="1906" t="s">
        <v>3449</v>
      </c>
      <c r="D35" s="386">
        <v>100</v>
      </c>
      <c r="E35" s="1906" t="s">
        <v>3449</v>
      </c>
      <c r="F35" s="412">
        <f>SUMIF(107:107,E35,108:108)-SUMIF(107:107,C35,108:108)+100</f>
        <v>100</v>
      </c>
      <c r="G35" s="1906" t="s">
        <v>3449</v>
      </c>
      <c r="H35" s="386">
        <f>SUMIF(107:107,G35,108:108)-SUMIF(107:107,C35,108:108)+100</f>
        <v>100</v>
      </c>
      <c r="I35" s="1906" t="s">
        <v>3449</v>
      </c>
      <c r="J35" s="386">
        <f>SUMIF(107:107,I35,108:108)-SUMIF(107:107,C35,108:108)+100</f>
        <v>100</v>
      </c>
      <c r="K35" s="561">
        <v>2</v>
      </c>
      <c r="L35" s="2714"/>
      <c r="M35" s="2708"/>
      <c r="N35" s="2708"/>
      <c r="O35" s="2708"/>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1785</v>
      </c>
      <c r="C36" s="425">
        <f>'数据-取费表'!N16</f>
        <v>0.98</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4"/>
      <c r="M36" s="2708"/>
      <c r="N36" s="2708"/>
      <c r="O36" s="2708"/>
      <c r="P36" s="3706"/>
      <c r="Q36" s="1352" t="str">
        <f t="shared" si="11"/>
        <v>成新度</v>
      </c>
      <c r="R36" s="705" t="s">
        <v>14</v>
      </c>
      <c r="S36" s="706">
        <f t="shared" si="12"/>
        <v>100</v>
      </c>
      <c r="T36" s="705" t="s">
        <v>14</v>
      </c>
      <c r="U36" s="706">
        <f t="shared" si="13"/>
        <v>100</v>
      </c>
      <c r="V36" s="705" t="s">
        <v>14</v>
      </c>
      <c r="W36" s="706">
        <f t="shared" si="14"/>
        <v>100</v>
      </c>
      <c r="X36" s="1355"/>
      <c r="Y36" s="3708"/>
      <c r="Z36" s="1356" t="str">
        <f t="shared" si="15"/>
        <v>成新度</v>
      </c>
      <c r="AA36" s="1353">
        <f t="shared" si="3"/>
        <v>1</v>
      </c>
      <c r="AB36" s="1353">
        <f t="shared" si="4"/>
        <v>1</v>
      </c>
      <c r="AC36" s="1353">
        <f t="shared" si="5"/>
        <v>1</v>
      </c>
    </row>
    <row r="37" spans="1:29" s="108" customFormat="1" ht="15">
      <c r="A37" s="424"/>
      <c r="B37" s="375" t="s">
        <v>1786</v>
      </c>
      <c r="C37" s="1906" t="s">
        <v>3464</v>
      </c>
      <c r="D37" s="127">
        <v>100</v>
      </c>
      <c r="E37" s="1906" t="s">
        <v>3464</v>
      </c>
      <c r="F37" s="412">
        <f>SUMIF(112:112,E37,113:113)-SUMIF(112:112,C37,113:113)+100</f>
        <v>100</v>
      </c>
      <c r="G37" s="1906" t="s">
        <v>3464</v>
      </c>
      <c r="H37" s="386">
        <f>SUMIF(112:112,G37,113:113)-SUMIF(112:112,C37,113:113)+100</f>
        <v>100</v>
      </c>
      <c r="I37" s="1906" t="s">
        <v>3464</v>
      </c>
      <c r="J37" s="386">
        <f>SUMIF(112:112,I37,113:113)-SUMIF(112:112,C37,113:113)+100</f>
        <v>100</v>
      </c>
      <c r="K37" s="561">
        <v>1</v>
      </c>
      <c r="L37" s="2709"/>
      <c r="M37" s="2710"/>
      <c r="N37" s="2710"/>
      <c r="O37" s="2710"/>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1787</v>
      </c>
      <c r="C38" s="1906" t="s">
        <v>3455</v>
      </c>
      <c r="D38" s="386">
        <v>100</v>
      </c>
      <c r="E38" s="1906" t="s">
        <v>3455</v>
      </c>
      <c r="F38" s="412">
        <f>SUMIF(114:114,E38,115:115)-SUMIF(114:114,C38,115:115)+100</f>
        <v>100</v>
      </c>
      <c r="G38" s="1906" t="s">
        <v>3455</v>
      </c>
      <c r="H38" s="386">
        <f>SUMIF(114:114,G38,115:115)-SUMIF(114:114,C38,115:115)+100</f>
        <v>100</v>
      </c>
      <c r="I38" s="1906" t="s">
        <v>3455</v>
      </c>
      <c r="J38" s="386">
        <f>SUMIF(114:114,I38,115:115)-SUMIF(114:114,C38,115:115)+100</f>
        <v>100</v>
      </c>
      <c r="K38" s="561">
        <v>5</v>
      </c>
      <c r="L38" s="2714"/>
      <c r="M38" s="2708"/>
      <c r="N38" s="2708"/>
      <c r="O38" s="2708"/>
      <c r="P38" s="3706" t="s">
        <v>1695</v>
      </c>
      <c r="Q38" s="1352" t="str">
        <f t="shared" si="11"/>
        <v>业态</v>
      </c>
      <c r="R38" s="705" t="s">
        <v>14</v>
      </c>
      <c r="S38" s="706">
        <f t="shared" si="12"/>
        <v>100</v>
      </c>
      <c r="T38" s="705" t="s">
        <v>14</v>
      </c>
      <c r="U38" s="706">
        <f t="shared" si="13"/>
        <v>100</v>
      </c>
      <c r="V38" s="705" t="s">
        <v>14</v>
      </c>
      <c r="W38" s="706">
        <f t="shared" si="14"/>
        <v>100</v>
      </c>
      <c r="X38" s="1355"/>
      <c r="Y38" s="370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75" thickBot="1">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561">
        <v>2</v>
      </c>
      <c r="L43" s="2714"/>
      <c r="M43" s="2708"/>
      <c r="N43" s="2708"/>
      <c r="O43" s="2708"/>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1707</v>
      </c>
      <c r="B47" s="431"/>
      <c r="C47" s="1154" t="s">
        <v>0</v>
      </c>
      <c r="D47" s="1155"/>
      <c r="E47" s="1156">
        <f>案例!E2</f>
        <v>20000</v>
      </c>
      <c r="F47" s="1157"/>
      <c r="G47" s="1158">
        <f>案例!E3</f>
        <v>20000</v>
      </c>
      <c r="H47" s="1159"/>
      <c r="I47" s="1156">
        <f>案例!F4</f>
        <v>2020</v>
      </c>
      <c r="J47" s="1159"/>
      <c r="K47" s="714"/>
      <c r="L47" s="2716"/>
      <c r="M47" s="2717"/>
      <c r="N47" s="2708"/>
      <c r="O47" s="2717"/>
      <c r="P47" s="3701" t="str">
        <f>A47</f>
        <v>成交单价（元/平方米）</v>
      </c>
      <c r="Q47" s="3701"/>
      <c r="R47" s="3732">
        <f>E47</f>
        <v>20000</v>
      </c>
      <c r="S47" s="3732"/>
      <c r="T47" s="3732">
        <f>G47</f>
        <v>20000</v>
      </c>
      <c r="U47" s="3732"/>
      <c r="V47" s="3732">
        <f>I47</f>
        <v>2020</v>
      </c>
      <c r="W47" s="3732"/>
      <c r="X47" s="690"/>
      <c r="Y47" s="712"/>
      <c r="Z47" s="690"/>
      <c r="AA47" s="690"/>
      <c r="AB47" s="690"/>
      <c r="AC47" s="690"/>
    </row>
    <row r="48" spans="1:29" ht="15.75" thickBot="1">
      <c r="A48" s="437" t="s">
        <v>1792</v>
      </c>
      <c r="B48" s="438"/>
      <c r="C48" s="1160">
        <f>R49</f>
        <v>7078</v>
      </c>
      <c r="D48" s="2315" t="s">
        <v>2137</v>
      </c>
      <c r="E48" s="1161">
        <f>R48</f>
        <v>10107</v>
      </c>
      <c r="F48" s="2316"/>
      <c r="G48" s="1160">
        <f>T48</f>
        <v>10107</v>
      </c>
      <c r="H48" s="2316"/>
      <c r="I48" s="1161">
        <f>V48</f>
        <v>1021</v>
      </c>
      <c r="J48" s="2316"/>
      <c r="K48" s="2318">
        <f>F48+H48+J48</f>
        <v>0</v>
      </c>
      <c r="L48" s="2716"/>
      <c r="M48" s="2717"/>
      <c r="N48" s="2708"/>
      <c r="O48" s="2717"/>
      <c r="P48" s="3701" t="str">
        <f>A48</f>
        <v>比较价值（元/平方米）</v>
      </c>
      <c r="Q48" s="3701"/>
      <c r="R48" s="3702">
        <f>IF(F1="售价",ROUND(PRODUCT(R47,AA7:AA46),0),ROUND(PRODUCT(R47,AA7:AA46),1))</f>
        <v>10107</v>
      </c>
      <c r="S48" s="3702"/>
      <c r="T48" s="3702">
        <f>IF(F1="售价",ROUND(PRODUCT(T47,AB7:AB46),0),ROUND(PRODUCT(T47,AB7:AB46),1))</f>
        <v>10107</v>
      </c>
      <c r="U48" s="3702"/>
      <c r="V48" s="3702">
        <f>IF(F1="售价",ROUND(PRODUCT(V47,AC7:AC46),0),ROUND(PRODUCT(V47,AC7:AC46),1))</f>
        <v>1021</v>
      </c>
      <c r="W48" s="3702"/>
      <c r="X48" s="690"/>
      <c r="Y48" s="690"/>
      <c r="Z48" s="690"/>
      <c r="AA48" s="690"/>
      <c r="AB48" s="690"/>
      <c r="AC48" s="690"/>
    </row>
    <row r="49" spans="1:29" ht="15.75" thickBot="1">
      <c r="A49" s="441" t="s">
        <v>1793</v>
      </c>
      <c r="B49" s="442"/>
      <c r="C49" s="1163">
        <f>R49</f>
        <v>7078</v>
      </c>
      <c r="D49" s="1163"/>
      <c r="E49" s="1163"/>
      <c r="F49" s="1163"/>
      <c r="G49" s="1163"/>
      <c r="H49" s="1163"/>
      <c r="I49" s="1163"/>
      <c r="J49" s="1163"/>
      <c r="K49" s="715"/>
      <c r="L49" s="2716"/>
      <c r="M49" s="2717"/>
      <c r="N49" s="2708"/>
      <c r="O49" s="2717"/>
      <c r="P49" s="3698" t="str">
        <f>A49</f>
        <v>估价对象XX用房的比较价值（楼面单价，元/平方米）</v>
      </c>
      <c r="Q49" s="3699"/>
      <c r="R49" s="3700">
        <f>IF(F1="售价",ROUND(IF(D48="简单平均",AVERAGE(R48:V48),R48*F48+T48*H48+V48*J48),0),ROUND(IF(D48="简单平均",AVERAGE(R48:V48),R48*F48+T48*H48+V48*J48),1))</f>
        <v>7078</v>
      </c>
      <c r="S49" s="3700"/>
      <c r="T49" s="3700"/>
      <c r="U49" s="3700"/>
      <c r="V49" s="3700"/>
      <c r="W49" s="370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3453" t="s">
        <v>3423</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t="s">
        <v>3424</v>
      </c>
      <c r="D65" s="532" t="s">
        <v>3425</v>
      </c>
      <c r="E65" s="3454" t="s">
        <v>3427</v>
      </c>
      <c r="F65" s="532" t="s">
        <v>3426</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3455" t="s">
        <v>3428</v>
      </c>
      <c r="D86" s="3455" t="s">
        <v>3429</v>
      </c>
      <c r="E86" s="3455" t="s">
        <v>3431</v>
      </c>
      <c r="F86" s="3455" t="s">
        <v>3432</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3433</v>
      </c>
      <c r="D88" s="3455" t="s">
        <v>3434</v>
      </c>
      <c r="E88" s="3455" t="s">
        <v>3435</v>
      </c>
      <c r="F88" s="3456" t="s">
        <v>3436</v>
      </c>
      <c r="G88" s="3455" t="s">
        <v>3437</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3438</v>
      </c>
      <c r="D90" s="3455" t="s">
        <v>3440</v>
      </c>
      <c r="E90" s="3455" t="s">
        <v>3435</v>
      </c>
      <c r="F90" s="3455" t="s">
        <v>3441</v>
      </c>
      <c r="G90" s="3455" t="s">
        <v>3442</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3443</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3458" t="s">
        <v>3444</v>
      </c>
      <c r="D100" s="3458" t="s">
        <v>3445</v>
      </c>
      <c r="E100" s="3458" t="s">
        <v>3446</v>
      </c>
      <c r="F100" s="3458" t="s">
        <v>3447</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3455" t="s">
        <v>3448</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3455" t="s">
        <v>3450</v>
      </c>
      <c r="D107" s="3455" t="s">
        <v>3451</v>
      </c>
      <c r="E107" s="3455" t="s">
        <v>3452</v>
      </c>
      <c r="F107" s="3459" t="s">
        <v>3453</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3455" t="s">
        <v>3454</v>
      </c>
      <c r="D114" s="3455" t="s">
        <v>3456</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3455" t="s">
        <v>3457</v>
      </c>
      <c r="D116" s="3455" t="s">
        <v>3458</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3459" t="s">
        <v>3459</v>
      </c>
      <c r="D120" s="3459" t="s">
        <v>3460</v>
      </c>
      <c r="E120" s="3459" t="s">
        <v>3435</v>
      </c>
      <c r="F120" s="3459" t="s">
        <v>3461</v>
      </c>
      <c r="G120" s="3460" t="s">
        <v>3462</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25" sqref="B25"/>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受贵公司委托，我公司对北京市丰台区周庄子路1号院1号楼-3至6层101房地产市场价值进行了预评估。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90" zoomScaleNormal="70" zoomScaleSheetLayoutView="9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t="s">
        <v>3509</v>
      </c>
      <c r="E1" s="3425" t="s">
        <v>3494</v>
      </c>
      <c r="F1" s="1879" t="s">
        <v>3515</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v>
      </c>
      <c r="C3" s="354" t="s">
        <v>1767</v>
      </c>
      <c r="D3" s="353">
        <f>IF(D1="",'数据-汇总表'!E3,SUMIF('数据-汇总表'!$C19:$C33,D1,'数据-汇总表'!$E19:$E33))</f>
        <v>27788.400000000001</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50" t="s">
        <v>1774</v>
      </c>
      <c r="Q4" s="3751"/>
      <c r="R4" s="3754" t="s">
        <v>1770</v>
      </c>
      <c r="S4" s="3755"/>
      <c r="T4" s="3754" t="s">
        <v>1771</v>
      </c>
      <c r="U4" s="3755"/>
      <c r="V4" s="3756" t="s">
        <v>1772</v>
      </c>
      <c r="W4" s="3756"/>
      <c r="X4" s="1956"/>
      <c r="Y4" s="3754" t="s">
        <v>1774</v>
      </c>
      <c r="Z4" s="3755"/>
      <c r="AA4" s="3758" t="s">
        <v>1770</v>
      </c>
      <c r="AB4" s="3758" t="s">
        <v>1771</v>
      </c>
      <c r="AC4" s="3747" t="s">
        <v>1772</v>
      </c>
    </row>
    <row r="5" spans="1:29" ht="15">
      <c r="A5" s="358"/>
      <c r="B5" s="359"/>
      <c r="C5" s="3735" t="s">
        <v>1672</v>
      </c>
      <c r="D5" s="3736"/>
      <c r="E5" s="3742" t="str">
        <f>'案例 (2)'!A2</f>
        <v>银河大厦</v>
      </c>
      <c r="F5" s="3743"/>
      <c r="G5" s="3735" t="str">
        <f>'案例 (2)'!A3</f>
        <v>万开中心</v>
      </c>
      <c r="H5" s="3736"/>
      <c r="I5" s="3735" t="str">
        <f>'案例 (2)'!A4</f>
        <v>机械大厦</v>
      </c>
      <c r="J5" s="3736"/>
      <c r="K5" s="559"/>
      <c r="L5" s="2707"/>
      <c r="M5" s="2708"/>
      <c r="N5" s="2708"/>
      <c r="O5" s="2708"/>
      <c r="P5" s="3752"/>
      <c r="Q5" s="3723"/>
      <c r="R5" s="3728"/>
      <c r="S5" s="3729"/>
      <c r="T5" s="3728"/>
      <c r="U5" s="3729"/>
      <c r="V5" s="3732"/>
      <c r="W5" s="3732"/>
      <c r="X5" s="1355"/>
      <c r="Y5" s="3728"/>
      <c r="Z5" s="3729"/>
      <c r="AA5" s="3714"/>
      <c r="AB5" s="3714"/>
      <c r="AC5" s="3748"/>
    </row>
    <row r="6" spans="1:29" ht="15.75" thickBot="1">
      <c r="A6" s="360"/>
      <c r="B6" s="361"/>
      <c r="C6" s="3733" t="s">
        <v>1676</v>
      </c>
      <c r="D6" s="3734"/>
      <c r="E6" s="3740" t="s">
        <v>1676</v>
      </c>
      <c r="F6" s="3741"/>
      <c r="G6" s="3733" t="s">
        <v>1676</v>
      </c>
      <c r="H6" s="3734"/>
      <c r="I6" s="3733" t="s">
        <v>1676</v>
      </c>
      <c r="J6" s="3734"/>
      <c r="K6" s="559" t="s">
        <v>1677</v>
      </c>
      <c r="L6" s="2707"/>
      <c r="M6" s="2708"/>
      <c r="N6" s="2708"/>
      <c r="O6" s="2708"/>
      <c r="P6" s="3753"/>
      <c r="Q6" s="3725"/>
      <c r="R6" s="3728"/>
      <c r="S6" s="3729"/>
      <c r="T6" s="3730"/>
      <c r="U6" s="3731"/>
      <c r="V6" s="3732"/>
      <c r="W6" s="3732"/>
      <c r="X6" s="1355"/>
      <c r="Y6" s="3730"/>
      <c r="Z6" s="3731"/>
      <c r="AA6" s="3715"/>
      <c r="AB6" s="3715"/>
      <c r="AC6" s="3749"/>
    </row>
    <row r="7" spans="1:29" s="108" customFormat="1" ht="15.75" thickBot="1">
      <c r="A7" s="362" t="s">
        <v>1678</v>
      </c>
      <c r="B7" s="363"/>
      <c r="C7" s="364">
        <f>'数据-取费表'!B2</f>
        <v>45225</v>
      </c>
      <c r="D7" s="365">
        <v>100</v>
      </c>
      <c r="E7" s="366">
        <f>'案例 (2)'!B2</f>
        <v>45200</v>
      </c>
      <c r="F7" s="367">
        <f>SUMIF(59:59,YEAR(E7)&amp;"-"&amp;MONTH(E7),60:60)</f>
        <v>100</v>
      </c>
      <c r="G7" s="366">
        <f>'案例 (2)'!B3</f>
        <v>45200</v>
      </c>
      <c r="H7" s="365">
        <f>SUMIF(59:59,YEAR(G7)&amp;"-"&amp;MONTH(G7),60:60)</f>
        <v>100</v>
      </c>
      <c r="I7" s="366">
        <f>'案例 (2)'!B4</f>
        <v>45200</v>
      </c>
      <c r="J7" s="365">
        <f>SUMIF(59:59,YEAR(I7)&amp;"-"&amp;MONTH(I7),60:60)</f>
        <v>100</v>
      </c>
      <c r="K7" s="560"/>
      <c r="L7" s="2709"/>
      <c r="M7" s="2710"/>
      <c r="N7" s="2710"/>
      <c r="O7" s="2710"/>
      <c r="P7" s="3757" t="s">
        <v>1679</v>
      </c>
      <c r="Q7" s="3739"/>
      <c r="R7" s="701" t="s">
        <v>14</v>
      </c>
      <c r="S7" s="702">
        <f t="shared" ref="S7:S15" si="0">F7</f>
        <v>100</v>
      </c>
      <c r="T7" s="701" t="s">
        <v>14</v>
      </c>
      <c r="U7" s="702">
        <f t="shared" ref="U7:U15" si="1">H7</f>
        <v>100</v>
      </c>
      <c r="V7" s="701" t="s">
        <v>14</v>
      </c>
      <c r="W7" s="702">
        <f t="shared" ref="W7:W15" si="2">J7</f>
        <v>100</v>
      </c>
      <c r="X7" s="703"/>
      <c r="Y7" s="3737" t="s">
        <v>1679</v>
      </c>
      <c r="Z7" s="3738"/>
      <c r="AA7" s="704">
        <f>D7/F7</f>
        <v>1</v>
      </c>
      <c r="AB7" s="704">
        <f>D7/H7</f>
        <v>1</v>
      </c>
      <c r="AC7" s="1957">
        <f>D7/J7</f>
        <v>1</v>
      </c>
    </row>
    <row r="8" spans="1:29" s="108" customFormat="1" ht="15.75" thickBot="1">
      <c r="A8" s="362" t="s">
        <v>1680</v>
      </c>
      <c r="B8" s="363"/>
      <c r="C8" s="368" t="s">
        <v>3393</v>
      </c>
      <c r="D8" s="365">
        <v>100</v>
      </c>
      <c r="E8" s="368" t="s">
        <v>3422</v>
      </c>
      <c r="F8" s="367">
        <f>SUMIF(62:62,E8,63:63)-SUMIF(62:62,C8,63:63)+100</f>
        <v>102</v>
      </c>
      <c r="G8" s="368" t="s">
        <v>3422</v>
      </c>
      <c r="H8" s="365">
        <f>SUMIF(62:62,G8,63:63)-SUMIF(62:62,C8,63:63)+100</f>
        <v>102</v>
      </c>
      <c r="I8" s="368" t="s">
        <v>3422</v>
      </c>
      <c r="J8" s="365">
        <f>SUMIF(62:62,I8,63:63)-SUMIF(62:62,C8,63:63)+100</f>
        <v>102</v>
      </c>
      <c r="K8" s="560"/>
      <c r="L8" s="2709"/>
      <c r="M8" s="2710"/>
      <c r="N8" s="2710"/>
      <c r="O8" s="2710"/>
      <c r="P8" s="3757" t="s">
        <v>1682</v>
      </c>
      <c r="Q8" s="3738"/>
      <c r="R8" s="701" t="s">
        <v>14</v>
      </c>
      <c r="S8" s="702">
        <f t="shared" si="0"/>
        <v>102</v>
      </c>
      <c r="T8" s="701" t="s">
        <v>14</v>
      </c>
      <c r="U8" s="702">
        <f t="shared" si="1"/>
        <v>102</v>
      </c>
      <c r="V8" s="701" t="s">
        <v>14</v>
      </c>
      <c r="W8" s="702">
        <f t="shared" si="2"/>
        <v>102</v>
      </c>
      <c r="X8" s="703"/>
      <c r="Y8" s="3737" t="s">
        <v>1682</v>
      </c>
      <c r="Z8" s="3738"/>
      <c r="AA8" s="704">
        <f t="shared" ref="AA8:AA47" si="3">D8/F8</f>
        <v>0.98039215686274506</v>
      </c>
      <c r="AB8" s="704">
        <f t="shared" ref="AB8:AB47" si="4">D8/H8</f>
        <v>0.98039215686274506</v>
      </c>
      <c r="AC8" s="1957">
        <f t="shared" ref="AC8:AC47" si="5">D8/J8</f>
        <v>0.98039215686274506</v>
      </c>
    </row>
    <row r="9" spans="1:29" s="108" customFormat="1">
      <c r="A9" s="369" t="s">
        <v>1683</v>
      </c>
      <c r="B9" s="63" t="s">
        <v>1684</v>
      </c>
      <c r="C9" s="3461"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2"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1957">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7">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7">
        <f t="shared" si="5"/>
        <v>1</v>
      </c>
    </row>
    <row r="15" spans="1:29" ht="15">
      <c r="A15" s="391" t="s">
        <v>1689</v>
      </c>
      <c r="B15" s="577" t="s">
        <v>1810</v>
      </c>
      <c r="C15" s="1959" t="str">
        <f>估价对象房地状况!C5</f>
        <v>一般</v>
      </c>
      <c r="D15" s="392">
        <v>100</v>
      </c>
      <c r="E15" s="395" t="s">
        <v>3385</v>
      </c>
      <c r="F15" s="392">
        <f>SUMIF(77:77,E16,78:78)-SUMIF(77:77,C16,78:78)+100</f>
        <v>102</v>
      </c>
      <c r="G15" s="395" t="s">
        <v>3385</v>
      </c>
      <c r="H15" s="392">
        <f>SUMIF(77:77,G16,78:78)-SUMIF(77:77,C16,78:78)+100</f>
        <v>102</v>
      </c>
      <c r="I15" s="395" t="s">
        <v>3385</v>
      </c>
      <c r="J15" s="392">
        <f>SUMIF(77:77,I16,78:78)-SUMIF(77:77,C16,78:78)+100</f>
        <v>102</v>
      </c>
      <c r="K15" s="563">
        <v>2</v>
      </c>
      <c r="L15" s="2714"/>
      <c r="M15" s="2708"/>
      <c r="N15" s="2708"/>
      <c r="O15" s="2708"/>
      <c r="P15" s="3710" t="s">
        <v>1690</v>
      </c>
      <c r="Q15" s="1352" t="str">
        <f t="shared" si="6"/>
        <v>办公集聚程度</v>
      </c>
      <c r="R15" s="705" t="s">
        <v>14</v>
      </c>
      <c r="S15" s="706">
        <f t="shared" si="0"/>
        <v>102</v>
      </c>
      <c r="T15" s="705" t="s">
        <v>14</v>
      </c>
      <c r="U15" s="706">
        <f t="shared" si="1"/>
        <v>102</v>
      </c>
      <c r="V15" s="705" t="s">
        <v>14</v>
      </c>
      <c r="W15" s="706">
        <f t="shared" si="2"/>
        <v>102</v>
      </c>
      <c r="X15" s="1355"/>
      <c r="Y15" s="3703" t="s">
        <v>1690</v>
      </c>
      <c r="Z15" s="1356" t="str">
        <f t="shared" si="7"/>
        <v>办公集聚程度</v>
      </c>
      <c r="AA15" s="1353">
        <f t="shared" si="3"/>
        <v>0.98039215686274506</v>
      </c>
      <c r="AB15" s="1353">
        <f t="shared" si="4"/>
        <v>0.98039215686274506</v>
      </c>
      <c r="AC15" s="1960">
        <f t="shared" si="5"/>
        <v>0.98039215686274506</v>
      </c>
    </row>
    <row r="16" spans="1:29" ht="15">
      <c r="A16" s="379"/>
      <c r="B16" s="578"/>
      <c r="C16" s="1904" t="s">
        <v>3407</v>
      </c>
      <c r="D16" s="399"/>
      <c r="E16" s="398" t="s">
        <v>3385</v>
      </c>
      <c r="F16" s="399"/>
      <c r="G16" s="398" t="s">
        <v>3385</v>
      </c>
      <c r="H16" s="401"/>
      <c r="I16" s="398" t="s">
        <v>3385</v>
      </c>
      <c r="J16" s="399"/>
      <c r="K16" s="564"/>
      <c r="L16" s="2714"/>
      <c r="M16" s="2708"/>
      <c r="N16" s="2708"/>
      <c r="O16" s="2708"/>
      <c r="P16" s="3711"/>
      <c r="Q16" s="1352"/>
      <c r="R16" s="705"/>
      <c r="S16" s="706"/>
      <c r="T16" s="705"/>
      <c r="U16" s="706"/>
      <c r="V16" s="705"/>
      <c r="W16" s="706"/>
      <c r="X16" s="1355"/>
      <c r="Y16" s="3704"/>
      <c r="Z16" s="1356"/>
      <c r="AA16" s="1353">
        <v>1</v>
      </c>
      <c r="AB16" s="1353">
        <v>1</v>
      </c>
      <c r="AC16" s="1960">
        <v>1</v>
      </c>
    </row>
    <row r="17" spans="1:29" ht="15">
      <c r="A17" s="379"/>
      <c r="B17" s="579" t="s">
        <v>1258</v>
      </c>
      <c r="C17" s="1961"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714"/>
      <c r="M17" s="2708"/>
      <c r="N17" s="2708"/>
      <c r="O17" s="2708"/>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0">
        <f t="shared" si="5"/>
        <v>1</v>
      </c>
    </row>
    <row r="18" spans="1:29" ht="15">
      <c r="A18" s="379"/>
      <c r="B18" s="580"/>
      <c r="C18" s="1962" t="s">
        <v>3385</v>
      </c>
      <c r="D18" s="401"/>
      <c r="E18" s="1902" t="s">
        <v>3385</v>
      </c>
      <c r="F18" s="401"/>
      <c r="G18" s="1902" t="s">
        <v>3385</v>
      </c>
      <c r="H18" s="399"/>
      <c r="I18" s="1902" t="s">
        <v>3385</v>
      </c>
      <c r="J18" s="399"/>
      <c r="K18" s="564"/>
      <c r="L18" s="2714"/>
      <c r="M18" s="2708"/>
      <c r="N18" s="2708"/>
      <c r="O18" s="2708"/>
      <c r="P18" s="3711"/>
      <c r="Q18" s="1352"/>
      <c r="R18" s="705"/>
      <c r="S18" s="706"/>
      <c r="T18" s="705"/>
      <c r="U18" s="706"/>
      <c r="V18" s="705"/>
      <c r="W18" s="706"/>
      <c r="X18" s="1355"/>
      <c r="Y18" s="3704"/>
      <c r="Z18" s="1356"/>
      <c r="AA18" s="1353">
        <v>1</v>
      </c>
      <c r="AB18" s="1353">
        <v>1</v>
      </c>
      <c r="AC18" s="1960">
        <v>1</v>
      </c>
    </row>
    <row r="19" spans="1:29" ht="15">
      <c r="A19" s="379"/>
      <c r="B19" s="579" t="s">
        <v>1811</v>
      </c>
      <c r="C19" s="1961"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714"/>
      <c r="M19" s="2708"/>
      <c r="N19" s="2708"/>
      <c r="O19" s="2708"/>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0">
        <f t="shared" si="5"/>
        <v>1</v>
      </c>
    </row>
    <row r="20" spans="1:29" ht="15">
      <c r="A20" s="379"/>
      <c r="B20" s="580"/>
      <c r="C20" s="1904" t="s">
        <v>3385</v>
      </c>
      <c r="D20" s="399"/>
      <c r="E20" s="1897" t="s">
        <v>3385</v>
      </c>
      <c r="F20" s="399"/>
      <c r="G20" s="1897" t="s">
        <v>3385</v>
      </c>
      <c r="H20" s="399"/>
      <c r="I20" s="1897" t="s">
        <v>3385</v>
      </c>
      <c r="J20" s="399"/>
      <c r="K20" s="564"/>
      <c r="L20" s="2714"/>
      <c r="M20" s="2708"/>
      <c r="N20" s="2708"/>
      <c r="O20" s="2708"/>
      <c r="P20" s="3711"/>
      <c r="Q20" s="1352"/>
      <c r="R20" s="705"/>
      <c r="S20" s="706"/>
      <c r="T20" s="705"/>
      <c r="U20" s="706"/>
      <c r="V20" s="705"/>
      <c r="W20" s="706"/>
      <c r="X20" s="1355"/>
      <c r="Y20" s="3704"/>
      <c r="Z20" s="1356"/>
      <c r="AA20" s="1353">
        <v>1</v>
      </c>
      <c r="AB20" s="1353">
        <v>1</v>
      </c>
      <c r="AC20" s="1960">
        <v>1</v>
      </c>
    </row>
    <row r="21" spans="1:29" ht="15">
      <c r="A21" s="379"/>
      <c r="B21" s="581" t="s">
        <v>1812</v>
      </c>
      <c r="C21" s="1961"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4"/>
      <c r="M21" s="2708"/>
      <c r="N21" s="2708"/>
      <c r="O21" s="2708"/>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0">
        <f t="shared" ref="AC21" si="10">D21/J21</f>
        <v>1</v>
      </c>
    </row>
    <row r="22" spans="1:29" ht="15">
      <c r="A22" s="379"/>
      <c r="B22" s="581"/>
      <c r="C22" s="1962" t="s">
        <v>3388</v>
      </c>
      <c r="D22" s="399"/>
      <c r="E22" s="398" t="s">
        <v>3388</v>
      </c>
      <c r="F22" s="399"/>
      <c r="G22" s="398" t="s">
        <v>3388</v>
      </c>
      <c r="H22" s="399"/>
      <c r="I22" s="398" t="s">
        <v>3388</v>
      </c>
      <c r="J22" s="399"/>
      <c r="K22" s="1130"/>
      <c r="L22" s="2714"/>
      <c r="M22" s="2708"/>
      <c r="N22" s="2708"/>
      <c r="O22" s="2708"/>
      <c r="P22" s="3711"/>
      <c r="Q22" s="1352"/>
      <c r="R22" s="705"/>
      <c r="S22" s="706"/>
      <c r="T22" s="705"/>
      <c r="U22" s="706"/>
      <c r="V22" s="705"/>
      <c r="W22" s="706"/>
      <c r="X22" s="1355"/>
      <c r="Y22" s="3704"/>
      <c r="Z22" s="1356"/>
      <c r="AA22" s="1353">
        <v>1</v>
      </c>
      <c r="AB22" s="1353">
        <v>1</v>
      </c>
      <c r="AC22" s="1960">
        <v>1</v>
      </c>
    </row>
    <row r="23" spans="1:29" ht="15">
      <c r="A23" s="379"/>
      <c r="B23" s="579" t="s">
        <v>1813</v>
      </c>
      <c r="C23" s="1961"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714"/>
      <c r="M23" s="2708"/>
      <c r="N23" s="2708"/>
      <c r="O23" s="2708"/>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0">
        <f t="shared" si="5"/>
        <v>1</v>
      </c>
    </row>
    <row r="24" spans="1:29" ht="15">
      <c r="A24" s="379"/>
      <c r="B24" s="581"/>
      <c r="C24" s="1904" t="s">
        <v>3385</v>
      </c>
      <c r="D24" s="399"/>
      <c r="E24" s="1897" t="s">
        <v>3385</v>
      </c>
      <c r="F24" s="399"/>
      <c r="G24" s="1897" t="s">
        <v>3385</v>
      </c>
      <c r="H24" s="399"/>
      <c r="I24" s="1897" t="s">
        <v>3385</v>
      </c>
      <c r="J24" s="399"/>
      <c r="K24" s="564"/>
      <c r="L24" s="2714"/>
      <c r="M24" s="2708"/>
      <c r="N24" s="2708"/>
      <c r="O24" s="2708"/>
      <c r="P24" s="3711"/>
      <c r="Q24" s="1352"/>
      <c r="R24" s="705"/>
      <c r="S24" s="706"/>
      <c r="T24" s="705"/>
      <c r="U24" s="706"/>
      <c r="V24" s="705"/>
      <c r="W24" s="706"/>
      <c r="X24" s="1355"/>
      <c r="Y24" s="3704"/>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11"/>
      <c r="Q26" s="1352"/>
      <c r="R26" s="705"/>
      <c r="S26" s="706"/>
      <c r="T26" s="705"/>
      <c r="U26" s="706"/>
      <c r="V26" s="705"/>
      <c r="W26" s="706"/>
      <c r="X26" s="1355"/>
      <c r="Y26" s="3704"/>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0">
        <f t="shared" si="5"/>
        <v>1</v>
      </c>
    </row>
    <row r="28" spans="1:29" s="108" customFormat="1" ht="15.75" thickBot="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0">
        <f t="shared" si="5"/>
        <v>1</v>
      </c>
    </row>
    <row r="33" spans="1:29" ht="15">
      <c r="A33" s="391" t="s">
        <v>1693</v>
      </c>
      <c r="B33" s="63" t="s">
        <v>1816</v>
      </c>
      <c r="C33" s="1965" t="s">
        <v>3516</v>
      </c>
      <c r="D33" s="418">
        <v>100</v>
      </c>
      <c r="E33" s="1965" t="s">
        <v>3474</v>
      </c>
      <c r="F33" s="412">
        <f>SUMIF(101:101,E33,102:102)-SUMIF(101:101,C33,102:102)+100</f>
        <v>102</v>
      </c>
      <c r="G33" s="1965" t="s">
        <v>3474</v>
      </c>
      <c r="H33" s="386">
        <f>SUMIF(101:101,G33,102:102)-SUMIF(101:101,C33,102:102)+100</f>
        <v>102</v>
      </c>
      <c r="I33" s="1965" t="s">
        <v>3474</v>
      </c>
      <c r="J33" s="418">
        <f>SUMIF(101:101,I33,102:102)-SUMIF(101:101,C33,102:102)+100</f>
        <v>102</v>
      </c>
      <c r="K33" s="561">
        <v>2</v>
      </c>
      <c r="L33" s="2714"/>
      <c r="M33" s="2708"/>
      <c r="N33" s="2708"/>
      <c r="O33" s="2708"/>
      <c r="P33" s="3705" t="s">
        <v>1695</v>
      </c>
      <c r="Q33" s="1352" t="str">
        <f t="shared" si="11"/>
        <v>建筑类型</v>
      </c>
      <c r="R33" s="705" t="s">
        <v>14</v>
      </c>
      <c r="S33" s="706">
        <f t="shared" si="12"/>
        <v>102</v>
      </c>
      <c r="T33" s="705" t="s">
        <v>14</v>
      </c>
      <c r="U33" s="706">
        <f t="shared" si="13"/>
        <v>102</v>
      </c>
      <c r="V33" s="705" t="s">
        <v>14</v>
      </c>
      <c r="W33" s="706">
        <f t="shared" si="14"/>
        <v>102</v>
      </c>
      <c r="X33" s="1355"/>
      <c r="Y33" s="3708" t="s">
        <v>1695</v>
      </c>
      <c r="Z33" s="1356" t="str">
        <f t="shared" si="15"/>
        <v>建筑类型</v>
      </c>
      <c r="AA33" s="1353">
        <f t="shared" si="3"/>
        <v>0.98039215686274506</v>
      </c>
      <c r="AB33" s="1353">
        <f t="shared" si="4"/>
        <v>0.98039215686274506</v>
      </c>
      <c r="AC33" s="1960">
        <f t="shared" si="5"/>
        <v>0.98039215686274506</v>
      </c>
    </row>
    <row r="34" spans="1:29" s="422" customFormat="1" ht="15">
      <c r="A34" s="419"/>
      <c r="B34" s="375" t="s">
        <v>1696</v>
      </c>
      <c r="C34" s="420">
        <f>'数据-汇总表'!E3</f>
        <v>27788.400000000001</v>
      </c>
      <c r="D34" s="127">
        <v>100</v>
      </c>
      <c r="E34" s="381">
        <f>'案例 (2)'!C2</f>
        <v>143</v>
      </c>
      <c r="F34" s="376">
        <f>LOOKUP(E34,104:104,105:105)-LOOKUP(C34,104:104,105:105)+100</f>
        <v>104</v>
      </c>
      <c r="G34" s="380">
        <f>'案例 (2)'!C3</f>
        <v>2500</v>
      </c>
      <c r="H34" s="127">
        <f>LOOKUP(G34,104:104,105:105)-LOOKUP(C34,104:104,105:105)+100</f>
        <v>102</v>
      </c>
      <c r="I34" s="380">
        <f>'案例 (2)'!C4</f>
        <v>413</v>
      </c>
      <c r="J34" s="127">
        <f>LOOKUP(I34,104:104,105:105)-LOOKUP(C34,104:104,105:105)+100</f>
        <v>104</v>
      </c>
      <c r="K34" s="562"/>
      <c r="L34" s="2713"/>
      <c r="M34" s="2715"/>
      <c r="N34" s="2715"/>
      <c r="O34" s="2715"/>
      <c r="P34" s="3706"/>
      <c r="Q34" s="707" t="str">
        <f t="shared" si="11"/>
        <v>项目建筑规模</v>
      </c>
      <c r="R34" s="708" t="s">
        <v>14</v>
      </c>
      <c r="S34" s="709">
        <f t="shared" si="12"/>
        <v>104</v>
      </c>
      <c r="T34" s="708" t="s">
        <v>14</v>
      </c>
      <c r="U34" s="709">
        <f t="shared" si="13"/>
        <v>102</v>
      </c>
      <c r="V34" s="708" t="s">
        <v>14</v>
      </c>
      <c r="W34" s="709">
        <f t="shared" si="14"/>
        <v>104</v>
      </c>
      <c r="X34" s="710"/>
      <c r="Y34" s="3708"/>
      <c r="Z34" s="711" t="str">
        <f t="shared" si="15"/>
        <v>项目建筑规模</v>
      </c>
      <c r="AA34" s="1353">
        <f t="shared" si="3"/>
        <v>0.96153846153846156</v>
      </c>
      <c r="AB34" s="1353">
        <f t="shared" si="4"/>
        <v>0.98039215686274506</v>
      </c>
      <c r="AC34" s="1960">
        <f t="shared" si="5"/>
        <v>0.96153846153846156</v>
      </c>
    </row>
    <row r="35" spans="1:29" ht="15">
      <c r="A35" s="423"/>
      <c r="B35" s="375" t="s">
        <v>1697</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2</v>
      </c>
      <c r="L35" s="2714"/>
      <c r="M35" s="2708"/>
      <c r="N35" s="2708"/>
      <c r="O35" s="2708"/>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0">
        <f t="shared" si="5"/>
        <v>1</v>
      </c>
    </row>
    <row r="36" spans="1:29" ht="15">
      <c r="A36" s="423"/>
      <c r="B36" s="375" t="s">
        <v>1784</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2</v>
      </c>
      <c r="L36" s="2714"/>
      <c r="M36" s="2708"/>
      <c r="N36" s="2708"/>
      <c r="O36" s="2708"/>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0">
        <f t="shared" si="5"/>
        <v>1</v>
      </c>
    </row>
    <row r="37" spans="1:29" ht="15">
      <c r="A37" s="423"/>
      <c r="B37" s="375" t="s">
        <v>1785</v>
      </c>
      <c r="C37" s="425">
        <f>'数据-取费表'!N16</f>
        <v>0.98</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4"/>
      <c r="M37" s="2708"/>
      <c r="N37" s="2708"/>
      <c r="O37" s="2708"/>
      <c r="P37" s="3706"/>
      <c r="Q37" s="1352" t="str">
        <f t="shared" si="11"/>
        <v>成新度</v>
      </c>
      <c r="R37" s="705" t="s">
        <v>14</v>
      </c>
      <c r="S37" s="706">
        <f t="shared" si="12"/>
        <v>100</v>
      </c>
      <c r="T37" s="705" t="s">
        <v>14</v>
      </c>
      <c r="U37" s="706">
        <f t="shared" si="13"/>
        <v>100</v>
      </c>
      <c r="V37" s="705" t="s">
        <v>14</v>
      </c>
      <c r="W37" s="706">
        <f t="shared" si="14"/>
        <v>100</v>
      </c>
      <c r="X37" s="1355"/>
      <c r="Y37" s="3708"/>
      <c r="Z37" s="1356" t="str">
        <f t="shared" si="15"/>
        <v>成新度</v>
      </c>
      <c r="AA37" s="1353">
        <f t="shared" si="3"/>
        <v>1</v>
      </c>
      <c r="AB37" s="1353">
        <f t="shared" si="4"/>
        <v>1</v>
      </c>
      <c r="AC37" s="1960">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7">
        <f t="shared" si="5"/>
        <v>1</v>
      </c>
    </row>
    <row r="39" spans="1:29" ht="15">
      <c r="A39" s="423"/>
      <c r="B39" s="375" t="s">
        <v>1818</v>
      </c>
      <c r="C39" s="411" t="s">
        <v>3482</v>
      </c>
      <c r="D39" s="386">
        <v>100</v>
      </c>
      <c r="E39" s="411" t="s">
        <v>3482</v>
      </c>
      <c r="F39" s="412">
        <f>SUMIF(115:115,E39,116:116)-SUMIF(115:115,C39,116:116)+100</f>
        <v>100</v>
      </c>
      <c r="G39" s="411" t="s">
        <v>3482</v>
      </c>
      <c r="H39" s="386">
        <f>SUMIF(115:115,G39,116:116)-SUMIF(115:115,C39,116:116)+100</f>
        <v>100</v>
      </c>
      <c r="I39" s="411" t="s">
        <v>3482</v>
      </c>
      <c r="J39" s="386">
        <f>SUMIF(115:115,I39,116:116)-SUMIF(115:115,C39,116:116)+100</f>
        <v>100</v>
      </c>
      <c r="K39" s="561">
        <v>2</v>
      </c>
      <c r="L39" s="2714"/>
      <c r="M39" s="2708"/>
      <c r="N39" s="2708"/>
      <c r="O39" s="2708"/>
      <c r="P39" s="3706" t="s">
        <v>1695</v>
      </c>
      <c r="Q39" s="1352" t="str">
        <f t="shared" si="11"/>
        <v>物业管理</v>
      </c>
      <c r="R39" s="705" t="s">
        <v>14</v>
      </c>
      <c r="S39" s="706">
        <f t="shared" si="12"/>
        <v>100</v>
      </c>
      <c r="T39" s="705" t="s">
        <v>14</v>
      </c>
      <c r="U39" s="706">
        <f t="shared" si="13"/>
        <v>100</v>
      </c>
      <c r="V39" s="705" t="s">
        <v>14</v>
      </c>
      <c r="W39" s="706">
        <f t="shared" si="14"/>
        <v>100</v>
      </c>
      <c r="X39" s="1355"/>
      <c r="Y39" s="3708" t="s">
        <v>1695</v>
      </c>
      <c r="Z39" s="1356" t="str">
        <f t="shared" si="15"/>
        <v>物业管理</v>
      </c>
      <c r="AA39" s="1353">
        <f t="shared" si="3"/>
        <v>1</v>
      </c>
      <c r="AB39" s="1353">
        <f t="shared" si="4"/>
        <v>1</v>
      </c>
      <c r="AC39" s="1960">
        <f t="shared" si="5"/>
        <v>1</v>
      </c>
    </row>
    <row r="40" spans="1:29" ht="15">
      <c r="A40" s="423"/>
      <c r="B40" s="375" t="s">
        <v>1786</v>
      </c>
      <c r="C40" s="411" t="s">
        <v>3464</v>
      </c>
      <c r="D40" s="386">
        <v>100</v>
      </c>
      <c r="E40" s="411" t="s">
        <v>3464</v>
      </c>
      <c r="F40" s="412">
        <f>SUMIF(117:117,E40,118:118)-SUMIF(117:117,C40,118:118)+100</f>
        <v>100</v>
      </c>
      <c r="G40" s="411" t="s">
        <v>3464</v>
      </c>
      <c r="H40" s="386">
        <f>SUMIF(117:117,G40,118:118)-SUMIF(117:117,C40,118:118)+100</f>
        <v>100</v>
      </c>
      <c r="I40" s="411" t="s">
        <v>3464</v>
      </c>
      <c r="J40" s="386">
        <f>SUMIF(117:117,I40,118:118)-SUMIF(117:117,C40,118:118)+100</f>
        <v>100</v>
      </c>
      <c r="K40" s="561">
        <v>1</v>
      </c>
      <c r="L40" s="2714"/>
      <c r="M40" s="2708"/>
      <c r="N40" s="2708"/>
      <c r="O40" s="2708"/>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0">
        <f t="shared" si="5"/>
        <v>1</v>
      </c>
    </row>
    <row r="41" spans="1:29" ht="15">
      <c r="A41" s="423"/>
      <c r="B41" s="375" t="s">
        <v>1788</v>
      </c>
      <c r="C41" s="565" t="s">
        <v>3486</v>
      </c>
      <c r="D41" s="386">
        <v>100</v>
      </c>
      <c r="E41" s="565" t="s">
        <v>3486</v>
      </c>
      <c r="F41" s="412">
        <f>SUMIF(119:119,E41,120:120)-SUMIF(119:119,C41,120:120)+100</f>
        <v>100</v>
      </c>
      <c r="G41" s="565" t="s">
        <v>3486</v>
      </c>
      <c r="H41" s="386">
        <f>SUMIF(119:119,G41,120:120)-SUMIF(119:119,C41,120:120)+100</f>
        <v>100</v>
      </c>
      <c r="I41" s="565" t="s">
        <v>3486</v>
      </c>
      <c r="J41" s="386">
        <f>SUMIF(119:119,I41,120:120)-SUMIF(119:119,C41,120:120)+100</f>
        <v>100</v>
      </c>
      <c r="K41" s="561">
        <v>5</v>
      </c>
      <c r="L41" s="2714"/>
      <c r="M41" s="2708"/>
      <c r="N41" s="2708"/>
      <c r="O41" s="2708"/>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0">
        <f t="shared" si="5"/>
        <v>1</v>
      </c>
    </row>
    <row r="43" spans="1:29" ht="15">
      <c r="A43" s="423"/>
      <c r="B43" s="375" t="s">
        <v>1791</v>
      </c>
      <c r="C43" s="411" t="s">
        <v>3403</v>
      </c>
      <c r="D43" s="386">
        <v>100</v>
      </c>
      <c r="E43" s="411" t="s">
        <v>3403</v>
      </c>
      <c r="F43" s="412">
        <f>SUMIF(123:123,E43,124:124)-SUMIF(123:123,C43,124:124)+100</f>
        <v>100</v>
      </c>
      <c r="G43" s="411" t="s">
        <v>3403</v>
      </c>
      <c r="H43" s="386">
        <f>SUMIF(123:123,G43,124:124)-SUMIF(123:123,C43,124:124)+100</f>
        <v>100</v>
      </c>
      <c r="I43" s="411" t="s">
        <v>3403</v>
      </c>
      <c r="J43" s="386">
        <f>SUMIF(123:123,I43,124:124)-SUMIF(123:123,C43,124:124)+100</f>
        <v>100</v>
      </c>
      <c r="K43" s="561">
        <v>2</v>
      </c>
      <c r="L43" s="2714"/>
      <c r="M43" s="2708"/>
      <c r="N43" s="2708"/>
      <c r="O43" s="2708"/>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0">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714"/>
      <c r="M44" s="2708"/>
      <c r="N44" s="2708"/>
      <c r="O44" s="2708"/>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0">
        <f t="shared" si="5"/>
        <v>1</v>
      </c>
    </row>
    <row r="48" spans="1:29" ht="15">
      <c r="A48" s="430" t="s">
        <v>1707</v>
      </c>
      <c r="B48" s="431"/>
      <c r="C48" s="1154" t="s">
        <v>0</v>
      </c>
      <c r="D48" s="1155"/>
      <c r="E48" s="1156">
        <f>'案例 (2)'!E2</f>
        <v>4.5</v>
      </c>
      <c r="F48" s="1157"/>
      <c r="G48" s="1158">
        <f>'案例 (2)'!E3</f>
        <v>4.2</v>
      </c>
      <c r="H48" s="1159"/>
      <c r="I48" s="1156">
        <f>'案例 (2)'!E4</f>
        <v>4.5</v>
      </c>
      <c r="J48" s="436"/>
      <c r="K48" s="714"/>
      <c r="L48" s="2716"/>
      <c r="M48" s="2708"/>
      <c r="N48" s="2708"/>
      <c r="O48" s="2708"/>
      <c r="P48" s="3712" t="str">
        <f>A48</f>
        <v>成交单价（元/平方米）</v>
      </c>
      <c r="Q48" s="3701"/>
      <c r="R48" s="3702">
        <f>E48</f>
        <v>4.5</v>
      </c>
      <c r="S48" s="3702"/>
      <c r="T48" s="3702">
        <f>G48</f>
        <v>4.2</v>
      </c>
      <c r="U48" s="3702"/>
      <c r="V48" s="3702">
        <f>I48</f>
        <v>4.5</v>
      </c>
      <c r="W48" s="3702"/>
      <c r="X48" s="397"/>
      <c r="Y48" s="712"/>
      <c r="Z48" s="397"/>
      <c r="AA48" s="397"/>
      <c r="AB48" s="397"/>
      <c r="AC48" s="578"/>
    </row>
    <row r="49" spans="1:29" ht="15.75" thickBot="1">
      <c r="A49" s="437" t="s">
        <v>1792</v>
      </c>
      <c r="B49" s="438"/>
      <c r="C49" s="1160">
        <f>R50</f>
        <v>4</v>
      </c>
      <c r="D49" s="2315" t="s">
        <v>2137</v>
      </c>
      <c r="E49" s="1161">
        <f>R49</f>
        <v>4.0999999999999996</v>
      </c>
      <c r="F49" s="2316"/>
      <c r="G49" s="1160">
        <f>T49</f>
        <v>3.9</v>
      </c>
      <c r="H49" s="2316"/>
      <c r="I49" s="1161">
        <f>V49</f>
        <v>4.0999999999999996</v>
      </c>
      <c r="J49" s="2316"/>
      <c r="K49" s="2318">
        <f>F49+H49+J49</f>
        <v>0</v>
      </c>
      <c r="L49" s="2716"/>
      <c r="M49" s="2708"/>
      <c r="N49" s="2708"/>
      <c r="O49" s="2708"/>
      <c r="P49" s="3712" t="str">
        <f>A49</f>
        <v>比较价值（元/平方米）</v>
      </c>
      <c r="Q49" s="3701"/>
      <c r="R49" s="3702">
        <f>IF(F1="售价",ROUND(PRODUCT(R48,AA7:AA47),0),ROUND(PRODUCT(R48,AA7:AA47),1))</f>
        <v>4.0999999999999996</v>
      </c>
      <c r="S49" s="3702"/>
      <c r="T49" s="3702">
        <f>IF(F1="售价",ROUND(PRODUCT(T48,AB7:AB47),0),ROUND(PRODUCT(T48,AB7:AB47),1))</f>
        <v>3.9</v>
      </c>
      <c r="U49" s="3702"/>
      <c r="V49" s="3702">
        <f>IF(F1="售价",ROUND(PRODUCT(V48,AC7:AC47),0),ROUND(PRODUCT(V48,AC7:AC47),1))</f>
        <v>4.0999999999999996</v>
      </c>
      <c r="W49" s="3702"/>
      <c r="X49" s="397"/>
      <c r="Y49" s="397"/>
      <c r="Z49" s="397"/>
      <c r="AA49" s="397"/>
      <c r="AB49" s="397"/>
      <c r="AC49" s="578"/>
    </row>
    <row r="50" spans="1:29" ht="15.75" thickBot="1">
      <c r="A50" s="441" t="s">
        <v>1793</v>
      </c>
      <c r="B50" s="442"/>
      <c r="C50" s="1163">
        <f>R50</f>
        <v>4</v>
      </c>
      <c r="D50" s="1163"/>
      <c r="E50" s="1163"/>
      <c r="F50" s="1163"/>
      <c r="G50" s="1163"/>
      <c r="H50" s="1163"/>
      <c r="I50" s="1163"/>
      <c r="J50" s="443"/>
      <c r="K50" s="715"/>
      <c r="L50" s="2716"/>
      <c r="M50" s="2708"/>
      <c r="N50" s="2708"/>
      <c r="O50" s="2708"/>
      <c r="P50" s="3744" t="str">
        <f>A50</f>
        <v>估价对象XX用房的比较价值（楼面单价，元/平方米）</v>
      </c>
      <c r="Q50" s="3745"/>
      <c r="R50" s="3746">
        <f>IF(F1="售价",ROUND(IF(D49="简单平均",AVERAGE(R49:V49),R49*F49+T49*H49+V49*J49),0),ROUND(IF(D49="简单平均",AVERAGE(R49:V49),R49*F49+T49*H49+V49*J49),1))</f>
        <v>4</v>
      </c>
      <c r="S50" s="3746"/>
      <c r="T50" s="3746"/>
      <c r="U50" s="3746"/>
      <c r="V50" s="3746"/>
      <c r="W50" s="3746"/>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f>IF(E48&lt;E49,E49/E48-1,E48/E49-1)</f>
        <v>9.7560975609756184E-2</v>
      </c>
      <c r="F53" s="449" t="str">
        <f>IF(OR(E53&gt;=0.3,E53&lt;=-0.3),"超过30%","")</f>
        <v/>
      </c>
      <c r="G53" s="448">
        <f>IF(G48&lt;G49,G49/G48-1,G48/G49-1)</f>
        <v>7.6923076923077094E-2</v>
      </c>
      <c r="H53" s="449" t="str">
        <f>IF(OR(G53&gt;=0.3,G53&lt;=-0.3),"超过30%","")</f>
        <v/>
      </c>
      <c r="I53" s="448">
        <f>IF(I48&lt;I49,I49/I48-1,I48/I49-1)</f>
        <v>9.7560975609756184E-2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f>IF(E49&lt;G49,G49/E49-1,E49/G49-1)</f>
        <v>5.1282051282051322E-2</v>
      </c>
      <c r="F54" s="449" t="str">
        <f>IF(OR(E54&gt;=0.2,E54&lt;=-0.2),"超过20%","")</f>
        <v/>
      </c>
      <c r="G54" s="448">
        <f>IF(G49&lt;I49,I49/G49-1,G49/I49-1)</f>
        <v>5.1282051282051322E-2</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f>IF(E48&lt;G48,G48/E48-1,E48/G48-1)</f>
        <v>7.1428571428571397E-2</v>
      </c>
      <c r="F55" s="449" t="str">
        <f>IF(OR(E55&gt;=0.3,E55&lt;=-0.3),"超过30%","")</f>
        <v/>
      </c>
      <c r="G55" s="448">
        <f>IF(G48&lt;I48,I48/G48-1,G48/I48-1)</f>
        <v>7.1428571428571397E-2</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1680</v>
      </c>
      <c r="B62" s="459"/>
      <c r="C62" s="471" t="s">
        <v>1775</v>
      </c>
      <c r="D62" s="3453" t="s">
        <v>3465</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1718</v>
      </c>
      <c r="B64" s="477" t="s">
        <v>1684</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3466</v>
      </c>
      <c r="D66" s="532" t="s">
        <v>3467</v>
      </c>
      <c r="E66" s="532" t="s">
        <v>3468</v>
      </c>
      <c r="F66" s="3454" t="s">
        <v>3470</v>
      </c>
      <c r="G66" s="532" t="s">
        <v>3469</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3471</v>
      </c>
      <c r="D89" s="3455" t="s">
        <v>3472</v>
      </c>
      <c r="E89" s="3455" t="s">
        <v>3473</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3458" t="s">
        <v>3475</v>
      </c>
      <c r="D101" s="3458" t="s">
        <v>3476</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v>
      </c>
      <c r="D103" s="527" t="str">
        <f t="shared" ref="D103:L103" si="23">D104&amp;"(含)"&amp;"-"&amp;E104</f>
        <v>500(含)-2000</v>
      </c>
      <c r="E103" s="527" t="str">
        <f t="shared" si="23"/>
        <v>2000(含)-10000</v>
      </c>
      <c r="F103" s="527" t="str">
        <f t="shared" si="23"/>
        <v>10000(含)-20000</v>
      </c>
      <c r="G103" s="527" t="str">
        <f t="shared" si="23"/>
        <v>20000(含)-30000</v>
      </c>
      <c r="H103" s="527" t="str">
        <f t="shared" si="23"/>
        <v>30000(含)-100000</v>
      </c>
      <c r="I103" s="527" t="str">
        <f t="shared" si="23"/>
        <v>100000(含)-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v>
      </c>
      <c r="E104" s="544">
        <v>2000</v>
      </c>
      <c r="F104" s="544">
        <v>10000</v>
      </c>
      <c r="G104" s="544">
        <v>20000</v>
      </c>
      <c r="H104" s="544">
        <v>30000</v>
      </c>
      <c r="I104" s="544">
        <v>100000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v>100</v>
      </c>
      <c r="D105" s="485">
        <f>C105-1</f>
        <v>99</v>
      </c>
      <c r="E105" s="485">
        <f t="shared" ref="E105:H105" si="24">D105-1</f>
        <v>98</v>
      </c>
      <c r="F105" s="485">
        <f t="shared" si="24"/>
        <v>97</v>
      </c>
      <c r="G105" s="485">
        <f t="shared" si="24"/>
        <v>96</v>
      </c>
      <c r="H105" s="485">
        <f t="shared" si="24"/>
        <v>95</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455" t="s">
        <v>3477</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455" t="s">
        <v>3478</v>
      </c>
      <c r="D108" s="3455" t="s">
        <v>3479</v>
      </c>
      <c r="E108" s="3455" t="s">
        <v>3480</v>
      </c>
      <c r="F108" s="3459" t="s">
        <v>3481</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455" t="s">
        <v>3483</v>
      </c>
      <c r="D115" s="3455" t="s">
        <v>3484</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3459" t="s">
        <v>3485</v>
      </c>
      <c r="D119" s="3459" t="s">
        <v>3487</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F3" sqref="F3"/>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3512</v>
      </c>
      <c r="B2" s="3451">
        <v>45200</v>
      </c>
      <c r="C2">
        <v>143</v>
      </c>
      <c r="D2" s="3450" t="s">
        <v>3513</v>
      </c>
      <c r="E2">
        <v>4.5</v>
      </c>
      <c r="F2">
        <v>2020</v>
      </c>
      <c r="G2" s="3452">
        <v>0.9</v>
      </c>
      <c r="H2">
        <v>3</v>
      </c>
    </row>
    <row r="3" spans="1:8">
      <c r="A3" s="3450" t="s">
        <v>3532</v>
      </c>
      <c r="B3" s="3451">
        <f>B2</f>
        <v>45200</v>
      </c>
      <c r="C3">
        <v>2500</v>
      </c>
      <c r="D3" s="3450" t="s">
        <v>3514</v>
      </c>
      <c r="E3">
        <v>4.2</v>
      </c>
      <c r="F3">
        <v>2020</v>
      </c>
      <c r="G3" s="3452">
        <v>0.9</v>
      </c>
      <c r="H3">
        <v>3</v>
      </c>
    </row>
    <row r="4" spans="1:8">
      <c r="A4" s="3450" t="s">
        <v>3517</v>
      </c>
      <c r="B4" s="3451">
        <f>B2</f>
        <v>45200</v>
      </c>
      <c r="C4">
        <v>413</v>
      </c>
      <c r="D4" s="3450" t="s">
        <v>3514</v>
      </c>
      <c r="E4">
        <v>4.5</v>
      </c>
      <c r="F4">
        <v>2020</v>
      </c>
      <c r="G4" s="3452">
        <v>0.9</v>
      </c>
      <c r="H4">
        <v>3</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5" t="s">
        <v>3494</v>
      </c>
      <c r="F1" s="1879" t="s">
        <v>3421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27800</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10004</v>
      </c>
      <c r="C3" s="354" t="s">
        <v>1767</v>
      </c>
      <c r="D3" s="353">
        <f>IF(D1="",'数据-汇总表'!E3,SUMIF('数据-汇总表'!$C19:$C33,D1,'数据-汇总表'!$E19:$E33))</f>
        <v>27788.400000000001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913"/>
      <c r="M4" s="914"/>
      <c r="N4" s="914"/>
      <c r="O4" s="914"/>
      <c r="P4" s="3720" t="s">
        <v>1774</v>
      </c>
      <c r="Q4" s="3721"/>
      <c r="R4" s="3726" t="s">
        <v>1770</v>
      </c>
      <c r="S4" s="3727"/>
      <c r="T4" s="3726" t="s">
        <v>1771</v>
      </c>
      <c r="U4" s="3727"/>
      <c r="V4" s="3732" t="s">
        <v>1772</v>
      </c>
      <c r="W4" s="3732"/>
      <c r="X4" s="1355"/>
      <c r="Y4" s="3726" t="s">
        <v>1774</v>
      </c>
      <c r="Z4" s="3727"/>
      <c r="AA4" s="3713" t="s">
        <v>1770</v>
      </c>
      <c r="AB4" s="3714" t="s">
        <v>1771</v>
      </c>
      <c r="AC4" s="3713" t="s">
        <v>1772</v>
      </c>
    </row>
    <row r="5" spans="1:29" ht="15">
      <c r="A5" s="358"/>
      <c r="B5" s="359"/>
      <c r="C5" s="3735" t="s">
        <v>1672</v>
      </c>
      <c r="D5" s="3736"/>
      <c r="E5" s="3742" t="str">
        <f>'案例 (3)'!A2</f>
        <v>AAA</v>
      </c>
      <c r="F5" s="3743"/>
      <c r="G5" s="3735" t="str">
        <f>'案例 (3)'!A3</f>
        <v>BBB</v>
      </c>
      <c r="H5" s="3736"/>
      <c r="I5" s="3735" t="str">
        <f>'案例 (3)'!A4</f>
        <v>CCC</v>
      </c>
      <c r="J5" s="3736"/>
      <c r="K5" s="559"/>
      <c r="L5" s="913"/>
      <c r="M5" s="914"/>
      <c r="N5" s="914"/>
      <c r="O5" s="914"/>
      <c r="P5" s="3722"/>
      <c r="Q5" s="3723"/>
      <c r="R5" s="3728"/>
      <c r="S5" s="3729"/>
      <c r="T5" s="3728"/>
      <c r="U5" s="3729"/>
      <c r="V5" s="3732"/>
      <c r="W5" s="3732"/>
      <c r="X5" s="1355"/>
      <c r="Y5" s="3728"/>
      <c r="Z5" s="3729"/>
      <c r="AA5" s="3714"/>
      <c r="AB5" s="3714"/>
      <c r="AC5" s="3714"/>
    </row>
    <row r="6" spans="1:29" ht="15.75" thickBot="1">
      <c r="A6" s="360"/>
      <c r="B6" s="361"/>
      <c r="C6" s="3733" t="s">
        <v>1676</v>
      </c>
      <c r="D6" s="3734"/>
      <c r="E6" s="3740" t="s">
        <v>1676</v>
      </c>
      <c r="F6" s="3741"/>
      <c r="G6" s="3733" t="s">
        <v>1676</v>
      </c>
      <c r="H6" s="3734"/>
      <c r="I6" s="3733" t="s">
        <v>1676</v>
      </c>
      <c r="J6" s="3734"/>
      <c r="K6" s="559" t="s">
        <v>1677</v>
      </c>
      <c r="L6" s="913"/>
      <c r="M6" s="914"/>
      <c r="N6" s="914"/>
      <c r="O6" s="914"/>
      <c r="P6" s="3724"/>
      <c r="Q6" s="3725"/>
      <c r="R6" s="3728"/>
      <c r="S6" s="3729"/>
      <c r="T6" s="3730"/>
      <c r="U6" s="3731"/>
      <c r="V6" s="3732"/>
      <c r="W6" s="3732"/>
      <c r="X6" s="1355"/>
      <c r="Y6" s="3730"/>
      <c r="Z6" s="3731"/>
      <c r="AA6" s="3715"/>
      <c r="AB6" s="3715"/>
      <c r="AC6" s="3715"/>
    </row>
    <row r="7" spans="1:29" s="108" customFormat="1" ht="15.75" thickBot="1">
      <c r="A7" s="362" t="s">
        <v>1678</v>
      </c>
      <c r="B7" s="363"/>
      <c r="C7" s="364">
        <f>'数据-取费表'!B2</f>
        <v>45225</v>
      </c>
      <c r="D7" s="365">
        <v>100</v>
      </c>
      <c r="E7" s="366">
        <f>'案例 (3)'!B2</f>
        <v>45225</v>
      </c>
      <c r="F7" s="367">
        <f>SUMIF(52:52,YEAR(E7)&amp;"-"&amp;MONTH(E7),53:53)</f>
        <v>100</v>
      </c>
      <c r="G7" s="366">
        <f>'案例 (3)'!B3</f>
        <v>45225</v>
      </c>
      <c r="H7" s="365">
        <f>SUMIF(52:52,YEAR(G7)&amp;"-"&amp;MONTH(G7),53:53)</f>
        <v>100</v>
      </c>
      <c r="I7" s="366">
        <f>'案例 (3)'!B4</f>
        <v>45225</v>
      </c>
      <c r="J7" s="365">
        <f>SUMIF(52:52,YEAR(I7)&amp;"-"&amp;MONTH(I7),53:53)</f>
        <v>100</v>
      </c>
      <c r="K7" s="560"/>
      <c r="L7" s="915"/>
      <c r="M7" s="916"/>
      <c r="N7" s="916"/>
      <c r="O7" s="916"/>
      <c r="P7" s="3737" t="s">
        <v>1679</v>
      </c>
      <c r="Q7" s="3739"/>
      <c r="R7" s="701" t="s">
        <v>14</v>
      </c>
      <c r="S7" s="702">
        <f t="shared" ref="S7:S15" si="0">F7</f>
        <v>100</v>
      </c>
      <c r="T7" s="701" t="s">
        <v>14</v>
      </c>
      <c r="U7" s="702">
        <f t="shared" ref="U7:U15" si="1">H7</f>
        <v>100</v>
      </c>
      <c r="V7" s="701" t="s">
        <v>14</v>
      </c>
      <c r="W7" s="702">
        <f t="shared" ref="W7:W15" si="2">J7</f>
        <v>100</v>
      </c>
      <c r="X7" s="703"/>
      <c r="Y7" s="3737" t="s">
        <v>1679</v>
      </c>
      <c r="Z7" s="3738"/>
      <c r="AA7" s="704">
        <f>D7/F7</f>
        <v>1</v>
      </c>
      <c r="AB7" s="704">
        <f>D7/H7</f>
        <v>1</v>
      </c>
      <c r="AC7" s="704">
        <f>D7/J7</f>
        <v>1</v>
      </c>
    </row>
    <row r="8" spans="1:29" s="108" customFormat="1" ht="15.75" thickBot="1">
      <c r="A8" s="362" t="s">
        <v>1680</v>
      </c>
      <c r="B8" s="363"/>
      <c r="C8" s="368" t="s">
        <v>3393</v>
      </c>
      <c r="D8" s="365">
        <v>100</v>
      </c>
      <c r="E8" s="368" t="s">
        <v>3422</v>
      </c>
      <c r="F8" s="367">
        <f>SUMIF(55:55,E8,56:56)-SUMIF(55:55,C8,56:56)+100</f>
        <v>102</v>
      </c>
      <c r="G8" s="368" t="s">
        <v>3422</v>
      </c>
      <c r="H8" s="365">
        <f>SUMIF(55:55,G8,56:56)-SUMIF(55:55,C8,56:56)+100</f>
        <v>102</v>
      </c>
      <c r="I8" s="368" t="s">
        <v>3422</v>
      </c>
      <c r="J8" s="365">
        <f>SUMIF(55:55,I8,56:56)-SUMIF(55:55,C8,56:56)+100</f>
        <v>102</v>
      </c>
      <c r="K8" s="560"/>
      <c r="L8" s="915"/>
      <c r="M8" s="916"/>
      <c r="N8" s="916"/>
      <c r="O8" s="916"/>
      <c r="P8" s="3737" t="s">
        <v>1682</v>
      </c>
      <c r="Q8" s="3738"/>
      <c r="R8" s="701" t="s">
        <v>14</v>
      </c>
      <c r="S8" s="702">
        <f t="shared" si="0"/>
        <v>102</v>
      </c>
      <c r="T8" s="701" t="s">
        <v>14</v>
      </c>
      <c r="U8" s="702">
        <f t="shared" si="1"/>
        <v>102</v>
      </c>
      <c r="V8" s="701" t="s">
        <v>14</v>
      </c>
      <c r="W8" s="702">
        <f t="shared" si="2"/>
        <v>102</v>
      </c>
      <c r="X8" s="703"/>
      <c r="Y8" s="3737" t="s">
        <v>1682</v>
      </c>
      <c r="Z8" s="3738"/>
      <c r="AA8" s="704">
        <f t="shared" ref="AA8:AA40" si="3">D8/F8</f>
        <v>0.98039215686274506</v>
      </c>
      <c r="AB8" s="704">
        <f t="shared" ref="AB8:AB40" si="4">D8/H8</f>
        <v>0.98039215686274506</v>
      </c>
      <c r="AC8" s="704">
        <f t="shared" ref="AC8:AC40" si="5">D8/J8</f>
        <v>0.98039215686274506</v>
      </c>
    </row>
    <row r="9" spans="1:29" s="108" customFormat="1">
      <c r="A9" s="369" t="s">
        <v>1683</v>
      </c>
      <c r="B9" s="63" t="s">
        <v>1684</v>
      </c>
      <c r="C9" s="3461" t="s">
        <v>3495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1"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3">
        <v>2</v>
      </c>
      <c r="L15" s="923"/>
      <c r="M15" s="914"/>
      <c r="N15" s="914"/>
      <c r="O15" s="922"/>
      <c r="P15" s="3703" t="s">
        <v>1690</v>
      </c>
      <c r="Q15" s="1352" t="str">
        <f t="shared" si="6"/>
        <v>产业集聚程度</v>
      </c>
      <c r="R15" s="705" t="s">
        <v>14</v>
      </c>
      <c r="S15" s="706">
        <f t="shared" si="0"/>
        <v>100</v>
      </c>
      <c r="T15" s="705" t="s">
        <v>14</v>
      </c>
      <c r="U15" s="706">
        <f t="shared" si="1"/>
        <v>100</v>
      </c>
      <c r="V15" s="705" t="s">
        <v>14</v>
      </c>
      <c r="W15" s="706">
        <f t="shared" si="2"/>
        <v>100</v>
      </c>
      <c r="X15" s="1355"/>
      <c r="Y15" s="3703" t="s">
        <v>1690</v>
      </c>
      <c r="Z15" s="1356" t="str">
        <f t="shared" si="7"/>
        <v>产业集聚程度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15">
      <c r="A17" s="379"/>
      <c r="B17" s="402" t="s">
        <v>1258</v>
      </c>
      <c r="C17" s="1900"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3">
        <v>2</v>
      </c>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15">
      <c r="A19" s="379"/>
      <c r="B19" s="402" t="s">
        <v>1811</v>
      </c>
      <c r="C19" s="1900"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3">
        <v>2</v>
      </c>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15">
      <c r="A21" s="379"/>
      <c r="B21" s="1131" t="s">
        <v>1812</v>
      </c>
      <c r="C21" s="1900"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3">
        <v>1</v>
      </c>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15">
      <c r="A23" s="379"/>
      <c r="B23" s="402" t="s">
        <v>1813</v>
      </c>
      <c r="C23" s="1900"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3">
        <v>2</v>
      </c>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75" thickBot="1">
      <c r="A24" s="379"/>
      <c r="B24" s="1131"/>
      <c r="C24" s="398" t="s">
        <v>3385</v>
      </c>
      <c r="D24" s="399"/>
      <c r="E24" s="1898" t="s">
        <v>3385</v>
      </c>
      <c r="F24" s="400"/>
      <c r="G24" s="1898" t="s">
        <v>3385</v>
      </c>
      <c r="H24" s="399"/>
      <c r="I24" s="1898" t="s">
        <v>3385</v>
      </c>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1693</v>
      </c>
      <c r="B29" s="63" t="s">
        <v>1816</v>
      </c>
      <c r="C29" s="1965" t="s">
        <v>3489</v>
      </c>
      <c r="D29" s="418">
        <v>100</v>
      </c>
      <c r="E29" s="1965" t="s">
        <v>3489</v>
      </c>
      <c r="F29" s="412">
        <f>SUMIF(88:88,E29,89:89)-SUMIF(88:88,C29,89:89)+100</f>
        <v>100</v>
      </c>
      <c r="G29" s="1965" t="s">
        <v>3489</v>
      </c>
      <c r="H29" s="386">
        <f>SUMIF(88:88,G29,89:89)-SUMIF(88:88,C29,89:89)+100</f>
        <v>100</v>
      </c>
      <c r="I29" s="1965" t="s">
        <v>3489</v>
      </c>
      <c r="J29" s="418">
        <f>SUMIF(88:88,I29,89:89)-SUMIF(88:88,C29,89:89)+100</f>
        <v>100</v>
      </c>
      <c r="K29" s="561">
        <v>5</v>
      </c>
      <c r="L29" s="923"/>
      <c r="M29" s="914"/>
      <c r="N29" s="914"/>
      <c r="O29" s="922"/>
      <c r="P29" s="3759" t="s">
        <v>1695</v>
      </c>
      <c r="Q29" s="1352" t="str">
        <f t="shared" si="11"/>
        <v>建筑类型</v>
      </c>
      <c r="R29" s="705" t="s">
        <v>14</v>
      </c>
      <c r="S29" s="706">
        <f t="shared" si="12"/>
        <v>100</v>
      </c>
      <c r="T29" s="705" t="s">
        <v>14</v>
      </c>
      <c r="U29" s="706">
        <f t="shared" si="13"/>
        <v>100</v>
      </c>
      <c r="V29" s="705" t="s">
        <v>14</v>
      </c>
      <c r="W29" s="706">
        <f t="shared" si="14"/>
        <v>100</v>
      </c>
      <c r="X29" s="1355"/>
      <c r="Y29" s="3708" t="s">
        <v>1695</v>
      </c>
      <c r="Z29" s="1356" t="str">
        <f t="shared" si="15"/>
        <v>建筑类型</v>
      </c>
      <c r="AA29" s="1353">
        <f t="shared" si="3"/>
        <v>1</v>
      </c>
      <c r="AB29" s="1353">
        <f t="shared" si="4"/>
        <v>1</v>
      </c>
      <c r="AC29" s="1353">
        <f t="shared" si="5"/>
        <v>1</v>
      </c>
    </row>
    <row r="30" spans="1:29" s="422" customFormat="1" ht="15">
      <c r="A30" s="419"/>
      <c r="B30" s="375" t="s">
        <v>1696</v>
      </c>
      <c r="C30" s="420">
        <f>'数据-汇总表'!E3</f>
        <v>27788.400000000001</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08"/>
      <c r="Q30" s="707" t="str">
        <f t="shared" si="11"/>
        <v>项目建筑规模</v>
      </c>
      <c r="R30" s="708" t="s">
        <v>14</v>
      </c>
      <c r="S30" s="709">
        <f t="shared" si="12"/>
        <v>196</v>
      </c>
      <c r="T30" s="708" t="s">
        <v>14</v>
      </c>
      <c r="U30" s="709">
        <f t="shared" si="13"/>
        <v>196</v>
      </c>
      <c r="V30" s="708" t="s">
        <v>14</v>
      </c>
      <c r="W30" s="709">
        <f t="shared" si="14"/>
        <v>196</v>
      </c>
      <c r="X30" s="710"/>
      <c r="Y30" s="3708"/>
      <c r="Z30" s="711" t="str">
        <f t="shared" si="15"/>
        <v>项目建筑规模</v>
      </c>
      <c r="AA30" s="1353">
        <f t="shared" si="3"/>
        <v>0.51020408163265307</v>
      </c>
      <c r="AB30" s="1353">
        <f t="shared" si="4"/>
        <v>0.51020408163265307</v>
      </c>
      <c r="AC30" s="1353">
        <f t="shared" si="5"/>
        <v>0.51020408163265307</v>
      </c>
    </row>
    <row r="31" spans="1:29" ht="15">
      <c r="A31" s="423"/>
      <c r="B31" s="375" t="s">
        <v>1697</v>
      </c>
      <c r="C31" s="411" t="s">
        <v>3400</v>
      </c>
      <c r="D31" s="386">
        <v>100</v>
      </c>
      <c r="E31" s="411" t="s">
        <v>3400</v>
      </c>
      <c r="F31" s="412">
        <f>SUMIF(93:93,E31,94:94)-SUMIF(93:93,C31,94:94)+100</f>
        <v>100</v>
      </c>
      <c r="G31" s="411" t="s">
        <v>3400</v>
      </c>
      <c r="H31" s="386">
        <f>SUMIF(93:93,G31,94:94)-SUMIF(93:93,C31,94:94)+100</f>
        <v>100</v>
      </c>
      <c r="I31" s="411" t="s">
        <v>3400</v>
      </c>
      <c r="J31" s="386">
        <f>SUMIF(93:93,I31,94:94)-SUMIF(93:93,C31,94:94)+100</f>
        <v>100</v>
      </c>
      <c r="K31" s="561">
        <v>2</v>
      </c>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1784</v>
      </c>
      <c r="C32" s="411" t="s">
        <v>3449</v>
      </c>
      <c r="D32" s="386">
        <v>100</v>
      </c>
      <c r="E32" s="411" t="s">
        <v>3449</v>
      </c>
      <c r="F32" s="412">
        <f>SUMIF(95:95,E32,96:96)-SUMIF(95:95,C32,96:96)+100</f>
        <v>100</v>
      </c>
      <c r="G32" s="411" t="s">
        <v>3449</v>
      </c>
      <c r="H32" s="386">
        <f>SUMIF(95:95,G32,96:96)-SUMIF(95:95,C32,96:96)+100</f>
        <v>100</v>
      </c>
      <c r="I32" s="3464" t="s">
        <v>3496</v>
      </c>
      <c r="J32" s="386">
        <f>SUMIF(95:95,I32,96:96)-SUMIF(95:95,C32,96:96)+100</f>
        <v>100</v>
      </c>
      <c r="K32" s="561">
        <v>2</v>
      </c>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1785</v>
      </c>
      <c r="C33" s="3463">
        <f>'数据-取费表'!N16</f>
        <v>0.98</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08"/>
      <c r="Q33" s="1352" t="str">
        <f t="shared" si="11"/>
        <v>成新度</v>
      </c>
      <c r="R33" s="705" t="s">
        <v>14</v>
      </c>
      <c r="S33" s="706">
        <f t="shared" si="12"/>
        <v>100</v>
      </c>
      <c r="T33" s="705" t="s">
        <v>14</v>
      </c>
      <c r="U33" s="706">
        <f t="shared" si="13"/>
        <v>100</v>
      </c>
      <c r="V33" s="705" t="s">
        <v>14</v>
      </c>
      <c r="W33" s="706">
        <f t="shared" si="14"/>
        <v>100</v>
      </c>
      <c r="X33" s="1355"/>
      <c r="Y33" s="3708"/>
      <c r="Z33" s="1356" t="str">
        <f t="shared" si="15"/>
        <v>成新度</v>
      </c>
      <c r="AA33" s="1353">
        <f t="shared" si="3"/>
        <v>1</v>
      </c>
      <c r="AB33" s="1353">
        <f t="shared" si="4"/>
        <v>1</v>
      </c>
      <c r="AC33" s="1353">
        <f t="shared" si="5"/>
        <v>1</v>
      </c>
    </row>
    <row r="34" spans="1:29" s="108" customFormat="1" ht="15">
      <c r="A34" s="424"/>
      <c r="B34" s="375" t="s">
        <v>1818</v>
      </c>
      <c r="C34" s="411" t="s">
        <v>3404</v>
      </c>
      <c r="D34" s="127">
        <v>100</v>
      </c>
      <c r="E34" s="411" t="s">
        <v>3404</v>
      </c>
      <c r="F34" s="412">
        <f>SUMIF(100:100,E34,101:101)-SUMIF(100:100,C34,101:101)+100</f>
        <v>100</v>
      </c>
      <c r="G34" s="411" t="s">
        <v>3404</v>
      </c>
      <c r="H34" s="386">
        <f>SUMIF(100:100,G34,101:101)-SUMIF(100:100,C34,101:101)+100</f>
        <v>100</v>
      </c>
      <c r="I34" s="411" t="s">
        <v>3404</v>
      </c>
      <c r="J34" s="386">
        <f>SUMIF(100:100,I34,101:101)-SUMIF(100:100,C34,101:101)+100</f>
        <v>100</v>
      </c>
      <c r="K34" s="561">
        <v>2</v>
      </c>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1786</v>
      </c>
      <c r="C35" s="411" t="s">
        <v>3464</v>
      </c>
      <c r="D35" s="386">
        <v>100</v>
      </c>
      <c r="E35" s="411" t="s">
        <v>3464</v>
      </c>
      <c r="F35" s="412">
        <f>SUMIF(102:102,E35,103:103)-SUMIF(102:102,C35,103:103)+100</f>
        <v>100</v>
      </c>
      <c r="G35" s="411" t="s">
        <v>3464</v>
      </c>
      <c r="H35" s="386">
        <f>SUMIF(102:102,G35,103:103)-SUMIF(102:102,C35,103:103)+100</f>
        <v>100</v>
      </c>
      <c r="I35" s="411" t="s">
        <v>3464</v>
      </c>
      <c r="J35" s="386">
        <f>SUMIF(102:102,I35,103:103)-SUMIF(102:102,C35,103:103)+100</f>
        <v>100</v>
      </c>
      <c r="K35" s="561">
        <v>1</v>
      </c>
      <c r="L35" s="923"/>
      <c r="M35" s="914"/>
      <c r="N35" s="914"/>
      <c r="O35" s="922"/>
      <c r="P35" s="3708" t="s">
        <v>1695</v>
      </c>
      <c r="Q35" s="1352" t="str">
        <f t="shared" si="11"/>
        <v>市政基础设施</v>
      </c>
      <c r="R35" s="705" t="s">
        <v>14</v>
      </c>
      <c r="S35" s="706">
        <f t="shared" si="12"/>
        <v>100</v>
      </c>
      <c r="T35" s="705" t="s">
        <v>14</v>
      </c>
      <c r="U35" s="706">
        <f t="shared" si="13"/>
        <v>100</v>
      </c>
      <c r="V35" s="705" t="s">
        <v>14</v>
      </c>
      <c r="W35" s="706">
        <f t="shared" si="14"/>
        <v>100</v>
      </c>
      <c r="X35" s="1355"/>
      <c r="Y35" s="3708" t="s">
        <v>1695</v>
      </c>
      <c r="Z35" s="1356" t="str">
        <f t="shared" si="15"/>
        <v>市政基础设施</v>
      </c>
      <c r="AA35" s="1353">
        <f t="shared" si="3"/>
        <v>1</v>
      </c>
      <c r="AB35" s="1353">
        <f t="shared" si="4"/>
        <v>1</v>
      </c>
      <c r="AC35" s="1353">
        <f t="shared" si="5"/>
        <v>1</v>
      </c>
    </row>
    <row r="36" spans="1:29" ht="15">
      <c r="A36" s="423"/>
      <c r="B36" s="375" t="s">
        <v>1791</v>
      </c>
      <c r="C36" s="411" t="s">
        <v>3403</v>
      </c>
      <c r="D36" s="386">
        <v>100</v>
      </c>
      <c r="E36" s="411" t="s">
        <v>3403</v>
      </c>
      <c r="F36" s="412">
        <f>SUMIF(104:104,E36,105:105)-SUMIF(104:104,C36,105:105)+100</f>
        <v>100</v>
      </c>
      <c r="G36" s="411" t="s">
        <v>3403</v>
      </c>
      <c r="H36" s="386">
        <f>SUMIF(104:104,G36,105:105)-SUMIF(104:104,C36,105:105)+100</f>
        <v>100</v>
      </c>
      <c r="I36" s="411" t="s">
        <v>3403</v>
      </c>
      <c r="J36" s="386">
        <f>SUMIF(104:104,I36,105:105)-SUMIF(104:104,C36,105:105)+100</f>
        <v>100</v>
      </c>
      <c r="K36" s="561">
        <v>2</v>
      </c>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75" thickBot="1">
      <c r="A37" s="423"/>
      <c r="B37" s="375" t="s">
        <v>1827</v>
      </c>
      <c r="C37" s="565" t="s">
        <v>3385</v>
      </c>
      <c r="D37" s="386">
        <v>100</v>
      </c>
      <c r="E37" s="565" t="s">
        <v>3385</v>
      </c>
      <c r="F37" s="412">
        <f>SUMIF(106:106,E37,107:107)-SUMIF(106:106,C37,107:107)+100</f>
        <v>100</v>
      </c>
      <c r="G37" s="565" t="s">
        <v>3385</v>
      </c>
      <c r="H37" s="386">
        <f>SUMIF(106:106,G37,107:107)-SUMIF(106:106,C37,107:107)+100</f>
        <v>100</v>
      </c>
      <c r="I37" s="565" t="s">
        <v>3385</v>
      </c>
      <c r="J37" s="386">
        <f>SUMIF(106:106,I37,107:107)-SUMIF(106:106,C37,107:107)+100</f>
        <v>100</v>
      </c>
      <c r="K37" s="561">
        <v>2</v>
      </c>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1707</v>
      </c>
      <c r="B41" s="431"/>
      <c r="C41" s="1154" t="s">
        <v>0</v>
      </c>
      <c r="D41" s="1155"/>
      <c r="E41" s="1156">
        <f>'案例 (3)'!E2</f>
        <v>20000</v>
      </c>
      <c r="F41" s="1157"/>
      <c r="G41" s="1158">
        <f>'案例 (3)'!E3</f>
        <v>20000</v>
      </c>
      <c r="H41" s="1159"/>
      <c r="I41" s="1156">
        <f>'案例 (3)'!E4</f>
        <v>20000</v>
      </c>
      <c r="J41" s="1159"/>
      <c r="K41" s="714"/>
      <c r="L41" s="926"/>
      <c r="M41" s="927"/>
      <c r="N41" s="914"/>
      <c r="O41" s="927"/>
      <c r="P41" s="3701" t="str">
        <f>A41</f>
        <v>成交单价（元/平方米）</v>
      </c>
      <c r="Q41" s="3701"/>
      <c r="R41" s="3702">
        <f>E41</f>
        <v>20000</v>
      </c>
      <c r="S41" s="3702"/>
      <c r="T41" s="3702">
        <f>G41</f>
        <v>20000</v>
      </c>
      <c r="U41" s="3702"/>
      <c r="V41" s="3702">
        <f>I41</f>
        <v>20000</v>
      </c>
      <c r="W41" s="3702"/>
      <c r="X41" s="690"/>
      <c r="Y41" s="712"/>
      <c r="Z41" s="690"/>
      <c r="AA41" s="690"/>
      <c r="AB41" s="690"/>
      <c r="AC41" s="690"/>
    </row>
    <row r="42" spans="1:29" ht="15.75" thickBot="1">
      <c r="A42" s="437" t="s">
        <v>1792</v>
      </c>
      <c r="B42" s="438"/>
      <c r="C42" s="1160">
        <f>R43</f>
        <v>10004</v>
      </c>
      <c r="D42" s="2315" t="s">
        <v>2137</v>
      </c>
      <c r="E42" s="1161">
        <f>R42</f>
        <v>10004</v>
      </c>
      <c r="F42" s="2316"/>
      <c r="G42" s="1160">
        <f>T42</f>
        <v>10004</v>
      </c>
      <c r="H42" s="2316"/>
      <c r="I42" s="1161">
        <f>V42</f>
        <v>10004</v>
      </c>
      <c r="J42" s="2316"/>
      <c r="K42" s="2318">
        <f>F42+H42+J42</f>
        <v>0</v>
      </c>
      <c r="L42" s="926"/>
      <c r="M42" s="927"/>
      <c r="N42" s="914"/>
      <c r="O42" s="927"/>
      <c r="P42" s="3701" t="str">
        <f>A42</f>
        <v>比较价值（元/平方米）</v>
      </c>
      <c r="Q42" s="3701"/>
      <c r="R42" s="3702">
        <f>IF(F1="售价",ROUND(PRODUCT(R41,AA7:AA40),0),ROUND(PRODUCT(R41,AA7:AA40),1))</f>
        <v>10004</v>
      </c>
      <c r="S42" s="3702"/>
      <c r="T42" s="3702">
        <f>IF(F1="售价",ROUND(PRODUCT(T41,AB7:AB40),0),ROUND(PRODUCT(T41,AB7:AB40),1))</f>
        <v>10004</v>
      </c>
      <c r="U42" s="3702"/>
      <c r="V42" s="3702">
        <f>IF(F1="售价",ROUND(PRODUCT(V41,AC7:AC40),0),ROUND(PRODUCT(V41,AC7:AC40),1))</f>
        <v>10004</v>
      </c>
      <c r="W42" s="3702"/>
      <c r="X42" s="690"/>
      <c r="Y42" s="690"/>
      <c r="Z42" s="690"/>
      <c r="AA42" s="690"/>
      <c r="AB42" s="690"/>
      <c r="AC42" s="690"/>
    </row>
    <row r="43" spans="1:29" ht="15.75" thickBot="1">
      <c r="A43" s="441" t="s">
        <v>1793</v>
      </c>
      <c r="B43" s="442"/>
      <c r="C43" s="1163">
        <f>R43</f>
        <v>10004</v>
      </c>
      <c r="D43" s="1163"/>
      <c r="E43" s="1163"/>
      <c r="F43" s="1163"/>
      <c r="G43" s="1163"/>
      <c r="H43" s="1163"/>
      <c r="I43" s="1163"/>
      <c r="J43" s="1163"/>
      <c r="K43" s="715"/>
      <c r="L43" s="926"/>
      <c r="M43" s="927"/>
      <c r="N43" s="927"/>
      <c r="O43" s="927"/>
      <c r="P43" s="3698" t="str">
        <f>A43</f>
        <v>估价对象XX用房的比较价值（楼面单价，元/平方米）</v>
      </c>
      <c r="Q43" s="3699"/>
      <c r="R43" s="3700">
        <f>IF(F1="售价",ROUND(IF(D42="简单平均",AVERAGE(R42:V42),R42*F42+T42*H42+V42*J42),0),ROUND(IF(D42="简单平均",AVERAGE(R42:V42),R42*F42+T42*H42+V42*J42),1))</f>
        <v>10004</v>
      </c>
      <c r="S43" s="3700"/>
      <c r="T43" s="3700"/>
      <c r="U43" s="3700"/>
      <c r="V43" s="3700"/>
      <c r="W43" s="3700"/>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2"/>
      <c r="L46" s="889"/>
      <c r="M46" s="927"/>
      <c r="N46" s="927"/>
      <c r="O46" s="927"/>
    </row>
    <row r="47" spans="1:29" ht="13.5" customHeight="1">
      <c r="A47" s="2717"/>
      <c r="B47" s="2717"/>
      <c r="C47" s="446" t="s">
        <v>1795</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3453" t="s">
        <v>3465</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t="s">
        <v>3466</v>
      </c>
      <c r="D59" s="532" t="s">
        <v>3467</v>
      </c>
      <c r="E59" s="532" t="s">
        <v>3468</v>
      </c>
      <c r="F59" s="3454" t="s">
        <v>3470</v>
      </c>
      <c r="G59" s="532" t="s">
        <v>3469</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1688</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3458" t="s">
        <v>3490</v>
      </c>
      <c r="D88" s="3458" t="s">
        <v>3491</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1736</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1737</v>
      </c>
      <c r="C93" s="3455" t="s">
        <v>3477</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1739</v>
      </c>
      <c r="C95" s="3455" t="s">
        <v>3478</v>
      </c>
      <c r="D95" s="3455" t="s">
        <v>3479</v>
      </c>
      <c r="E95" s="3455" t="s">
        <v>3480</v>
      </c>
      <c r="F95" s="3459" t="s">
        <v>3481</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55" t="s">
        <v>3492</v>
      </c>
      <c r="D100" s="3455" t="s">
        <v>3493</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1741</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26" t="s">
        <v>1770</v>
      </c>
      <c r="S4" s="3727"/>
      <c r="T4" s="3726" t="s">
        <v>1771</v>
      </c>
      <c r="U4" s="3727"/>
      <c r="V4" s="3732" t="s">
        <v>1772</v>
      </c>
      <c r="W4" s="3732"/>
      <c r="X4" s="1355"/>
      <c r="Y4" s="3726" t="s">
        <v>1774</v>
      </c>
      <c r="Z4" s="3727"/>
      <c r="AA4" s="3713" t="s">
        <v>1770</v>
      </c>
      <c r="AB4" s="3714" t="s">
        <v>1771</v>
      </c>
      <c r="AC4" s="3713" t="s">
        <v>1772</v>
      </c>
    </row>
    <row r="5" spans="1:29" ht="15">
      <c r="A5" s="358"/>
      <c r="B5" s="359"/>
      <c r="C5" s="3735" t="s">
        <v>1672</v>
      </c>
      <c r="D5" s="3736"/>
      <c r="E5" s="3742" t="s">
        <v>1673</v>
      </c>
      <c r="F5" s="3743"/>
      <c r="G5" s="3735" t="s">
        <v>1674</v>
      </c>
      <c r="H5" s="3736"/>
      <c r="I5" s="3735" t="s">
        <v>1675</v>
      </c>
      <c r="J5" s="3736"/>
      <c r="K5" s="559"/>
      <c r="L5" s="2707"/>
      <c r="M5" s="2708"/>
      <c r="N5" s="2708"/>
      <c r="O5" s="2708"/>
      <c r="P5" s="3722"/>
      <c r="Q5" s="3723"/>
      <c r="R5" s="3728"/>
      <c r="S5" s="3729"/>
      <c r="T5" s="3728"/>
      <c r="U5" s="3729"/>
      <c r="V5" s="3732"/>
      <c r="W5" s="3732"/>
      <c r="X5" s="1355"/>
      <c r="Y5" s="3728"/>
      <c r="Z5" s="3729"/>
      <c r="AA5" s="3714"/>
      <c r="AB5" s="3714"/>
      <c r="AC5" s="3714"/>
    </row>
    <row r="6" spans="1:29" ht="15.75" thickBot="1">
      <c r="A6" s="360"/>
      <c r="B6" s="361"/>
      <c r="C6" s="3733" t="s">
        <v>1676</v>
      </c>
      <c r="D6" s="3734"/>
      <c r="E6" s="3740" t="s">
        <v>1676</v>
      </c>
      <c r="F6" s="3741"/>
      <c r="G6" s="3733" t="s">
        <v>1676</v>
      </c>
      <c r="H6" s="3734"/>
      <c r="I6" s="3733" t="s">
        <v>1676</v>
      </c>
      <c r="J6" s="3734"/>
      <c r="K6" s="559" t="s">
        <v>1677</v>
      </c>
      <c r="L6" s="2707"/>
      <c r="M6" s="2708"/>
      <c r="N6" s="2708"/>
      <c r="O6" s="2708"/>
      <c r="P6" s="3724"/>
      <c r="Q6" s="3725"/>
      <c r="R6" s="3728"/>
      <c r="S6" s="3729"/>
      <c r="T6" s="3730"/>
      <c r="U6" s="3731"/>
      <c r="V6" s="3732"/>
      <c r="W6" s="3732"/>
      <c r="X6" s="1355"/>
      <c r="Y6" s="3730"/>
      <c r="Z6" s="3731"/>
      <c r="AA6" s="3715"/>
      <c r="AB6" s="3715"/>
      <c r="AC6" s="3715"/>
    </row>
    <row r="7" spans="1:29" s="108" customFormat="1" ht="15.75" thickBot="1">
      <c r="A7" s="362" t="s">
        <v>1678</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37" t="s">
        <v>1679</v>
      </c>
      <c r="Q7" s="3739"/>
      <c r="R7" s="701" t="s">
        <v>14</v>
      </c>
      <c r="S7" s="702">
        <f t="shared" ref="S7:S14" si="0">F7</f>
        <v>0</v>
      </c>
      <c r="T7" s="701" t="s">
        <v>14</v>
      </c>
      <c r="U7" s="702">
        <f t="shared" ref="U7:U14" si="1">H7</f>
        <v>0</v>
      </c>
      <c r="V7" s="701" t="s">
        <v>14</v>
      </c>
      <c r="W7" s="702">
        <f t="shared" ref="W7:W14" si="2">J7</f>
        <v>0</v>
      </c>
      <c r="X7" s="703"/>
      <c r="Y7" s="3737" t="s">
        <v>1679</v>
      </c>
      <c r="Z7" s="373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37" t="s">
        <v>1682</v>
      </c>
      <c r="Q8" s="3738"/>
      <c r="R8" s="701" t="s">
        <v>14</v>
      </c>
      <c r="S8" s="702">
        <f t="shared" si="0"/>
        <v>100</v>
      </c>
      <c r="T8" s="701" t="s">
        <v>14</v>
      </c>
      <c r="U8" s="702">
        <f t="shared" si="1"/>
        <v>100</v>
      </c>
      <c r="V8" s="701" t="s">
        <v>14</v>
      </c>
      <c r="W8" s="702">
        <f t="shared" si="2"/>
        <v>100</v>
      </c>
      <c r="X8" s="703"/>
      <c r="Y8" s="3737" t="s">
        <v>1682</v>
      </c>
      <c r="Z8" s="373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01" t="s">
        <v>1685</v>
      </c>
      <c r="Q9" s="1343" t="str">
        <f t="shared" ref="Q9:Q14" si="6">B9</f>
        <v>用途</v>
      </c>
      <c r="R9" s="701" t="s">
        <v>14</v>
      </c>
      <c r="S9" s="702">
        <f t="shared" si="0"/>
        <v>100</v>
      </c>
      <c r="T9" s="701" t="s">
        <v>14</v>
      </c>
      <c r="U9" s="702">
        <f t="shared" si="1"/>
        <v>100</v>
      </c>
      <c r="V9" s="701" t="s">
        <v>14</v>
      </c>
      <c r="W9" s="702">
        <f t="shared" si="2"/>
        <v>100</v>
      </c>
      <c r="X9" s="703"/>
      <c r="Y9" s="3557"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01"/>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3" t="s">
        <v>1690</v>
      </c>
      <c r="Q14" s="1352" t="str">
        <f t="shared" si="6"/>
        <v>交通便捷度</v>
      </c>
      <c r="R14" s="705" t="s">
        <v>14</v>
      </c>
      <c r="S14" s="706">
        <f t="shared" si="0"/>
        <v>100</v>
      </c>
      <c r="T14" s="705" t="s">
        <v>14</v>
      </c>
      <c r="U14" s="706">
        <f t="shared" si="1"/>
        <v>100</v>
      </c>
      <c r="V14" s="705" t="s">
        <v>14</v>
      </c>
      <c r="W14" s="706">
        <f t="shared" si="2"/>
        <v>100</v>
      </c>
      <c r="X14" s="1355"/>
      <c r="Y14" s="370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04"/>
      <c r="Q15" s="1352"/>
      <c r="R15" s="705"/>
      <c r="S15" s="706"/>
      <c r="T15" s="705"/>
      <c r="U15" s="706"/>
      <c r="V15" s="705"/>
      <c r="W15" s="706"/>
      <c r="X15" s="1355"/>
      <c r="Y15" s="3704"/>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04"/>
      <c r="Q17" s="1352"/>
      <c r="R17" s="705"/>
      <c r="S17" s="706"/>
      <c r="T17" s="705"/>
      <c r="U17" s="706"/>
      <c r="V17" s="705"/>
      <c r="W17" s="706"/>
      <c r="X17" s="1355"/>
      <c r="Y17" s="370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04"/>
      <c r="Q19" s="1352"/>
      <c r="R19" s="705"/>
      <c r="S19" s="706"/>
      <c r="T19" s="705"/>
      <c r="U19" s="706"/>
      <c r="V19" s="705"/>
      <c r="W19" s="706"/>
      <c r="X19" s="1355"/>
      <c r="Y19" s="3704"/>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04"/>
      <c r="Q21" s="1352"/>
      <c r="R21" s="705"/>
      <c r="S21" s="706"/>
      <c r="T21" s="705"/>
      <c r="U21" s="706"/>
      <c r="V21" s="705"/>
      <c r="W21" s="706"/>
      <c r="X21" s="1355"/>
      <c r="Y21" s="370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5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08" t="s">
        <v>1695</v>
      </c>
      <c r="Q32" s="1352" t="str">
        <f t="shared" si="11"/>
        <v>车位类型</v>
      </c>
      <c r="R32" s="705" t="s">
        <v>14</v>
      </c>
      <c r="S32" s="706">
        <f t="shared" si="12"/>
        <v>100</v>
      </c>
      <c r="T32" s="705" t="s">
        <v>14</v>
      </c>
      <c r="U32" s="706">
        <f t="shared" si="13"/>
        <v>100</v>
      </c>
      <c r="V32" s="705" t="s">
        <v>14</v>
      </c>
      <c r="W32" s="706">
        <f t="shared" si="14"/>
        <v>100</v>
      </c>
      <c r="X32" s="1355"/>
      <c r="Y32" s="370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1843</v>
      </c>
      <c r="B37" s="1971" t="s">
        <v>3348</v>
      </c>
      <c r="C37" s="1154" t="s">
        <v>0</v>
      </c>
      <c r="D37" s="1155"/>
      <c r="E37" s="1156"/>
      <c r="F37" s="1157"/>
      <c r="G37" s="1158"/>
      <c r="H37" s="1159"/>
      <c r="I37" s="1156"/>
      <c r="J37" s="1159"/>
      <c r="K37" s="568"/>
      <c r="L37" s="2716"/>
      <c r="M37" s="2717"/>
      <c r="N37" s="2708"/>
      <c r="O37" s="2717"/>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6"/>
      <c r="M38" s="2717"/>
      <c r="N38" s="2717"/>
      <c r="O38" s="2717"/>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26" t="s">
        <v>1770</v>
      </c>
      <c r="S4" s="3727"/>
      <c r="T4" s="3726" t="s">
        <v>1771</v>
      </c>
      <c r="U4" s="3727"/>
      <c r="V4" s="3732" t="s">
        <v>1772</v>
      </c>
      <c r="W4" s="3732"/>
      <c r="X4" s="1355"/>
      <c r="Y4" s="3726" t="s">
        <v>1774</v>
      </c>
      <c r="Z4" s="3727"/>
      <c r="AA4" s="3713" t="s">
        <v>1770</v>
      </c>
      <c r="AB4" s="3714" t="s">
        <v>1771</v>
      </c>
      <c r="AC4" s="3713" t="s">
        <v>1772</v>
      </c>
    </row>
    <row r="5" spans="1:29" ht="15">
      <c r="A5" s="358"/>
      <c r="B5" s="359"/>
      <c r="C5" s="3735" t="s">
        <v>1672</v>
      </c>
      <c r="D5" s="3736"/>
      <c r="E5" s="3742" t="s">
        <v>1673</v>
      </c>
      <c r="F5" s="3743"/>
      <c r="G5" s="3735" t="s">
        <v>1674</v>
      </c>
      <c r="H5" s="3736"/>
      <c r="I5" s="3735" t="s">
        <v>1675</v>
      </c>
      <c r="J5" s="3736"/>
      <c r="K5" s="559"/>
      <c r="L5" s="2707"/>
      <c r="M5" s="2708"/>
      <c r="N5" s="2708"/>
      <c r="O5" s="2708"/>
      <c r="P5" s="3722"/>
      <c r="Q5" s="3723"/>
      <c r="R5" s="3728"/>
      <c r="S5" s="3729"/>
      <c r="T5" s="3728"/>
      <c r="U5" s="3729"/>
      <c r="V5" s="3732"/>
      <c r="W5" s="3732"/>
      <c r="X5" s="1355"/>
      <c r="Y5" s="3728"/>
      <c r="Z5" s="3729"/>
      <c r="AA5" s="3714"/>
      <c r="AB5" s="3714"/>
      <c r="AC5" s="3714"/>
    </row>
    <row r="6" spans="1:29" ht="15.75" thickBot="1">
      <c r="A6" s="360"/>
      <c r="B6" s="361"/>
      <c r="C6" s="3733" t="s">
        <v>1676</v>
      </c>
      <c r="D6" s="3734"/>
      <c r="E6" s="3740" t="s">
        <v>1676</v>
      </c>
      <c r="F6" s="3741"/>
      <c r="G6" s="3733" t="s">
        <v>1676</v>
      </c>
      <c r="H6" s="3734"/>
      <c r="I6" s="3733" t="s">
        <v>1676</v>
      </c>
      <c r="J6" s="3734"/>
      <c r="K6" s="559" t="s">
        <v>1677</v>
      </c>
      <c r="L6" s="2707"/>
      <c r="M6" s="2708"/>
      <c r="N6" s="2708"/>
      <c r="O6" s="2708"/>
      <c r="P6" s="3724"/>
      <c r="Q6" s="3725"/>
      <c r="R6" s="3728"/>
      <c r="S6" s="3729"/>
      <c r="T6" s="3730"/>
      <c r="U6" s="3731"/>
      <c r="V6" s="3732"/>
      <c r="W6" s="3732"/>
      <c r="X6" s="1355"/>
      <c r="Y6" s="3730"/>
      <c r="Z6" s="3731"/>
      <c r="AA6" s="3715"/>
      <c r="AB6" s="3715"/>
      <c r="AC6" s="3715"/>
    </row>
    <row r="7" spans="1:29" s="108" customFormat="1" ht="15.75" thickBot="1">
      <c r="A7" s="362" t="s">
        <v>1678</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37" t="s">
        <v>1679</v>
      </c>
      <c r="Q7" s="3739"/>
      <c r="R7" s="701" t="s">
        <v>14</v>
      </c>
      <c r="S7" s="702">
        <f t="shared" ref="S7:S14" si="0">F7</f>
        <v>0</v>
      </c>
      <c r="T7" s="701" t="s">
        <v>14</v>
      </c>
      <c r="U7" s="702">
        <f t="shared" ref="U7:U14" si="1">H7</f>
        <v>0</v>
      </c>
      <c r="V7" s="701" t="s">
        <v>14</v>
      </c>
      <c r="W7" s="702">
        <f t="shared" ref="W7:W14" si="2">J7</f>
        <v>0</v>
      </c>
      <c r="X7" s="703"/>
      <c r="Y7" s="3737" t="s">
        <v>1679</v>
      </c>
      <c r="Z7" s="373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37" t="s">
        <v>1682</v>
      </c>
      <c r="Q8" s="3738"/>
      <c r="R8" s="701" t="s">
        <v>14</v>
      </c>
      <c r="S8" s="702">
        <f t="shared" si="0"/>
        <v>100</v>
      </c>
      <c r="T8" s="701" t="s">
        <v>14</v>
      </c>
      <c r="U8" s="702">
        <f t="shared" si="1"/>
        <v>100</v>
      </c>
      <c r="V8" s="701" t="s">
        <v>14</v>
      </c>
      <c r="W8" s="702">
        <f t="shared" si="2"/>
        <v>100</v>
      </c>
      <c r="X8" s="703"/>
      <c r="Y8" s="3737" t="s">
        <v>1682</v>
      </c>
      <c r="Z8" s="373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01" t="s">
        <v>1685</v>
      </c>
      <c r="Q9" s="1343" t="str">
        <f t="shared" ref="Q9:Q14" si="6">B9</f>
        <v>用途</v>
      </c>
      <c r="R9" s="701" t="s">
        <v>14</v>
      </c>
      <c r="S9" s="702">
        <f t="shared" si="0"/>
        <v>100</v>
      </c>
      <c r="T9" s="701" t="s">
        <v>14</v>
      </c>
      <c r="U9" s="702">
        <f t="shared" si="1"/>
        <v>100</v>
      </c>
      <c r="V9" s="701" t="s">
        <v>14</v>
      </c>
      <c r="W9" s="702">
        <f t="shared" si="2"/>
        <v>100</v>
      </c>
      <c r="X9" s="703"/>
      <c r="Y9" s="3557"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01"/>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3" t="s">
        <v>1690</v>
      </c>
      <c r="Q14" s="1352" t="str">
        <f t="shared" si="6"/>
        <v>交通便捷度</v>
      </c>
      <c r="R14" s="705" t="s">
        <v>14</v>
      </c>
      <c r="S14" s="706">
        <f t="shared" si="0"/>
        <v>100</v>
      </c>
      <c r="T14" s="705" t="s">
        <v>14</v>
      </c>
      <c r="U14" s="706">
        <f t="shared" si="1"/>
        <v>100</v>
      </c>
      <c r="V14" s="705" t="s">
        <v>14</v>
      </c>
      <c r="W14" s="706">
        <f t="shared" si="2"/>
        <v>100</v>
      </c>
      <c r="X14" s="1355"/>
      <c r="Y14" s="370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04"/>
      <c r="Q15" s="1352"/>
      <c r="R15" s="705"/>
      <c r="S15" s="706"/>
      <c r="T15" s="705"/>
      <c r="U15" s="706"/>
      <c r="V15" s="705"/>
      <c r="W15" s="706"/>
      <c r="X15" s="1355"/>
      <c r="Y15" s="3704"/>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04"/>
      <c r="Q17" s="1352"/>
      <c r="R17" s="705"/>
      <c r="S17" s="706"/>
      <c r="T17" s="705"/>
      <c r="U17" s="706"/>
      <c r="V17" s="705"/>
      <c r="W17" s="706"/>
      <c r="X17" s="1355"/>
      <c r="Y17" s="370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04"/>
      <c r="Q19" s="1352"/>
      <c r="R19" s="705"/>
      <c r="S19" s="706"/>
      <c r="T19" s="705"/>
      <c r="U19" s="706"/>
      <c r="V19" s="705"/>
      <c r="W19" s="706"/>
      <c r="X19" s="1355"/>
      <c r="Y19" s="3704"/>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04"/>
      <c r="Q21" s="1352"/>
      <c r="R21" s="705"/>
      <c r="S21" s="706"/>
      <c r="T21" s="705"/>
      <c r="U21" s="706"/>
      <c r="V21" s="705"/>
      <c r="W21" s="706"/>
      <c r="X21" s="1355"/>
      <c r="Y21" s="370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5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08" t="s">
        <v>1695</v>
      </c>
      <c r="Q32" s="1352">
        <f t="shared" si="11"/>
        <v>111</v>
      </c>
      <c r="R32" s="705" t="s">
        <v>14</v>
      </c>
      <c r="S32" s="706">
        <f t="shared" si="12"/>
        <v>100</v>
      </c>
      <c r="T32" s="705" t="s">
        <v>14</v>
      </c>
      <c r="U32" s="706">
        <f t="shared" si="13"/>
        <v>100</v>
      </c>
      <c r="V32" s="705" t="s">
        <v>14</v>
      </c>
      <c r="W32" s="706">
        <f t="shared" si="14"/>
        <v>100</v>
      </c>
      <c r="X32" s="1355"/>
      <c r="Y32" s="370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6"/>
      <c r="M36" s="2717"/>
      <c r="N36" s="2708"/>
      <c r="O36" s="2717"/>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26" t="s">
        <v>1770</v>
      </c>
      <c r="S4" s="3727"/>
      <c r="T4" s="3726" t="s">
        <v>1771</v>
      </c>
      <c r="U4" s="3727"/>
      <c r="V4" s="3732" t="s">
        <v>1772</v>
      </c>
      <c r="W4" s="3732"/>
      <c r="X4" s="1355"/>
      <c r="Y4" s="3726" t="s">
        <v>1774</v>
      </c>
      <c r="Z4" s="3727"/>
      <c r="AA4" s="3713" t="s">
        <v>1770</v>
      </c>
      <c r="AB4" s="3714" t="s">
        <v>1771</v>
      </c>
      <c r="AC4" s="3713" t="s">
        <v>1772</v>
      </c>
    </row>
    <row r="5" spans="1:30" ht="15">
      <c r="A5" s="358"/>
      <c r="B5" s="359"/>
      <c r="C5" s="3735" t="s">
        <v>1672</v>
      </c>
      <c r="D5" s="3736"/>
      <c r="E5" s="3742" t="s">
        <v>1673</v>
      </c>
      <c r="F5" s="3743"/>
      <c r="G5" s="3735" t="s">
        <v>1674</v>
      </c>
      <c r="H5" s="3736"/>
      <c r="I5" s="3735" t="s">
        <v>1675</v>
      </c>
      <c r="J5" s="3736"/>
      <c r="K5" s="559"/>
      <c r="L5" s="2707"/>
      <c r="M5" s="2708"/>
      <c r="N5" s="2708"/>
      <c r="O5" s="2708"/>
      <c r="P5" s="3722"/>
      <c r="Q5" s="3723"/>
      <c r="R5" s="3728"/>
      <c r="S5" s="3729"/>
      <c r="T5" s="3728"/>
      <c r="U5" s="3729"/>
      <c r="V5" s="3732"/>
      <c r="W5" s="3732"/>
      <c r="X5" s="1355"/>
      <c r="Y5" s="3728"/>
      <c r="Z5" s="3729"/>
      <c r="AA5" s="3714"/>
      <c r="AB5" s="3714"/>
      <c r="AC5" s="3714"/>
    </row>
    <row r="6" spans="1:30" ht="15.75" thickBot="1">
      <c r="A6" s="360"/>
      <c r="B6" s="361"/>
      <c r="C6" s="3733" t="s">
        <v>1676</v>
      </c>
      <c r="D6" s="3734"/>
      <c r="E6" s="3740" t="s">
        <v>1676</v>
      </c>
      <c r="F6" s="3741"/>
      <c r="G6" s="3733" t="s">
        <v>1676</v>
      </c>
      <c r="H6" s="3734"/>
      <c r="I6" s="3733" t="s">
        <v>1676</v>
      </c>
      <c r="J6" s="3734"/>
      <c r="K6" s="559" t="s">
        <v>1677</v>
      </c>
      <c r="L6" s="2707"/>
      <c r="M6" s="2708"/>
      <c r="N6" s="2708"/>
      <c r="O6" s="2708"/>
      <c r="P6" s="3724"/>
      <c r="Q6" s="3725"/>
      <c r="R6" s="3728"/>
      <c r="S6" s="3729"/>
      <c r="T6" s="3730"/>
      <c r="U6" s="3731"/>
      <c r="V6" s="3732"/>
      <c r="W6" s="3732"/>
      <c r="X6" s="1355"/>
      <c r="Y6" s="3730"/>
      <c r="Z6" s="3731"/>
      <c r="AA6" s="3715"/>
      <c r="AB6" s="3715"/>
      <c r="AC6" s="3715"/>
    </row>
    <row r="7" spans="1:30" s="108" customFormat="1" ht="15.75" thickBot="1">
      <c r="A7" s="362" t="s">
        <v>1678</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37" t="s">
        <v>1679</v>
      </c>
      <c r="Q7" s="3739"/>
      <c r="R7" s="701" t="s">
        <v>14</v>
      </c>
      <c r="S7" s="702">
        <f t="shared" ref="S7:S15" si="0">F7</f>
        <v>0</v>
      </c>
      <c r="T7" s="701" t="s">
        <v>14</v>
      </c>
      <c r="U7" s="702">
        <f t="shared" ref="U7:U15" si="1">H7</f>
        <v>0</v>
      </c>
      <c r="V7" s="701" t="s">
        <v>14</v>
      </c>
      <c r="W7" s="702">
        <f t="shared" ref="W7:W15" si="2">J7</f>
        <v>0</v>
      </c>
      <c r="X7" s="703"/>
      <c r="Y7" s="3737" t="s">
        <v>1679</v>
      </c>
      <c r="Z7" s="373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37" t="s">
        <v>1682</v>
      </c>
      <c r="Q8" s="3738"/>
      <c r="R8" s="701" t="s">
        <v>14</v>
      </c>
      <c r="S8" s="702">
        <f t="shared" si="0"/>
        <v>0</v>
      </c>
      <c r="T8" s="701" t="s">
        <v>14</v>
      </c>
      <c r="U8" s="702">
        <f t="shared" si="1"/>
        <v>0</v>
      </c>
      <c r="V8" s="701" t="s">
        <v>14</v>
      </c>
      <c r="W8" s="702">
        <f t="shared" si="2"/>
        <v>0</v>
      </c>
      <c r="X8" s="703"/>
      <c r="Y8" s="3737" t="s">
        <v>1682</v>
      </c>
      <c r="Z8" s="3738"/>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01"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1"/>
      <c r="M10" s="2712"/>
      <c r="N10" s="2712"/>
      <c r="O10" s="2765"/>
      <c r="P10" s="3701"/>
      <c r="Q10" s="1343" t="str">
        <f t="shared" si="6"/>
        <v>土地使用年限（年）</v>
      </c>
      <c r="R10" s="701" t="s">
        <v>14</v>
      </c>
      <c r="S10" s="702">
        <f t="shared" si="0"/>
        <v>104</v>
      </c>
      <c r="T10" s="701" t="s">
        <v>14</v>
      </c>
      <c r="U10" s="702">
        <f t="shared" si="1"/>
        <v>104</v>
      </c>
      <c r="V10" s="701" t="s">
        <v>14</v>
      </c>
      <c r="W10" s="702">
        <f t="shared" si="2"/>
        <v>104</v>
      </c>
      <c r="X10" s="703"/>
      <c r="Y10" s="3557"/>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01"/>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01"/>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3" t="s">
        <v>1690</v>
      </c>
      <c r="Q15" s="1352" t="str">
        <f t="shared" si="6"/>
        <v>居住社区成熟度</v>
      </c>
      <c r="R15" s="705" t="s">
        <v>14</v>
      </c>
      <c r="S15" s="706">
        <f t="shared" si="0"/>
        <v>100</v>
      </c>
      <c r="T15" s="705" t="s">
        <v>14</v>
      </c>
      <c r="U15" s="706">
        <f t="shared" si="1"/>
        <v>100</v>
      </c>
      <c r="V15" s="705" t="s">
        <v>14</v>
      </c>
      <c r="W15" s="706">
        <f t="shared" si="2"/>
        <v>100</v>
      </c>
      <c r="X15" s="1355"/>
      <c r="Y15" s="370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04"/>
      <c r="Q16" s="1352"/>
      <c r="R16" s="705"/>
      <c r="S16" s="706"/>
      <c r="T16" s="705"/>
      <c r="U16" s="706"/>
      <c r="V16" s="705"/>
      <c r="W16" s="706"/>
      <c r="X16" s="1355"/>
      <c r="Y16" s="3704"/>
      <c r="Z16" s="1356"/>
      <c r="AA16" s="1353">
        <v>1</v>
      </c>
      <c r="AB16" s="1353">
        <v>1</v>
      </c>
      <c r="AC16" s="1353">
        <v>1</v>
      </c>
    </row>
    <row r="17" spans="1:29" ht="15">
      <c r="A17" s="379"/>
      <c r="B17" s="402" t="s">
        <v>1776</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04"/>
      <c r="Q18" s="1352"/>
      <c r="R18" s="705"/>
      <c r="S18" s="706"/>
      <c r="T18" s="705"/>
      <c r="U18" s="706"/>
      <c r="V18" s="705"/>
      <c r="W18" s="706"/>
      <c r="X18" s="1355"/>
      <c r="Y18" s="3704"/>
      <c r="Z18" s="1356"/>
      <c r="AA18" s="1353">
        <v>1</v>
      </c>
      <c r="AB18" s="1353">
        <v>1</v>
      </c>
      <c r="AC18" s="1353">
        <v>1</v>
      </c>
    </row>
    <row r="19" spans="1:29" ht="15">
      <c r="A19" s="379"/>
      <c r="B19" s="402" t="s">
        <v>1810</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04"/>
      <c r="Q20" s="1352"/>
      <c r="R20" s="705"/>
      <c r="S20" s="706"/>
      <c r="T20" s="705"/>
      <c r="U20" s="706"/>
      <c r="V20" s="705"/>
      <c r="W20" s="706"/>
      <c r="X20" s="1355"/>
      <c r="Y20" s="3704"/>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04"/>
      <c r="Q22" s="1352"/>
      <c r="R22" s="705"/>
      <c r="S22" s="706"/>
      <c r="T22" s="705"/>
      <c r="U22" s="706"/>
      <c r="V22" s="705"/>
      <c r="W22" s="706"/>
      <c r="X22" s="1355"/>
      <c r="Y22" s="3704"/>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04"/>
      <c r="Q24" s="1352"/>
      <c r="R24" s="705"/>
      <c r="S24" s="706"/>
      <c r="T24" s="705"/>
      <c r="U24" s="706"/>
      <c r="V24" s="705"/>
      <c r="W24" s="706"/>
      <c r="X24" s="1355"/>
      <c r="Y24" s="3704"/>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04"/>
      <c r="Q26" s="1352"/>
      <c r="R26" s="705"/>
      <c r="S26" s="706"/>
      <c r="T26" s="705"/>
      <c r="U26" s="706"/>
      <c r="V26" s="705"/>
      <c r="W26" s="706"/>
      <c r="X26" s="1355"/>
      <c r="Y26" s="3704"/>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04"/>
      <c r="Q28" s="1343"/>
      <c r="R28" s="701"/>
      <c r="S28" s="702"/>
      <c r="T28" s="701"/>
      <c r="U28" s="702"/>
      <c r="V28" s="701"/>
      <c r="W28" s="702"/>
      <c r="X28" s="703"/>
      <c r="Y28" s="370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04"/>
      <c r="Q30" s="1343"/>
      <c r="R30" s="701"/>
      <c r="S30" s="702"/>
      <c r="T30" s="701"/>
      <c r="U30" s="702"/>
      <c r="V30" s="701"/>
      <c r="W30" s="702"/>
      <c r="X30" s="703"/>
      <c r="Y30" s="370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04"/>
      <c r="Q33" s="1352"/>
      <c r="R33" s="705"/>
      <c r="S33" s="706"/>
      <c r="T33" s="705"/>
      <c r="U33" s="706"/>
      <c r="V33" s="705"/>
      <c r="W33" s="706"/>
      <c r="X33" s="1355"/>
      <c r="Y33" s="370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59" t="s">
        <v>1695</v>
      </c>
      <c r="Q36" s="1352">
        <f t="shared" si="8"/>
        <v>111</v>
      </c>
      <c r="R36" s="705" t="s">
        <v>14</v>
      </c>
      <c r="S36" s="706">
        <f t="shared" si="10"/>
        <v>100</v>
      </c>
      <c r="T36" s="705" t="s">
        <v>14</v>
      </c>
      <c r="U36" s="706">
        <f t="shared" si="11"/>
        <v>100</v>
      </c>
      <c r="V36" s="705" t="s">
        <v>14</v>
      </c>
      <c r="W36" s="706">
        <f t="shared" si="12"/>
        <v>100</v>
      </c>
      <c r="X36" s="1355"/>
      <c r="Y36" s="370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08" t="s">
        <v>1695</v>
      </c>
      <c r="Q42" s="1352" t="str">
        <f t="shared" si="14"/>
        <v>工程地质条件</v>
      </c>
      <c r="R42" s="705" t="s">
        <v>14</v>
      </c>
      <c r="S42" s="706">
        <f t="shared" si="10"/>
        <v>100</v>
      </c>
      <c r="T42" s="705" t="s">
        <v>14</v>
      </c>
      <c r="U42" s="706">
        <f t="shared" si="11"/>
        <v>100</v>
      </c>
      <c r="V42" s="705" t="s">
        <v>14</v>
      </c>
      <c r="W42" s="706">
        <f t="shared" si="12"/>
        <v>100</v>
      </c>
      <c r="X42" s="1355"/>
      <c r="Y42" s="370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6"/>
      <c r="M46" s="2717"/>
      <c r="N46" s="2708"/>
      <c r="O46" s="2717"/>
      <c r="P46" s="3701" t="str">
        <f>A46</f>
        <v>成交单价</v>
      </c>
      <c r="Q46" s="3701"/>
      <c r="R46" s="3732">
        <f>E46</f>
        <v>0</v>
      </c>
      <c r="S46" s="3732"/>
      <c r="T46" s="3732">
        <f>G46</f>
        <v>0</v>
      </c>
      <c r="U46" s="3732"/>
      <c r="V46" s="3732">
        <f>I46</f>
        <v>0</v>
      </c>
      <c r="W46" s="3732"/>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6"/>
      <c r="M47" s="2717"/>
      <c r="N47" s="2717"/>
      <c r="O47" s="2717"/>
      <c r="P47" s="3701" t="str">
        <f>A47</f>
        <v>比较价值（元/平方米）</v>
      </c>
      <c r="Q47" s="3701"/>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698" t="str">
        <f>A48</f>
        <v>估价对象XX用房的比较价值（楼面单价，元/平方米）</v>
      </c>
      <c r="Q48" s="3699"/>
      <c r="R48" s="3762" t="e">
        <f>ROUND(IF(D47="简单平均",AVERAGE(R47:W47),R47*F47+T47*H47+V47*J47),0)</f>
        <v>#DIV/0!</v>
      </c>
      <c r="S48" s="3762"/>
      <c r="T48" s="3762"/>
      <c r="U48" s="3762"/>
      <c r="V48" s="3762"/>
      <c r="W48" s="3762"/>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1" t="s">
        <v>1882</v>
      </c>
      <c r="D55" s="1982" t="s">
        <v>1883</v>
      </c>
      <c r="E55" s="634" t="s">
        <v>1884</v>
      </c>
      <c r="F55" s="890" t="s">
        <v>1885</v>
      </c>
      <c r="G55" s="3716" t="s">
        <v>1886</v>
      </c>
      <c r="H55" s="3763"/>
      <c r="I55" s="135" t="s">
        <v>1887</v>
      </c>
      <c r="J55" s="1983">
        <f>项目基本情况!F35</f>
        <v>0</v>
      </c>
      <c r="K55" s="1984"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17455.550000000003</v>
      </c>
      <c r="F56" s="886" t="e">
        <f t="shared" ref="F56:F64" si="15">ROUND(B56*E56/10000,0)</f>
        <v>#DIV/0!</v>
      </c>
      <c r="G56" s="3712"/>
      <c r="H56" s="3701"/>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0.6</v>
      </c>
      <c r="D57" s="945">
        <v>0.25</v>
      </c>
      <c r="E57" s="642"/>
      <c r="F57" s="886" t="e">
        <f t="shared" si="15"/>
        <v>#DIV/0!</v>
      </c>
      <c r="G57" s="2998" t="s">
        <v>1891</v>
      </c>
      <c r="H57" s="887" t="str">
        <f>项目基本情况!B37</f>
        <v>四级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0.3</v>
      </c>
      <c r="D58" s="945">
        <v>0.25</v>
      </c>
      <c r="E58" s="642"/>
      <c r="F58" s="886" t="e">
        <f t="shared" si="15"/>
        <v>#DIV/0!</v>
      </c>
      <c r="G58" s="2999"/>
      <c r="H58" s="887" t="str">
        <f>项目基本情况!B37</f>
        <v>四级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0.25</v>
      </c>
      <c r="D59" s="945">
        <v>0.25</v>
      </c>
      <c r="E59" s="642"/>
      <c r="F59" s="886" t="e">
        <f t="shared" si="15"/>
        <v>#DIV/0!</v>
      </c>
      <c r="G59" s="2999"/>
      <c r="H59" s="887" t="str">
        <f>项目基本情况!B37</f>
        <v>四级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0.25</v>
      </c>
      <c r="D60" s="945">
        <v>0.25</v>
      </c>
      <c r="E60" s="217">
        <f>'数据-汇总表'!E11</f>
        <v>0</v>
      </c>
      <c r="F60" s="886" t="e">
        <f t="shared" si="15"/>
        <v>#DIV/0!</v>
      </c>
      <c r="G60" s="1985" t="s">
        <v>1895</v>
      </c>
      <c r="H60" s="887" t="str">
        <f>项目基本情况!C37</f>
        <v>四级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四级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0.15</v>
      </c>
      <c r="D63" s="945">
        <v>0.25</v>
      </c>
      <c r="E63" s="217">
        <f>'数据-汇总表'!E14</f>
        <v>0</v>
      </c>
      <c r="F63" s="886" t="e">
        <f t="shared" si="15"/>
        <v>#DIV/0!</v>
      </c>
      <c r="G63" s="1985" t="s">
        <v>1891</v>
      </c>
      <c r="H63" s="887" t="str">
        <f>项目基本情况!B37</f>
        <v>四级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四级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17455.550000000003</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07"/>
      <c r="M4" s="2708"/>
      <c r="N4" s="2708"/>
      <c r="O4" s="2708"/>
      <c r="P4" s="3720" t="s">
        <v>1774</v>
      </c>
      <c r="Q4" s="3721"/>
      <c r="R4" s="3726" t="s">
        <v>1770</v>
      </c>
      <c r="S4" s="3727"/>
      <c r="T4" s="3726" t="s">
        <v>1771</v>
      </c>
      <c r="U4" s="3727"/>
      <c r="V4" s="3732" t="s">
        <v>1772</v>
      </c>
      <c r="W4" s="3732"/>
      <c r="X4" s="1355"/>
      <c r="Y4" s="3726" t="s">
        <v>1774</v>
      </c>
      <c r="Z4" s="3727"/>
      <c r="AA4" s="3713" t="s">
        <v>1770</v>
      </c>
      <c r="AB4" s="3714" t="s">
        <v>1771</v>
      </c>
      <c r="AC4" s="3713" t="s">
        <v>1772</v>
      </c>
    </row>
    <row r="5" spans="1:29" ht="15">
      <c r="A5" s="358"/>
      <c r="B5" s="359"/>
      <c r="C5" s="3735" t="s">
        <v>1672</v>
      </c>
      <c r="D5" s="3736"/>
      <c r="E5" s="3742" t="s">
        <v>1673</v>
      </c>
      <c r="F5" s="3743"/>
      <c r="G5" s="3735" t="s">
        <v>1674</v>
      </c>
      <c r="H5" s="3736"/>
      <c r="I5" s="3735" t="s">
        <v>1675</v>
      </c>
      <c r="J5" s="3736"/>
      <c r="K5" s="559"/>
      <c r="L5" s="2707"/>
      <c r="M5" s="2708"/>
      <c r="N5" s="2708"/>
      <c r="O5" s="2708"/>
      <c r="P5" s="3722"/>
      <c r="Q5" s="3723"/>
      <c r="R5" s="3728"/>
      <c r="S5" s="3729"/>
      <c r="T5" s="3728"/>
      <c r="U5" s="3729"/>
      <c r="V5" s="3732"/>
      <c r="W5" s="3732"/>
      <c r="X5" s="1355"/>
      <c r="Y5" s="3728"/>
      <c r="Z5" s="3729"/>
      <c r="AA5" s="3714"/>
      <c r="AB5" s="3714"/>
      <c r="AC5" s="3714"/>
    </row>
    <row r="6" spans="1:29" ht="15.75" thickBot="1">
      <c r="A6" s="360"/>
      <c r="B6" s="361"/>
      <c r="C6" s="3764" t="s">
        <v>1918</v>
      </c>
      <c r="D6" s="3765"/>
      <c r="E6" s="3766" t="s">
        <v>1918</v>
      </c>
      <c r="F6" s="3767"/>
      <c r="G6" s="3764" t="s">
        <v>1918</v>
      </c>
      <c r="H6" s="3765"/>
      <c r="I6" s="3764" t="s">
        <v>1918</v>
      </c>
      <c r="J6" s="3765"/>
      <c r="K6" s="559" t="s">
        <v>1677</v>
      </c>
      <c r="L6" s="2707"/>
      <c r="M6" s="2708"/>
      <c r="N6" s="2708"/>
      <c r="O6" s="2708"/>
      <c r="P6" s="3724"/>
      <c r="Q6" s="3725"/>
      <c r="R6" s="3728"/>
      <c r="S6" s="3729"/>
      <c r="T6" s="3730"/>
      <c r="U6" s="3731"/>
      <c r="V6" s="3732"/>
      <c r="W6" s="3732"/>
      <c r="X6" s="1355"/>
      <c r="Y6" s="3730"/>
      <c r="Z6" s="3731"/>
      <c r="AA6" s="3715"/>
      <c r="AB6" s="3715"/>
      <c r="AC6" s="3715"/>
    </row>
    <row r="7" spans="1:29" s="108" customFormat="1" ht="15.75" thickBot="1">
      <c r="A7" s="362" t="s">
        <v>1678</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37" t="s">
        <v>1679</v>
      </c>
      <c r="Q7" s="3739"/>
      <c r="R7" s="701" t="s">
        <v>14</v>
      </c>
      <c r="S7" s="702">
        <f t="shared" ref="S7:S15" si="0">F7</f>
        <v>0</v>
      </c>
      <c r="T7" s="701" t="s">
        <v>14</v>
      </c>
      <c r="U7" s="702">
        <f t="shared" ref="U7:U15" si="1">H7</f>
        <v>0</v>
      </c>
      <c r="V7" s="701" t="s">
        <v>14</v>
      </c>
      <c r="W7" s="702">
        <f t="shared" ref="W7:W15" si="2">J7</f>
        <v>0</v>
      </c>
      <c r="X7" s="703"/>
      <c r="Y7" s="3737" t="s">
        <v>1679</v>
      </c>
      <c r="Z7" s="373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37" t="s">
        <v>1682</v>
      </c>
      <c r="Q8" s="3738"/>
      <c r="R8" s="701" t="s">
        <v>14</v>
      </c>
      <c r="S8" s="702">
        <f t="shared" si="0"/>
        <v>0</v>
      </c>
      <c r="T8" s="701" t="s">
        <v>14</v>
      </c>
      <c r="U8" s="702">
        <f t="shared" si="1"/>
        <v>0</v>
      </c>
      <c r="V8" s="701" t="s">
        <v>14</v>
      </c>
      <c r="W8" s="702">
        <f t="shared" si="2"/>
        <v>0</v>
      </c>
      <c r="X8" s="703"/>
      <c r="Y8" s="3737" t="s">
        <v>1682</v>
      </c>
      <c r="Z8" s="3738"/>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01" t="s">
        <v>1685</v>
      </c>
      <c r="Q9" s="1343"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1"/>
      <c r="M10" s="2712"/>
      <c r="N10" s="2712"/>
      <c r="O10" s="2765"/>
      <c r="P10" s="3701"/>
      <c r="Q10" s="1343" t="str">
        <f t="shared" si="6"/>
        <v>土地使用年限（年）</v>
      </c>
      <c r="R10" s="701" t="s">
        <v>14</v>
      </c>
      <c r="S10" s="702">
        <f t="shared" si="0"/>
        <v>104</v>
      </c>
      <c r="T10" s="701" t="s">
        <v>14</v>
      </c>
      <c r="U10" s="702">
        <f t="shared" si="1"/>
        <v>104</v>
      </c>
      <c r="V10" s="701" t="s">
        <v>14</v>
      </c>
      <c r="W10" s="702">
        <f t="shared" si="2"/>
        <v>104</v>
      </c>
      <c r="X10" s="703"/>
      <c r="Y10" s="3557"/>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01"/>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3" t="s">
        <v>1690</v>
      </c>
      <c r="Q15" s="1352" t="str">
        <f t="shared" si="6"/>
        <v>产业集聚程度</v>
      </c>
      <c r="R15" s="705" t="s">
        <v>14</v>
      </c>
      <c r="S15" s="706">
        <f t="shared" si="0"/>
        <v>100</v>
      </c>
      <c r="T15" s="705" t="s">
        <v>14</v>
      </c>
      <c r="U15" s="706">
        <f t="shared" si="1"/>
        <v>100</v>
      </c>
      <c r="V15" s="705" t="s">
        <v>14</v>
      </c>
      <c r="W15" s="706">
        <f t="shared" si="2"/>
        <v>100</v>
      </c>
      <c r="X15" s="1355"/>
      <c r="Y15" s="370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04"/>
      <c r="Q16" s="1352"/>
      <c r="R16" s="705"/>
      <c r="S16" s="706"/>
      <c r="T16" s="705"/>
      <c r="U16" s="706"/>
      <c r="V16" s="705"/>
      <c r="W16" s="706"/>
      <c r="X16" s="1355"/>
      <c r="Y16" s="3704"/>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04"/>
      <c r="Q18" s="1352"/>
      <c r="R18" s="705"/>
      <c r="S18" s="706"/>
      <c r="T18" s="705"/>
      <c r="U18" s="706"/>
      <c r="V18" s="705"/>
      <c r="W18" s="706"/>
      <c r="X18" s="1355"/>
      <c r="Y18" s="3704"/>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04"/>
      <c r="Q20" s="1352"/>
      <c r="R20" s="705"/>
      <c r="S20" s="706"/>
      <c r="T20" s="705"/>
      <c r="U20" s="706"/>
      <c r="V20" s="705"/>
      <c r="W20" s="706"/>
      <c r="X20" s="1355"/>
      <c r="Y20" s="3704"/>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04"/>
      <c r="Q22" s="1352"/>
      <c r="R22" s="705"/>
      <c r="S22" s="706"/>
      <c r="T22" s="705"/>
      <c r="U22" s="706"/>
      <c r="V22" s="705"/>
      <c r="W22" s="706"/>
      <c r="X22" s="1355"/>
      <c r="Y22" s="3704"/>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04"/>
      <c r="Q24" s="1343"/>
      <c r="R24" s="701"/>
      <c r="S24" s="702"/>
      <c r="T24" s="701"/>
      <c r="U24" s="702"/>
      <c r="V24" s="701"/>
      <c r="W24" s="702"/>
      <c r="X24" s="703"/>
      <c r="Y24" s="3704"/>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04"/>
      <c r="Q26" s="1343"/>
      <c r="R26" s="701"/>
      <c r="S26" s="702"/>
      <c r="T26" s="701"/>
      <c r="U26" s="702"/>
      <c r="V26" s="701"/>
      <c r="W26" s="702"/>
      <c r="X26" s="703"/>
      <c r="Y26" s="370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04"/>
      <c r="Q29" s="1352"/>
      <c r="R29" s="705"/>
      <c r="S29" s="706"/>
      <c r="T29" s="705"/>
      <c r="U29" s="706"/>
      <c r="V29" s="705"/>
      <c r="W29" s="706"/>
      <c r="X29" s="1355"/>
      <c r="Y29" s="370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59" t="s">
        <v>1695</v>
      </c>
      <c r="Q32" s="1352">
        <f t="shared" si="8"/>
        <v>111</v>
      </c>
      <c r="R32" s="705" t="s">
        <v>14</v>
      </c>
      <c r="S32" s="706">
        <f t="shared" si="10"/>
        <v>100</v>
      </c>
      <c r="T32" s="705" t="s">
        <v>14</v>
      </c>
      <c r="U32" s="706">
        <f t="shared" si="11"/>
        <v>100</v>
      </c>
      <c r="V32" s="705" t="s">
        <v>14</v>
      </c>
      <c r="W32" s="706">
        <f t="shared" si="12"/>
        <v>100</v>
      </c>
      <c r="X32" s="1355"/>
      <c r="Y32" s="3708"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08" t="s">
        <v>1695</v>
      </c>
      <c r="Q37" s="1352" t="str">
        <f t="shared" si="14"/>
        <v>工程地质条件</v>
      </c>
      <c r="R37" s="705" t="s">
        <v>14</v>
      </c>
      <c r="S37" s="706">
        <f t="shared" si="10"/>
        <v>100</v>
      </c>
      <c r="T37" s="705" t="s">
        <v>14</v>
      </c>
      <c r="U37" s="706">
        <f t="shared" si="11"/>
        <v>100</v>
      </c>
      <c r="V37" s="705" t="s">
        <v>14</v>
      </c>
      <c r="W37" s="706">
        <f t="shared" si="12"/>
        <v>100</v>
      </c>
      <c r="X37" s="1355"/>
      <c r="Y37" s="370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6"/>
      <c r="M41" s="2708"/>
      <c r="N41" s="2708"/>
      <c r="O41" s="2717"/>
      <c r="P41" s="3701" t="str">
        <f>A41</f>
        <v>成交单价</v>
      </c>
      <c r="Q41" s="3701"/>
      <c r="R41" s="3732">
        <f>E41</f>
        <v>0</v>
      </c>
      <c r="S41" s="3732"/>
      <c r="T41" s="3732">
        <f>G41</f>
        <v>0</v>
      </c>
      <c r="U41" s="3732"/>
      <c r="V41" s="3732">
        <f>I41</f>
        <v>0</v>
      </c>
      <c r="W41" s="3732"/>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6"/>
      <c r="M42" s="2708"/>
      <c r="N42" s="2708"/>
      <c r="O42" s="2717"/>
      <c r="P42" s="3701" t="str">
        <f>A42</f>
        <v>比较价值（元/平方米）</v>
      </c>
      <c r="Q42" s="3701"/>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698" t="str">
        <f>A43</f>
        <v>估价对象XX用房的比较价值（楼面单价，元/平方米）</v>
      </c>
      <c r="Q43" s="3699"/>
      <c r="R43" s="3762" t="e">
        <f>ROUND(IF(D42="简单平均",AVERAGE(R42:W42),R42*F42+T42*H42+V42*J42),0)</f>
        <v>#DIV/0!</v>
      </c>
      <c r="S43" s="3762"/>
      <c r="T43" s="3762"/>
      <c r="U43" s="3762"/>
      <c r="V43" s="3762"/>
      <c r="W43" s="3762"/>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1" t="s">
        <v>1882</v>
      </c>
      <c r="D50" s="1982" t="s">
        <v>1883</v>
      </c>
      <c r="E50" s="634" t="s">
        <v>1884</v>
      </c>
      <c r="F50" s="635" t="s">
        <v>1885</v>
      </c>
      <c r="G50" s="3716" t="s">
        <v>1886</v>
      </c>
      <c r="H50" s="3763"/>
      <c r="I50" s="1356" t="s">
        <v>1922</v>
      </c>
      <c r="J50" s="1356">
        <f>项目基本情况!F35</f>
        <v>0</v>
      </c>
      <c r="K50" s="1984"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17455.550000000003</v>
      </c>
      <c r="F51" s="639" t="e">
        <f t="shared" ref="F51:F60" si="15">ROUND(B51*E51/10000,0)</f>
        <v>#DIV/0!</v>
      </c>
      <c r="G51" s="3712"/>
      <c r="H51" s="3701"/>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0.6</v>
      </c>
      <c r="D52" s="945">
        <v>0.25</v>
      </c>
      <c r="E52" s="642"/>
      <c r="F52" s="639" t="e">
        <f t="shared" si="15"/>
        <v>#DIV/0!</v>
      </c>
      <c r="G52" s="2998" t="s">
        <v>1891</v>
      </c>
      <c r="H52" s="887" t="str">
        <f>项目基本情况!B37</f>
        <v>四级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0.3</v>
      </c>
      <c r="D53" s="945">
        <v>0.25</v>
      </c>
      <c r="E53" s="642"/>
      <c r="F53" s="639" t="e">
        <f t="shared" si="15"/>
        <v>#DIV/0!</v>
      </c>
      <c r="G53" s="2999"/>
      <c r="H53" s="887" t="str">
        <f>项目基本情况!B37</f>
        <v>四级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0.25</v>
      </c>
      <c r="D54" s="945">
        <v>0.25</v>
      </c>
      <c r="E54" s="642"/>
      <c r="F54" s="639" t="e">
        <f t="shared" si="15"/>
        <v>#DIV/0!</v>
      </c>
      <c r="G54" s="2999"/>
      <c r="H54" s="887" t="str">
        <f>项目基本情况!B37</f>
        <v>四级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0.25</v>
      </c>
      <c r="D56" s="945">
        <v>0.25</v>
      </c>
      <c r="E56" s="217">
        <f>'数据-汇总表'!E11</f>
        <v>0</v>
      </c>
      <c r="F56" s="639" t="e">
        <f t="shared" si="15"/>
        <v>#DIV/0!</v>
      </c>
      <c r="G56" s="1985" t="s">
        <v>1895</v>
      </c>
      <c r="H56" s="887" t="str">
        <f>项目基本情况!C37</f>
        <v>四级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0.15</v>
      </c>
      <c r="D59" s="945">
        <v>0.25</v>
      </c>
      <c r="E59" s="217">
        <f>'数据-汇总表'!E14</f>
        <v>0</v>
      </c>
      <c r="F59" s="639" t="e">
        <f t="shared" si="15"/>
        <v>#DIV/0!</v>
      </c>
      <c r="G59" s="1985" t="s">
        <v>1891</v>
      </c>
      <c r="H59" s="887" t="str">
        <f>项目基本情况!B37</f>
        <v>四级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四级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9100.1</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1" t="s">
        <v>2083</v>
      </c>
      <c r="D1" s="3772"/>
      <c r="E1" s="3772"/>
      <c r="F1" s="3772"/>
      <c r="G1" s="3772"/>
      <c r="H1" s="3772"/>
      <c r="I1" s="3772"/>
      <c r="J1" s="3772"/>
      <c r="K1" s="3772"/>
      <c r="L1" s="3772"/>
      <c r="M1" s="3772"/>
      <c r="N1" s="3772"/>
      <c r="O1" s="3772"/>
      <c r="P1" s="3772"/>
      <c r="Q1" s="3772"/>
      <c r="R1" s="3772"/>
      <c r="S1" s="377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5"/>
      <c r="G1" s="2785"/>
      <c r="H1" s="2785"/>
      <c r="I1" s="2785"/>
      <c r="J1" s="2785"/>
      <c r="K1" s="2785"/>
      <c r="L1" s="2785"/>
      <c r="M1" s="2785"/>
      <c r="N1" s="2785"/>
      <c r="O1" s="2785"/>
      <c r="P1" s="2785"/>
    </row>
    <row r="2" spans="1:16" ht="15.75">
      <c r="A2" s="2143" t="s">
        <v>2072</v>
      </c>
      <c r="B2" s="2594">
        <f ca="1">SUMIF(B6:B13,"&lt;&gt;#ref!",B6:B13)</f>
        <v>22761</v>
      </c>
      <c r="C2" s="2143" t="s">
        <v>2073</v>
      </c>
      <c r="D2" s="2143" t="s">
        <v>2074</v>
      </c>
      <c r="E2" s="2604">
        <f ca="1">SUMIF(E6:E13,"&lt;&gt;#ref!",E6:E13)</f>
        <v>27788.400000000005</v>
      </c>
      <c r="F2" s="2785"/>
      <c r="G2" s="2785"/>
      <c r="H2" s="2785"/>
      <c r="I2" s="2785"/>
      <c r="J2" s="2785"/>
      <c r="K2" s="2785"/>
      <c r="L2" s="2785"/>
      <c r="M2" s="2785"/>
      <c r="N2" s="2785"/>
      <c r="O2" s="2785"/>
      <c r="P2" s="2785"/>
    </row>
    <row r="3" spans="1:16" ht="15.75">
      <c r="A3" s="2143" t="s">
        <v>2075</v>
      </c>
      <c r="B3" s="2594">
        <f ca="1">ROUND(B2*10000/E2,0)</f>
        <v>8191</v>
      </c>
      <c r="C3" s="2143"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4"/>
      <c r="D5" s="2785"/>
      <c r="E5" s="2603" t="s">
        <v>2078</v>
      </c>
      <c r="F5" s="2785"/>
      <c r="G5" s="2785"/>
      <c r="H5" s="2785"/>
      <c r="I5" s="2785"/>
      <c r="J5" s="2785"/>
      <c r="K5" s="2785"/>
      <c r="L5" s="2785"/>
      <c r="M5" s="2785"/>
      <c r="N5" s="2785"/>
      <c r="O5" s="2785"/>
      <c r="P5" s="2785"/>
    </row>
    <row r="6" spans="1:16" ht="15.75">
      <c r="A6" s="2601" t="s">
        <v>2079</v>
      </c>
      <c r="B6" s="2594">
        <f ca="1">SUMIF(INDIRECT("'"&amp;A6&amp;"'"&amp;"!A:A"),"总价",INDIRECT("'"&amp;A6&amp;"'"&amp;"!B:B"))</f>
        <v>22761</v>
      </c>
      <c r="C6" s="2143" t="s">
        <v>2073</v>
      </c>
      <c r="D6" s="2785"/>
      <c r="E6" s="2604">
        <f ca="1">SUMIF(INDIRECT("'"&amp;A6&amp;"'"&amp;"!C:C"),"建筑面积",INDIRECT("'"&amp;A6&amp;"'"&amp;"!D:D"))</f>
        <v>27788.400000000005</v>
      </c>
      <c r="F6" s="2785"/>
      <c r="G6" s="2785"/>
      <c r="H6" s="2785"/>
      <c r="I6" s="2785"/>
      <c r="J6" s="2785"/>
      <c r="K6" s="2785"/>
      <c r="L6" s="2785"/>
      <c r="M6" s="2785"/>
      <c r="N6" s="2785"/>
      <c r="O6" s="2785"/>
      <c r="P6" s="2785"/>
    </row>
    <row r="7" spans="1:16" ht="15.75">
      <c r="A7" s="2601"/>
      <c r="B7" s="2594" t="e">
        <f ca="1">SUMIF(INDIRECT("'"&amp;A7&amp;"'"&amp;"!A:A"),"总价",INDIRECT("'"&amp;A7&amp;"'"&amp;"!B:B"))</f>
        <v>#REF!</v>
      </c>
      <c r="C7" s="2143"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52117</v>
      </c>
      <c r="E5" s="1491"/>
    </row>
    <row r="6" spans="1:5" ht="15.75">
      <c r="A6" s="1491"/>
      <c r="B6" s="3469"/>
      <c r="C6" s="1494" t="s">
        <v>911</v>
      </c>
      <c r="D6" s="850" t="str">
        <f ca="1">NUMBERSTRING(INT(D5*10000),2)&amp;"元整"</f>
        <v>伍亿贰仟壹佰壹拾柒万元整</v>
      </c>
      <c r="E6" s="1491"/>
    </row>
    <row r="7" spans="1:5" ht="15.75">
      <c r="A7" s="1491"/>
      <c r="B7" s="3474"/>
      <c r="C7" s="1495" t="s">
        <v>912</v>
      </c>
      <c r="D7" s="851">
        <f ca="1">结果表!H102</f>
        <v>18755</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52117</v>
      </c>
      <c r="E13" s="1491"/>
    </row>
    <row r="14" spans="1:5" ht="15.75">
      <c r="A14" s="1491"/>
      <c r="B14" s="3469"/>
      <c r="C14" s="1494" t="s">
        <v>911</v>
      </c>
      <c r="D14" s="850" t="str">
        <f ca="1">NUMBERSTRING(INT(D13*10000),2)&amp;"元整"</f>
        <v>伍亿贰仟壹佰壹拾柒万元整</v>
      </c>
      <c r="E14" s="1491"/>
    </row>
    <row r="15" spans="1:5" ht="15">
      <c r="A15" s="1491"/>
      <c r="B15" s="3474"/>
      <c r="C15" s="1495" t="s">
        <v>921</v>
      </c>
      <c r="D15" s="859">
        <f ca="1">结果表!H108</f>
        <v>18755</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3" t="s">
        <v>2599</v>
      </c>
      <c r="B20" s="3778" t="s">
        <v>2620</v>
      </c>
      <c r="C20" s="3095" t="s">
        <v>2431</v>
      </c>
      <c r="D20" s="3096"/>
      <c r="E20" s="3097">
        <v>1</v>
      </c>
      <c r="F20" s="3098" t="s">
        <v>2432</v>
      </c>
      <c r="G20" s="3098"/>
    </row>
    <row r="21" spans="1:13" ht="19.5" customHeight="1">
      <c r="A21" s="3784"/>
      <c r="B21" s="3777"/>
      <c r="C21" s="3099" t="s">
        <v>2433</v>
      </c>
      <c r="D21" s="3100"/>
      <c r="E21" s="3101">
        <v>1</v>
      </c>
      <c r="F21" s="3098" t="s">
        <v>2434</v>
      </c>
      <c r="G21" s="3098"/>
    </row>
    <row r="22" spans="1:13" ht="19.5" customHeight="1">
      <c r="A22" s="3784"/>
      <c r="B22" s="3777"/>
      <c r="C22" s="3099" t="s">
        <v>2435</v>
      </c>
      <c r="D22" s="3100"/>
      <c r="E22" s="3101">
        <v>0.9</v>
      </c>
      <c r="F22" s="3098" t="s">
        <v>2436</v>
      </c>
      <c r="G22" s="3098"/>
    </row>
    <row r="23" spans="1:13" ht="19.5" customHeight="1">
      <c r="A23" s="3784"/>
      <c r="B23" s="3777"/>
      <c r="C23" s="3099" t="s">
        <v>2437</v>
      </c>
      <c r="D23" s="3100"/>
      <c r="E23" s="3101">
        <v>0.9</v>
      </c>
      <c r="F23" s="3098" t="s">
        <v>2438</v>
      </c>
      <c r="G23" s="3098"/>
    </row>
    <row r="24" spans="1:13" ht="19.5" customHeight="1">
      <c r="A24" s="3784"/>
      <c r="B24" s="3777"/>
      <c r="C24" s="3099" t="s">
        <v>2439</v>
      </c>
      <c r="D24" s="3100"/>
      <c r="E24" s="3101">
        <v>0.8</v>
      </c>
      <c r="F24" s="3098" t="s">
        <v>2440</v>
      </c>
      <c r="G24" s="3098"/>
    </row>
    <row r="25" spans="1:13" ht="19.5" customHeight="1" thickBot="1">
      <c r="A25" s="3785"/>
      <c r="B25" s="3779"/>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80" t="s">
        <v>2623</v>
      </c>
      <c r="B27" s="3778" t="s">
        <v>2604</v>
      </c>
      <c r="C27" s="3095" t="s">
        <v>2444</v>
      </c>
      <c r="D27" s="3096"/>
      <c r="E27" s="3097">
        <v>1</v>
      </c>
      <c r="F27" s="3098" t="s">
        <v>2445</v>
      </c>
      <c r="G27" s="3098"/>
    </row>
    <row r="28" spans="1:13" ht="19.5" customHeight="1">
      <c r="A28" s="3781"/>
      <c r="B28" s="3777"/>
      <c r="C28" s="3099" t="s">
        <v>2446</v>
      </c>
      <c r="D28" s="3100"/>
      <c r="E28" s="3101">
        <v>1</v>
      </c>
      <c r="F28" s="3098" t="s">
        <v>2447</v>
      </c>
      <c r="G28" s="3098"/>
    </row>
    <row r="29" spans="1:13" ht="19.5" customHeight="1">
      <c r="A29" s="3781"/>
      <c r="B29" s="3777"/>
      <c r="C29" s="3099" t="s">
        <v>2448</v>
      </c>
      <c r="D29" s="3100"/>
      <c r="E29" s="3101">
        <v>0.8</v>
      </c>
      <c r="F29" s="3098" t="s">
        <v>2449</v>
      </c>
      <c r="G29" s="3098"/>
    </row>
    <row r="30" spans="1:13" ht="19.5" customHeight="1">
      <c r="A30" s="3781"/>
      <c r="B30" s="3777"/>
      <c r="C30" s="3099" t="s">
        <v>2450</v>
      </c>
      <c r="D30" s="3100"/>
      <c r="E30" s="3101">
        <v>0.8</v>
      </c>
      <c r="F30" s="3098" t="s">
        <v>2451</v>
      </c>
      <c r="G30" s="3098"/>
    </row>
    <row r="31" spans="1:13" ht="19.5" customHeight="1">
      <c r="A31" s="3781"/>
      <c r="B31" s="3777"/>
      <c r="C31" s="3099" t="s">
        <v>2452</v>
      </c>
      <c r="D31" s="3100"/>
      <c r="E31" s="3101">
        <v>0.8</v>
      </c>
      <c r="F31" s="3098" t="s">
        <v>2453</v>
      </c>
      <c r="G31" s="3098"/>
    </row>
    <row r="32" spans="1:13" ht="19.5" customHeight="1">
      <c r="A32" s="3781"/>
      <c r="B32" s="3777"/>
      <c r="C32" s="3099" t="s">
        <v>2454</v>
      </c>
      <c r="D32" s="3100"/>
      <c r="E32" s="3101">
        <v>0.7</v>
      </c>
      <c r="F32" s="3098" t="s">
        <v>2455</v>
      </c>
      <c r="G32" s="3098"/>
    </row>
    <row r="33" spans="1:7" ht="19.5" customHeight="1">
      <c r="A33" s="3781"/>
      <c r="B33" s="3777"/>
      <c r="C33" s="3099" t="s">
        <v>2456</v>
      </c>
      <c r="D33" s="3100"/>
      <c r="E33" s="3101">
        <v>0.8</v>
      </c>
      <c r="F33" s="3098" t="s">
        <v>2457</v>
      </c>
      <c r="G33" s="3098"/>
    </row>
    <row r="34" spans="1:7" ht="19.5" customHeight="1">
      <c r="A34" s="3781"/>
      <c r="B34" s="3777"/>
      <c r="C34" s="3099" t="s">
        <v>2458</v>
      </c>
      <c r="D34" s="3100"/>
      <c r="E34" s="3101">
        <v>0.6</v>
      </c>
      <c r="F34" s="3098" t="s">
        <v>2459</v>
      </c>
      <c r="G34" s="3098"/>
    </row>
    <row r="35" spans="1:7" ht="19.5" customHeight="1">
      <c r="A35" s="3781"/>
      <c r="B35" s="3777"/>
      <c r="C35" s="3099" t="s">
        <v>2460</v>
      </c>
      <c r="D35" s="3100"/>
      <c r="E35" s="3101">
        <v>0.2</v>
      </c>
      <c r="F35" s="3098" t="s">
        <v>2461</v>
      </c>
      <c r="G35" s="3098"/>
    </row>
    <row r="36" spans="1:7" ht="19.5" customHeight="1">
      <c r="A36" s="3781"/>
      <c r="B36" s="3777"/>
      <c r="C36" s="3099" t="s">
        <v>2462</v>
      </c>
      <c r="D36" s="3100"/>
      <c r="E36" s="3101">
        <v>0.2</v>
      </c>
      <c r="F36" s="3098" t="s">
        <v>2463</v>
      </c>
      <c r="G36" s="3098"/>
    </row>
    <row r="37" spans="1:7" ht="19.5" customHeight="1">
      <c r="A37" s="3781"/>
      <c r="B37" s="3775" t="s">
        <v>2624</v>
      </c>
      <c r="C37" s="3099" t="s">
        <v>2464</v>
      </c>
      <c r="D37" s="3100"/>
      <c r="E37" s="3101">
        <v>0.6</v>
      </c>
      <c r="F37" s="3098" t="s">
        <v>2465</v>
      </c>
      <c r="G37" s="3098"/>
    </row>
    <row r="38" spans="1:7" ht="19.5" customHeight="1">
      <c r="A38" s="3781"/>
      <c r="B38" s="3777"/>
      <c r="C38" s="3099" t="s">
        <v>2466</v>
      </c>
      <c r="D38" s="3100"/>
      <c r="E38" s="3101">
        <v>0.6</v>
      </c>
      <c r="F38" s="3098" t="s">
        <v>2467</v>
      </c>
      <c r="G38" s="3098"/>
    </row>
    <row r="39" spans="1:7" ht="19.5" customHeight="1" thickBot="1">
      <c r="A39" s="3782"/>
      <c r="B39" s="3779"/>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3" t="s">
        <v>2602</v>
      </c>
      <c r="B41" s="3778" t="s">
        <v>2626</v>
      </c>
      <c r="C41" s="3095" t="s">
        <v>2471</v>
      </c>
      <c r="D41" s="3096"/>
      <c r="E41" s="3097">
        <v>1</v>
      </c>
      <c r="F41" s="3098" t="s">
        <v>2472</v>
      </c>
      <c r="G41" s="3098"/>
    </row>
    <row r="42" spans="1:7" ht="19.5" customHeight="1">
      <c r="A42" s="3784"/>
      <c r="B42" s="3777"/>
      <c r="C42" s="3099" t="s">
        <v>2473</v>
      </c>
      <c r="D42" s="3100"/>
      <c r="E42" s="3101">
        <v>1</v>
      </c>
      <c r="F42" s="3098" t="s">
        <v>2474</v>
      </c>
      <c r="G42" s="3098"/>
    </row>
    <row r="43" spans="1:7" ht="19.5" customHeight="1">
      <c r="A43" s="3784"/>
      <c r="B43" s="3776"/>
      <c r="C43" s="3099" t="s">
        <v>2475</v>
      </c>
      <c r="D43" s="3100"/>
      <c r="E43" s="3101">
        <v>1.5</v>
      </c>
      <c r="F43" s="3098" t="s">
        <v>2476</v>
      </c>
      <c r="G43" s="3098"/>
    </row>
    <row r="44" spans="1:7" ht="19.5" customHeight="1">
      <c r="A44" s="3784"/>
      <c r="B44" s="3110" t="s">
        <v>2627</v>
      </c>
      <c r="C44" s="3099" t="s">
        <v>2628</v>
      </c>
      <c r="D44" s="3100"/>
      <c r="E44" s="3101">
        <v>2</v>
      </c>
      <c r="F44" s="3098" t="s">
        <v>2477</v>
      </c>
      <c r="G44" s="3098"/>
    </row>
    <row r="45" spans="1:7" ht="19.5" customHeight="1">
      <c r="A45" s="3784"/>
      <c r="B45" s="3775" t="s">
        <v>2629</v>
      </c>
      <c r="C45" s="3099" t="s">
        <v>2478</v>
      </c>
      <c r="D45" s="3100"/>
      <c r="E45" s="3101">
        <v>1</v>
      </c>
      <c r="F45" s="3098" t="s">
        <v>2479</v>
      </c>
      <c r="G45" s="3098"/>
    </row>
    <row r="46" spans="1:7" ht="19.5" customHeight="1">
      <c r="A46" s="3784"/>
      <c r="B46" s="3777"/>
      <c r="C46" s="3099" t="s">
        <v>2480</v>
      </c>
      <c r="D46" s="3100"/>
      <c r="E46" s="3101">
        <v>1</v>
      </c>
      <c r="F46" s="3098" t="s">
        <v>2481</v>
      </c>
      <c r="G46" s="3098"/>
    </row>
    <row r="47" spans="1:7" ht="19.5" customHeight="1">
      <c r="A47" s="3784"/>
      <c r="B47" s="3777"/>
      <c r="C47" s="3099" t="s">
        <v>2482</v>
      </c>
      <c r="D47" s="3100"/>
      <c r="E47" s="3101">
        <v>1</v>
      </c>
      <c r="F47" s="3098" t="s">
        <v>2483</v>
      </c>
      <c r="G47" s="3098"/>
    </row>
    <row r="48" spans="1:7" ht="19.5" customHeight="1">
      <c r="A48" s="3784"/>
      <c r="B48" s="3777"/>
      <c r="C48" s="3099" t="s">
        <v>2484</v>
      </c>
      <c r="D48" s="3100"/>
      <c r="E48" s="3101">
        <v>1</v>
      </c>
      <c r="F48" s="3098" t="s">
        <v>2485</v>
      </c>
      <c r="G48" s="3098"/>
    </row>
    <row r="49" spans="1:7" ht="19.5" customHeight="1">
      <c r="A49" s="3784"/>
      <c r="B49" s="3777"/>
      <c r="C49" s="3099" t="s">
        <v>2486</v>
      </c>
      <c r="D49" s="3100"/>
      <c r="E49" s="3101">
        <v>1</v>
      </c>
      <c r="F49" s="3098" t="s">
        <v>2487</v>
      </c>
      <c r="G49" s="3098"/>
    </row>
    <row r="50" spans="1:7" ht="19.5" customHeight="1">
      <c r="A50" s="3784"/>
      <c r="B50" s="3777"/>
      <c r="C50" s="3099" t="s">
        <v>2488</v>
      </c>
      <c r="D50" s="3100"/>
      <c r="E50" s="3101">
        <v>1</v>
      </c>
      <c r="F50" s="3098" t="s">
        <v>2489</v>
      </c>
      <c r="G50" s="3098"/>
    </row>
    <row r="51" spans="1:7" ht="19.5" customHeight="1" thickBot="1">
      <c r="A51" s="3785"/>
      <c r="B51" s="3779"/>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75" t="s">
        <v>2643</v>
      </c>
      <c r="C73" s="3084" t="s">
        <v>2644</v>
      </c>
      <c r="D73" s="3084" t="s">
        <v>2645</v>
      </c>
      <c r="E73" s="3110">
        <v>0.2</v>
      </c>
      <c r="F73" s="3110">
        <v>25</v>
      </c>
    </row>
    <row r="74" spans="1:7" ht="24">
      <c r="A74" s="3110">
        <v>2</v>
      </c>
      <c r="B74" s="3777"/>
      <c r="C74" s="3084" t="s">
        <v>2646</v>
      </c>
      <c r="D74" s="3084" t="s">
        <v>2647</v>
      </c>
      <c r="E74" s="3110">
        <v>0.2</v>
      </c>
      <c r="F74" s="3110">
        <v>25</v>
      </c>
    </row>
    <row r="75" spans="1:7" ht="24">
      <c r="A75" s="3110">
        <v>3</v>
      </c>
      <c r="B75" s="3777"/>
      <c r="C75" s="3084" t="s">
        <v>2648</v>
      </c>
      <c r="D75" s="3084" t="s">
        <v>2649</v>
      </c>
      <c r="E75" s="3110">
        <v>0.2</v>
      </c>
      <c r="F75" s="3110">
        <v>25</v>
      </c>
    </row>
    <row r="76" spans="1:7" ht="13.5">
      <c r="A76" s="3110">
        <v>4</v>
      </c>
      <c r="B76" s="3777"/>
      <c r="C76" s="3084" t="s">
        <v>2650</v>
      </c>
      <c r="D76" s="3084" t="s">
        <v>2651</v>
      </c>
      <c r="E76" s="3110">
        <v>0.15</v>
      </c>
      <c r="F76" s="3110">
        <v>20</v>
      </c>
    </row>
    <row r="77" spans="1:7" ht="24">
      <c r="A77" s="3110">
        <v>5</v>
      </c>
      <c r="B77" s="3777"/>
      <c r="C77" s="3084" t="s">
        <v>2652</v>
      </c>
      <c r="D77" s="3084" t="s">
        <v>2653</v>
      </c>
      <c r="E77" s="3110">
        <v>0.15</v>
      </c>
      <c r="F77" s="3110">
        <v>20</v>
      </c>
    </row>
    <row r="78" spans="1:7" ht="24">
      <c r="A78" s="3110">
        <v>6</v>
      </c>
      <c r="B78" s="3777"/>
      <c r="C78" s="3084" t="s">
        <v>2654</v>
      </c>
      <c r="D78" s="3084" t="s">
        <v>2655</v>
      </c>
      <c r="E78" s="3110">
        <v>0.15</v>
      </c>
      <c r="F78" s="3110">
        <v>20</v>
      </c>
    </row>
    <row r="79" spans="1:7" ht="24">
      <c r="A79" s="3110">
        <v>7</v>
      </c>
      <c r="B79" s="3777"/>
      <c r="C79" s="3084" t="s">
        <v>2656</v>
      </c>
      <c r="D79" s="3084" t="s">
        <v>2657</v>
      </c>
      <c r="E79" s="3110">
        <v>0.15</v>
      </c>
      <c r="F79" s="3110">
        <v>20</v>
      </c>
    </row>
    <row r="80" spans="1:7" ht="24">
      <c r="A80" s="3110">
        <v>8</v>
      </c>
      <c r="B80" s="3777"/>
      <c r="C80" s="3084" t="s">
        <v>2658</v>
      </c>
      <c r="D80" s="3084" t="s">
        <v>2659</v>
      </c>
      <c r="E80" s="3110">
        <v>0.1</v>
      </c>
      <c r="F80" s="3110">
        <v>15</v>
      </c>
    </row>
    <row r="81" spans="1:6" ht="24">
      <c r="A81" s="3110">
        <v>9</v>
      </c>
      <c r="B81" s="3777"/>
      <c r="C81" s="3084" t="s">
        <v>2660</v>
      </c>
      <c r="D81" s="3084" t="s">
        <v>2661</v>
      </c>
      <c r="E81" s="3110">
        <v>0.1</v>
      </c>
      <c r="F81" s="3110">
        <v>15</v>
      </c>
    </row>
    <row r="82" spans="1:6" ht="24">
      <c r="A82" s="3110">
        <v>10</v>
      </c>
      <c r="B82" s="3777"/>
      <c r="C82" s="3084" t="s">
        <v>2662</v>
      </c>
      <c r="D82" s="3084" t="s">
        <v>2663</v>
      </c>
      <c r="E82" s="3110">
        <v>0.1</v>
      </c>
      <c r="F82" s="3110">
        <v>15</v>
      </c>
    </row>
    <row r="83" spans="1:6" ht="24">
      <c r="A83" s="3110">
        <v>11</v>
      </c>
      <c r="B83" s="3777"/>
      <c r="C83" s="3084" t="s">
        <v>2664</v>
      </c>
      <c r="D83" s="3084" t="s">
        <v>2665</v>
      </c>
      <c r="E83" s="3110">
        <v>0.1</v>
      </c>
      <c r="F83" s="3110">
        <v>15</v>
      </c>
    </row>
    <row r="84" spans="1:6" ht="24">
      <c r="A84" s="3110">
        <v>12</v>
      </c>
      <c r="B84" s="3777"/>
      <c r="C84" s="3084" t="s">
        <v>2666</v>
      </c>
      <c r="D84" s="3084" t="s">
        <v>2667</v>
      </c>
      <c r="E84" s="3110">
        <v>0.1</v>
      </c>
      <c r="F84" s="3110">
        <v>15</v>
      </c>
    </row>
    <row r="85" spans="1:6" ht="13.5">
      <c r="A85" s="3110">
        <v>13</v>
      </c>
      <c r="B85" s="3777"/>
      <c r="C85" s="3084" t="s">
        <v>2668</v>
      </c>
      <c r="D85" s="3084" t="s">
        <v>2669</v>
      </c>
      <c r="E85" s="3110">
        <v>0.1</v>
      </c>
      <c r="F85" s="3110">
        <v>15</v>
      </c>
    </row>
    <row r="86" spans="1:6" ht="13.5">
      <c r="A86" s="3110">
        <v>14</v>
      </c>
      <c r="B86" s="3777"/>
      <c r="C86" s="3084" t="s">
        <v>2670</v>
      </c>
      <c r="D86" s="3084" t="s">
        <v>2671</v>
      </c>
      <c r="E86" s="3110">
        <v>0.1</v>
      </c>
      <c r="F86" s="3110">
        <v>15</v>
      </c>
    </row>
    <row r="87" spans="1:6" ht="13.5">
      <c r="A87" s="3110">
        <v>15</v>
      </c>
      <c r="B87" s="3777"/>
      <c r="C87" s="3084" t="s">
        <v>2672</v>
      </c>
      <c r="D87" s="3084" t="s">
        <v>2673</v>
      </c>
      <c r="E87" s="3110">
        <v>0.1</v>
      </c>
      <c r="F87" s="3110">
        <v>15</v>
      </c>
    </row>
    <row r="88" spans="1:6" ht="24">
      <c r="A88" s="3110">
        <v>16</v>
      </c>
      <c r="B88" s="3777"/>
      <c r="C88" s="3084" t="s">
        <v>2674</v>
      </c>
      <c r="D88" s="3084" t="s">
        <v>2675</v>
      </c>
      <c r="E88" s="3110">
        <v>0.1</v>
      </c>
      <c r="F88" s="3110">
        <v>15</v>
      </c>
    </row>
    <row r="89" spans="1:6" ht="24">
      <c r="A89" s="3110">
        <v>17</v>
      </c>
      <c r="B89" s="3776"/>
      <c r="C89" s="3084" t="s">
        <v>2676</v>
      </c>
      <c r="D89" s="3084" t="s">
        <v>2677</v>
      </c>
      <c r="E89" s="3110">
        <v>0.1</v>
      </c>
      <c r="F89" s="3110">
        <v>15</v>
      </c>
    </row>
    <row r="90" spans="1:6" ht="13.5">
      <c r="A90" s="3110">
        <v>18</v>
      </c>
      <c r="B90" s="3775" t="s">
        <v>2678</v>
      </c>
      <c r="C90" s="3084" t="s">
        <v>2679</v>
      </c>
      <c r="D90" s="3084" t="s">
        <v>2680</v>
      </c>
      <c r="E90" s="3110">
        <v>0.2</v>
      </c>
      <c r="F90" s="3110">
        <v>25</v>
      </c>
    </row>
    <row r="91" spans="1:6" ht="24">
      <c r="A91" s="3110">
        <v>19</v>
      </c>
      <c r="B91" s="3777"/>
      <c r="C91" s="3084" t="s">
        <v>2681</v>
      </c>
      <c r="D91" s="3084" t="s">
        <v>2682</v>
      </c>
      <c r="E91" s="3110">
        <v>0.2</v>
      </c>
      <c r="F91" s="3110">
        <v>25</v>
      </c>
    </row>
    <row r="92" spans="1:6" ht="13.5">
      <c r="A92" s="3110">
        <v>20</v>
      </c>
      <c r="B92" s="3777"/>
      <c r="C92" s="3084" t="s">
        <v>2683</v>
      </c>
      <c r="D92" s="3084" t="s">
        <v>2684</v>
      </c>
      <c r="E92" s="3110">
        <v>0.15</v>
      </c>
      <c r="F92" s="3110">
        <v>20</v>
      </c>
    </row>
    <row r="93" spans="1:6" ht="13.5">
      <c r="A93" s="3110">
        <v>21</v>
      </c>
      <c r="B93" s="3777"/>
      <c r="C93" s="3084" t="s">
        <v>2685</v>
      </c>
      <c r="D93" s="3084" t="s">
        <v>2686</v>
      </c>
      <c r="E93" s="3110">
        <v>0.15</v>
      </c>
      <c r="F93" s="3110">
        <v>20</v>
      </c>
    </row>
    <row r="94" spans="1:6" ht="13.5">
      <c r="A94" s="3110">
        <v>22</v>
      </c>
      <c r="B94" s="3777"/>
      <c r="C94" s="3084" t="s">
        <v>2687</v>
      </c>
      <c r="D94" s="3084" t="s">
        <v>2688</v>
      </c>
      <c r="E94" s="3110">
        <v>0.15</v>
      </c>
      <c r="F94" s="3110">
        <v>20</v>
      </c>
    </row>
    <row r="95" spans="1:6" ht="36">
      <c r="A95" s="3110">
        <v>23</v>
      </c>
      <c r="B95" s="3777"/>
      <c r="C95" s="3084" t="s">
        <v>2689</v>
      </c>
      <c r="D95" s="3084" t="s">
        <v>2690</v>
      </c>
      <c r="E95" s="3110">
        <v>0.15</v>
      </c>
      <c r="F95" s="3110">
        <v>20</v>
      </c>
    </row>
    <row r="96" spans="1:6" ht="13.5">
      <c r="A96" s="3110">
        <v>24</v>
      </c>
      <c r="B96" s="3777"/>
      <c r="C96" s="3084" t="s">
        <v>2691</v>
      </c>
      <c r="D96" s="3084" t="s">
        <v>2692</v>
      </c>
      <c r="E96" s="3110">
        <v>0.1</v>
      </c>
      <c r="F96" s="3110">
        <v>15</v>
      </c>
    </row>
    <row r="97" spans="1:6" ht="13.5">
      <c r="A97" s="3110">
        <v>25</v>
      </c>
      <c r="B97" s="3777"/>
      <c r="C97" s="3084" t="s">
        <v>2693</v>
      </c>
      <c r="D97" s="3084" t="s">
        <v>2694</v>
      </c>
      <c r="E97" s="3110">
        <v>0.1</v>
      </c>
      <c r="F97" s="3110">
        <v>15</v>
      </c>
    </row>
    <row r="98" spans="1:6" ht="24">
      <c r="A98" s="3110">
        <v>26</v>
      </c>
      <c r="B98" s="3777"/>
      <c r="C98" s="3084" t="s">
        <v>2695</v>
      </c>
      <c r="D98" s="3084" t="s">
        <v>2696</v>
      </c>
      <c r="E98" s="3110">
        <v>0.1</v>
      </c>
      <c r="F98" s="3110">
        <v>15</v>
      </c>
    </row>
    <row r="99" spans="1:6" ht="24">
      <c r="A99" s="3110">
        <v>27</v>
      </c>
      <c r="B99" s="3777"/>
      <c r="C99" s="3084" t="s">
        <v>2697</v>
      </c>
      <c r="D99" s="3084" t="s">
        <v>2698</v>
      </c>
      <c r="E99" s="3110">
        <v>0.1</v>
      </c>
      <c r="F99" s="3110">
        <v>15</v>
      </c>
    </row>
    <row r="100" spans="1:6" ht="13.5">
      <c r="A100" s="3110">
        <v>28</v>
      </c>
      <c r="B100" s="3777"/>
      <c r="C100" s="3084" t="s">
        <v>2699</v>
      </c>
      <c r="D100" s="3084" t="s">
        <v>2700</v>
      </c>
      <c r="E100" s="3110">
        <v>0.1</v>
      </c>
      <c r="F100" s="3110">
        <v>15</v>
      </c>
    </row>
    <row r="101" spans="1:6" ht="13.5">
      <c r="A101" s="3110">
        <v>29</v>
      </c>
      <c r="B101" s="3777"/>
      <c r="C101" s="3084" t="s">
        <v>2701</v>
      </c>
      <c r="D101" s="3084" t="s">
        <v>2702</v>
      </c>
      <c r="E101" s="3110">
        <v>0.1</v>
      </c>
      <c r="F101" s="3110">
        <v>15</v>
      </c>
    </row>
    <row r="102" spans="1:6" ht="13.5">
      <c r="A102" s="3110">
        <v>30</v>
      </c>
      <c r="B102" s="3777"/>
      <c r="C102" s="3084" t="s">
        <v>2703</v>
      </c>
      <c r="D102" s="3084" t="s">
        <v>2704</v>
      </c>
      <c r="E102" s="3110">
        <v>0.1</v>
      </c>
      <c r="F102" s="3110">
        <v>15</v>
      </c>
    </row>
    <row r="103" spans="1:6" ht="24">
      <c r="A103" s="3110">
        <v>31</v>
      </c>
      <c r="B103" s="3777"/>
      <c r="C103" s="3084" t="s">
        <v>2705</v>
      </c>
      <c r="D103" s="3084" t="s">
        <v>2706</v>
      </c>
      <c r="E103" s="3110">
        <v>0.1</v>
      </c>
      <c r="F103" s="3110">
        <v>15</v>
      </c>
    </row>
    <row r="104" spans="1:6" ht="24">
      <c r="A104" s="3110">
        <v>32</v>
      </c>
      <c r="B104" s="3777"/>
      <c r="C104" s="3084" t="s">
        <v>2707</v>
      </c>
      <c r="D104" s="3084" t="s">
        <v>2708</v>
      </c>
      <c r="E104" s="3110">
        <v>0.1</v>
      </c>
      <c r="F104" s="3110">
        <v>15</v>
      </c>
    </row>
    <row r="105" spans="1:6" ht="24">
      <c r="A105" s="3110">
        <v>33</v>
      </c>
      <c r="B105" s="3777"/>
      <c r="C105" s="3084" t="s">
        <v>2709</v>
      </c>
      <c r="D105" s="3084" t="s">
        <v>2710</v>
      </c>
      <c r="E105" s="3110">
        <v>0.1</v>
      </c>
      <c r="F105" s="3110">
        <v>15</v>
      </c>
    </row>
    <row r="106" spans="1:6" ht="24">
      <c r="A106" s="3110">
        <v>34</v>
      </c>
      <c r="B106" s="3776"/>
      <c r="C106" s="3084" t="s">
        <v>2711</v>
      </c>
      <c r="D106" s="3084" t="s">
        <v>2712</v>
      </c>
      <c r="E106" s="3110">
        <v>0.1</v>
      </c>
      <c r="F106" s="3110">
        <v>15</v>
      </c>
    </row>
    <row r="107" spans="1:6" ht="24">
      <c r="A107" s="3110">
        <v>35</v>
      </c>
      <c r="B107" s="3775" t="s">
        <v>2713</v>
      </c>
      <c r="C107" s="3110" t="s">
        <v>2714</v>
      </c>
      <c r="D107" s="3084" t="s">
        <v>2715</v>
      </c>
      <c r="E107" s="3110">
        <v>0.15</v>
      </c>
      <c r="F107" s="3110">
        <v>20</v>
      </c>
    </row>
    <row r="108" spans="1:6" ht="13.5">
      <c r="A108" s="3110">
        <v>36</v>
      </c>
      <c r="B108" s="3777"/>
      <c r="C108" s="3110" t="s">
        <v>2716</v>
      </c>
      <c r="D108" s="3084" t="s">
        <v>2717</v>
      </c>
      <c r="E108" s="3110">
        <v>0.15</v>
      </c>
      <c r="F108" s="3110">
        <v>20</v>
      </c>
    </row>
    <row r="109" spans="1:6" ht="13.5">
      <c r="A109" s="3110">
        <v>37</v>
      </c>
      <c r="B109" s="3777"/>
      <c r="C109" s="3110" t="s">
        <v>2718</v>
      </c>
      <c r="D109" s="3084" t="s">
        <v>2719</v>
      </c>
      <c r="E109" s="3110">
        <v>0.15</v>
      </c>
      <c r="F109" s="3110">
        <v>20</v>
      </c>
    </row>
    <row r="110" spans="1:6" ht="13.5">
      <c r="A110" s="3110">
        <v>38</v>
      </c>
      <c r="B110" s="3777"/>
      <c r="C110" s="3110" t="s">
        <v>2720</v>
      </c>
      <c r="D110" s="3084" t="s">
        <v>2721</v>
      </c>
      <c r="E110" s="3110">
        <v>0.1</v>
      </c>
      <c r="F110" s="3110">
        <v>15</v>
      </c>
    </row>
    <row r="111" spans="1:6" ht="24">
      <c r="A111" s="3110">
        <v>39</v>
      </c>
      <c r="B111" s="3777"/>
      <c r="C111" s="3110" t="s">
        <v>2722</v>
      </c>
      <c r="D111" s="3084" t="s">
        <v>2723</v>
      </c>
      <c r="E111" s="3110">
        <v>0.1</v>
      </c>
      <c r="F111" s="3110">
        <v>15</v>
      </c>
    </row>
    <row r="112" spans="1:6" ht="24">
      <c r="A112" s="3110">
        <v>40</v>
      </c>
      <c r="B112" s="3776"/>
      <c r="C112" s="3110" t="s">
        <v>2724</v>
      </c>
      <c r="D112" s="3084" t="s">
        <v>2725</v>
      </c>
      <c r="E112" s="3110">
        <v>0.1</v>
      </c>
      <c r="F112" s="3110">
        <v>15</v>
      </c>
    </row>
    <row r="113" spans="1:6" ht="13.5">
      <c r="A113" s="3110">
        <v>41</v>
      </c>
      <c r="B113" s="3774" t="s">
        <v>2726</v>
      </c>
      <c r="C113" s="3110" t="s">
        <v>2727</v>
      </c>
      <c r="D113" s="3084" t="s">
        <v>2728</v>
      </c>
      <c r="E113" s="3110">
        <v>0.1</v>
      </c>
      <c r="F113" s="3110">
        <v>15</v>
      </c>
    </row>
    <row r="114" spans="1:6" ht="13.5">
      <c r="A114" s="3110">
        <v>42</v>
      </c>
      <c r="B114" s="3774"/>
      <c r="C114" s="3110" t="s">
        <v>2729</v>
      </c>
      <c r="D114" s="3084" t="s">
        <v>2730</v>
      </c>
      <c r="E114" s="3110">
        <v>0.1</v>
      </c>
      <c r="F114" s="3110">
        <v>15</v>
      </c>
    </row>
    <row r="115" spans="1:6" ht="24">
      <c r="A115" s="3110">
        <v>43</v>
      </c>
      <c r="B115" s="3774"/>
      <c r="C115" s="3110" t="s">
        <v>2731</v>
      </c>
      <c r="D115" s="3084" t="s">
        <v>2732</v>
      </c>
      <c r="E115" s="3110">
        <v>0.1</v>
      </c>
      <c r="F115" s="3110">
        <v>15</v>
      </c>
    </row>
    <row r="116" spans="1:6" ht="13.5">
      <c r="A116" s="3110">
        <v>44</v>
      </c>
      <c r="B116" s="3775" t="s">
        <v>2733</v>
      </c>
      <c r="C116" s="3110" t="s">
        <v>2734</v>
      </c>
      <c r="D116" s="3084" t="s">
        <v>2735</v>
      </c>
      <c r="E116" s="3110">
        <v>0.1</v>
      </c>
      <c r="F116" s="3110">
        <v>15</v>
      </c>
    </row>
    <row r="117" spans="1:6" ht="24">
      <c r="A117" s="3110">
        <v>45</v>
      </c>
      <c r="B117" s="3776"/>
      <c r="C117" s="3084" t="s">
        <v>2736</v>
      </c>
      <c r="D117" s="3084" t="s">
        <v>2737</v>
      </c>
      <c r="E117" s="3110">
        <v>0.1</v>
      </c>
      <c r="F117" s="3110">
        <v>15</v>
      </c>
    </row>
    <row r="118" spans="1:6" ht="24">
      <c r="A118" s="3110">
        <v>46</v>
      </c>
      <c r="B118" s="3775" t="s">
        <v>2738</v>
      </c>
      <c r="C118" s="3110" t="s">
        <v>2739</v>
      </c>
      <c r="D118" s="3084" t="s">
        <v>2740</v>
      </c>
      <c r="E118" s="3110">
        <v>0.1</v>
      </c>
      <c r="F118" s="3110">
        <v>15</v>
      </c>
    </row>
    <row r="119" spans="1:6" ht="24">
      <c r="A119" s="3110">
        <v>47</v>
      </c>
      <c r="B119" s="3776"/>
      <c r="C119" s="3110" t="s">
        <v>2741</v>
      </c>
      <c r="D119" s="3084" t="s">
        <v>2742</v>
      </c>
      <c r="E119" s="3110">
        <v>0.1</v>
      </c>
      <c r="F119" s="3110">
        <v>15</v>
      </c>
    </row>
    <row r="120" spans="1:6" ht="13.5">
      <c r="A120" s="3110">
        <v>48</v>
      </c>
      <c r="B120" s="3775" t="s">
        <v>2743</v>
      </c>
      <c r="C120" s="3110" t="s">
        <v>2744</v>
      </c>
      <c r="D120" s="3084" t="s">
        <v>2745</v>
      </c>
      <c r="E120" s="3110">
        <v>0.1</v>
      </c>
      <c r="F120" s="3110">
        <v>15</v>
      </c>
    </row>
    <row r="121" spans="1:6" ht="13.5">
      <c r="A121" s="3110">
        <v>49</v>
      </c>
      <c r="B121" s="3776"/>
      <c r="C121" s="3110" t="s">
        <v>2746</v>
      </c>
      <c r="D121" s="3084" t="s">
        <v>2747</v>
      </c>
      <c r="E121" s="3110">
        <v>0.1</v>
      </c>
      <c r="F121" s="3110">
        <v>15</v>
      </c>
    </row>
    <row r="122" spans="1:6" ht="24">
      <c r="A122" s="3110">
        <v>50</v>
      </c>
      <c r="B122" s="3774" t="s">
        <v>2748</v>
      </c>
      <c r="C122" s="3110" t="s">
        <v>2749</v>
      </c>
      <c r="D122" s="3084" t="s">
        <v>2750</v>
      </c>
      <c r="E122" s="3110">
        <v>0.1</v>
      </c>
      <c r="F122" s="3110">
        <v>15</v>
      </c>
    </row>
    <row r="123" spans="1:6" ht="24">
      <c r="A123" s="3110">
        <v>51</v>
      </c>
      <c r="B123" s="3774"/>
      <c r="C123" s="3110" t="s">
        <v>2751</v>
      </c>
      <c r="D123" s="3084" t="s">
        <v>2752</v>
      </c>
      <c r="E123" s="3110">
        <v>0.1</v>
      </c>
      <c r="F123" s="3110">
        <v>15</v>
      </c>
    </row>
    <row r="124" spans="1:6" ht="24">
      <c r="A124" s="3110">
        <v>52</v>
      </c>
      <c r="B124" s="3774" t="s">
        <v>2753</v>
      </c>
      <c r="C124" s="3110" t="s">
        <v>2754</v>
      </c>
      <c r="D124" s="3084" t="s">
        <v>2755</v>
      </c>
      <c r="E124" s="3110">
        <v>0.1</v>
      </c>
      <c r="F124" s="3110">
        <v>15</v>
      </c>
    </row>
    <row r="125" spans="1:6" ht="24">
      <c r="A125" s="3110">
        <v>53</v>
      </c>
      <c r="B125" s="3774"/>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74" t="s">
        <v>2761</v>
      </c>
      <c r="C127" s="3110" t="s">
        <v>2762</v>
      </c>
      <c r="D127" s="3084" t="s">
        <v>2763</v>
      </c>
      <c r="E127" s="3110">
        <v>0.1</v>
      </c>
      <c r="F127" s="3110">
        <v>15</v>
      </c>
    </row>
    <row r="128" spans="1:6" ht="13.5">
      <c r="A128" s="3110">
        <v>56</v>
      </c>
      <c r="B128" s="3774"/>
      <c r="C128" s="3110" t="s">
        <v>2764</v>
      </c>
      <c r="D128" s="3084" t="s">
        <v>2765</v>
      </c>
      <c r="E128" s="3110">
        <v>0.1</v>
      </c>
      <c r="F128" s="3110">
        <v>15</v>
      </c>
    </row>
    <row r="129" spans="1:6" ht="24">
      <c r="A129" s="3110">
        <v>57</v>
      </c>
      <c r="B129" s="3774"/>
      <c r="C129" s="3110" t="s">
        <v>2766</v>
      </c>
      <c r="D129" s="3084" t="s">
        <v>2767</v>
      </c>
      <c r="E129" s="3110">
        <v>0.1</v>
      </c>
      <c r="F129" s="3110">
        <v>15</v>
      </c>
    </row>
    <row r="130" spans="1:6" ht="24">
      <c r="A130" s="3110">
        <v>58</v>
      </c>
      <c r="B130" s="3774" t="s">
        <v>2768</v>
      </c>
      <c r="C130" s="3110" t="s">
        <v>2769</v>
      </c>
      <c r="D130" s="3084" t="s">
        <v>2770</v>
      </c>
      <c r="E130" s="3110">
        <v>0.1</v>
      </c>
      <c r="F130" s="3110">
        <v>15</v>
      </c>
    </row>
    <row r="131" spans="1:6" ht="13.5">
      <c r="A131" s="3110">
        <v>59</v>
      </c>
      <c r="B131" s="3774"/>
      <c r="C131" s="3110" t="s">
        <v>2771</v>
      </c>
      <c r="D131" s="3084" t="s">
        <v>2772</v>
      </c>
      <c r="E131" s="3110">
        <v>0.1</v>
      </c>
      <c r="F131" s="3110">
        <v>15</v>
      </c>
    </row>
    <row r="132" spans="1:6" ht="13.5">
      <c r="A132" s="3110">
        <v>60</v>
      </c>
      <c r="B132" s="3775" t="s">
        <v>2773</v>
      </c>
      <c r="C132" s="3110" t="s">
        <v>2774</v>
      </c>
      <c r="D132" s="3084" t="s">
        <v>2775</v>
      </c>
      <c r="E132" s="3110">
        <v>0.1</v>
      </c>
      <c r="F132" s="3110">
        <v>15</v>
      </c>
    </row>
    <row r="133" spans="1:6" ht="13.5">
      <c r="A133" s="3110">
        <v>61</v>
      </c>
      <c r="B133" s="3776"/>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74" t="s">
        <v>2781</v>
      </c>
      <c r="C135" s="3110" t="s">
        <v>2782</v>
      </c>
      <c r="D135" s="3084" t="s">
        <v>2783</v>
      </c>
      <c r="E135" s="3110">
        <v>0.1</v>
      </c>
      <c r="F135" s="3110">
        <v>15</v>
      </c>
    </row>
    <row r="136" spans="1:6" ht="13.5">
      <c r="A136" s="3110">
        <v>64</v>
      </c>
      <c r="B136" s="3774"/>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1.0637000000000001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1.0118</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46723</v>
      </c>
      <c r="C2" s="2" t="s">
        <v>106</v>
      </c>
      <c r="D2" s="199"/>
      <c r="E2" s="199"/>
      <c r="F2" s="199"/>
      <c r="G2" s="199"/>
    </row>
    <row r="3" spans="1:7" s="200" customFormat="1" ht="18" customHeight="1" thickBot="1">
      <c r="A3" s="203" t="s">
        <v>58</v>
      </c>
      <c r="B3" s="204">
        <f ca="1">ROUND(B2*10000/'数据-汇总表'!E3,0)</f>
        <v>16814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556</v>
      </c>
      <c r="D10" s="845">
        <f>'数据-汇总表'!E6</f>
        <v>27788.400000000001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500</v>
      </c>
      <c r="D19" s="849">
        <f>'数据-汇总表'!E3</f>
        <v>27788.400000000001</v>
      </c>
      <c r="E19" s="211">
        <f>'数据-取费表'!B31</f>
        <v>180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14244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13232</v>
      </c>
      <c r="D34" s="217"/>
      <c r="E34" s="220"/>
      <c r="F34" s="257">
        <f>IF('数据-取费表'!B24=0,1,'数据-取费表'!N16)</f>
        <v>1</v>
      </c>
      <c r="G34" s="219" t="s">
        <v>89</v>
      </c>
    </row>
    <row r="35" spans="1:7" ht="13.5" customHeight="1">
      <c r="A35" s="780" t="s">
        <v>351</v>
      </c>
      <c r="B35" s="215" t="s">
        <v>33</v>
      </c>
      <c r="C35" s="220">
        <f>ROUND(C34*F35,0)</f>
        <v>397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417</v>
      </c>
      <c r="D37" s="217">
        <f>'数据-汇总表'!E3</f>
        <v>27788.400000000001</v>
      </c>
      <c r="E37" s="249">
        <f>'数据-取费表'!B35</f>
        <v>150</v>
      </c>
      <c r="F37" s="259"/>
      <c r="G37" s="261" t="s">
        <v>92</v>
      </c>
    </row>
    <row r="38" spans="1:7" ht="13.5" customHeight="1">
      <c r="A38" s="780" t="s">
        <v>354</v>
      </c>
      <c r="B38" s="215" t="s">
        <v>36</v>
      </c>
      <c r="C38" s="220">
        <f>ROUND(C34*F38,0)</f>
        <v>198</v>
      </c>
      <c r="D38" s="220"/>
      <c r="E38" s="220"/>
      <c r="F38" s="259">
        <f>'数据-取费表'!B36</f>
        <v>1.4999999999999999E-2</v>
      </c>
      <c r="G38" s="219" t="s">
        <v>90</v>
      </c>
    </row>
    <row r="39" spans="1:7" s="214" customFormat="1" ht="13.5" customHeight="1">
      <c r="A39" s="777" t="s">
        <v>338</v>
      </c>
      <c r="B39" s="210" t="s">
        <v>77</v>
      </c>
      <c r="C39" s="232">
        <f>ROUND(C33*F20,0)</f>
        <v>285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501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491</v>
      </c>
      <c r="D42" s="238"/>
      <c r="E42" s="238"/>
      <c r="F42" s="239"/>
      <c r="G42" s="3650" t="s">
        <v>94</v>
      </c>
    </row>
    <row r="43" spans="1:7" ht="13.5" customHeight="1">
      <c r="A43" s="780" t="s">
        <v>347</v>
      </c>
      <c r="B43" s="215" t="s">
        <v>426</v>
      </c>
      <c r="C43" s="238">
        <f ca="1">ROUND(IF('数据-取费表'!B22&lt;=1,C39*F22*'数据-取费表'!B21/2,C39*(POWER((1+F22),'数据-取费表'!B21/2)-1)),0)</f>
        <v>10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2179</v>
      </c>
      <c r="D45" s="235">
        <f>C47</f>
        <v>3.0000000000000001E-3</v>
      </c>
      <c r="E45" s="236" t="s">
        <v>102</v>
      </c>
      <c r="F45" s="246"/>
      <c r="G45" s="247" t="s">
        <v>434</v>
      </c>
    </row>
    <row r="46" spans="1:7" s="214" customFormat="1" ht="13.5" customHeight="1">
      <c r="A46" s="780" t="s">
        <v>349</v>
      </c>
      <c r="B46" s="248" t="s">
        <v>427</v>
      </c>
      <c r="C46" s="249">
        <f>ROUND((C33+C39)*F27,0)</f>
        <v>2179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18645</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18272</v>
      </c>
      <c r="D51" s="232"/>
      <c r="E51" s="232"/>
      <c r="F51" s="264"/>
      <c r="G51" s="234" t="s">
        <v>37</v>
      </c>
    </row>
    <row r="52" spans="1:7" s="208" customFormat="1" ht="16.5" thickBot="1">
      <c r="A52" s="265" t="s">
        <v>38</v>
      </c>
      <c r="B52" s="266"/>
      <c r="C52" s="267">
        <f ca="1">C31+C51</f>
        <v>46723</v>
      </c>
      <c r="D52" s="266"/>
      <c r="E52" s="266"/>
      <c r="F52" s="266"/>
      <c r="G52" s="268"/>
    </row>
    <row r="55" spans="1:7" ht="15">
      <c r="B55" s="270" t="s">
        <v>39</v>
      </c>
      <c r="C55" s="271"/>
    </row>
    <row r="56" spans="1:7">
      <c r="B56" s="273" t="s">
        <v>40</v>
      </c>
      <c r="C56" s="274">
        <f ca="1">ROUND(C51/C52,3)</f>
        <v>0.39100000000000001</v>
      </c>
    </row>
    <row r="57" spans="1:7">
      <c r="B57" s="273" t="s">
        <v>41</v>
      </c>
      <c r="C57" s="275">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88" t="s">
        <v>2833</v>
      </c>
      <c r="B1" s="3788"/>
      <c r="C1" s="3788"/>
      <c r="D1" s="3788"/>
      <c r="E1" s="3788"/>
      <c r="F1" s="3788"/>
      <c r="G1" s="3789"/>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86"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87"/>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0" t="s">
        <v>3175</v>
      </c>
      <c r="B1" s="3790"/>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1" t="s">
        <v>3226</v>
      </c>
      <c r="B1" s="3791"/>
      <c r="C1" s="3791"/>
      <c r="D1" s="3791"/>
      <c r="E1" s="3791"/>
      <c r="F1" s="3792"/>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45225</v>
      </c>
      <c r="B1" s="3202" t="s">
        <v>2832</v>
      </c>
      <c r="C1" s="3203"/>
      <c r="D1" s="3203"/>
      <c r="E1" s="3203"/>
      <c r="F1" s="3203"/>
      <c r="G1" s="3203"/>
      <c r="H1" s="3203"/>
      <c r="I1" s="3203"/>
      <c r="J1" s="3157"/>
      <c r="K1" s="3203" t="s">
        <v>454</v>
      </c>
      <c r="L1" s="3203"/>
      <c r="M1" s="3203"/>
      <c r="N1" s="3203"/>
      <c r="O1" s="3203"/>
      <c r="P1" s="3203"/>
      <c r="Q1" s="3157"/>
      <c r="R1" s="3793" t="s">
        <v>456</v>
      </c>
      <c r="S1" s="3794"/>
      <c r="T1" s="3794"/>
      <c r="U1" s="3794"/>
      <c r="V1" s="3794"/>
      <c r="W1" s="3794"/>
      <c r="X1" s="3157"/>
      <c r="Y1" s="3793" t="s">
        <v>457</v>
      </c>
      <c r="Z1" s="3794"/>
      <c r="AA1" s="3794"/>
      <c r="AB1" s="3794"/>
      <c r="AC1" s="3794"/>
      <c r="AD1" s="3794"/>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3" t="s">
        <v>2820</v>
      </c>
      <c r="S21" s="3794"/>
      <c r="T21" s="3794"/>
      <c r="U21" s="3794"/>
      <c r="V21" s="3794"/>
      <c r="W21" s="3794"/>
      <c r="X21" s="3157"/>
      <c r="Y21" s="3793" t="s">
        <v>2821</v>
      </c>
      <c r="Z21" s="3794"/>
      <c r="AA21" s="3794"/>
      <c r="AB21" s="3794"/>
      <c r="AC21" s="3794"/>
      <c r="AD21" s="3794"/>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
      <c r="A3" s="3481"/>
      <c r="B3" s="3481"/>
      <c r="C3" s="3481"/>
      <c r="D3" s="854" t="s">
        <v>925</v>
      </c>
      <c r="E3" s="854" t="s">
        <v>931</v>
      </c>
      <c r="F3" s="854" t="s">
        <v>925</v>
      </c>
      <c r="G3" s="854" t="s">
        <v>926</v>
      </c>
      <c r="H3" s="854" t="s">
        <v>925</v>
      </c>
      <c r="I3" s="854" t="s">
        <v>926</v>
      </c>
    </row>
    <row r="4" spans="1:9" ht="30">
      <c r="A4" s="1505" t="str">
        <f>项目基本情况!S2</f>
        <v>北京市丰台区周庄子路1号院1号楼-3至6层101房地产</v>
      </c>
      <c r="B4" s="854">
        <f>项目基本情况!C17</f>
        <v>27788.400000000001</v>
      </c>
      <c r="C4" s="854">
        <f>项目基本情况!C18</f>
        <v>9100.1</v>
      </c>
      <c r="D4" s="854">
        <f ca="1">结果表!D118</f>
        <v>33303</v>
      </c>
      <c r="E4" s="854">
        <f ca="1">结果表!E118</f>
        <v>11985</v>
      </c>
      <c r="F4" s="854">
        <f ca="1">结果表!F118</f>
        <v>18814</v>
      </c>
      <c r="G4" s="854">
        <f ca="1">结果表!G118</f>
        <v>6770</v>
      </c>
      <c r="H4" s="854">
        <f ca="1">结果表!H118</f>
        <v>52117</v>
      </c>
      <c r="I4" s="854">
        <f ca="1">结果表!I118</f>
        <v>18755</v>
      </c>
    </row>
    <row r="5" spans="1:9" ht="30" customHeight="1">
      <c r="A5" s="3481" t="s">
        <v>927</v>
      </c>
      <c r="B5" s="3481"/>
      <c r="C5" s="3481"/>
      <c r="D5" s="3481" t="str">
        <f ca="1">结果表!D119</f>
        <v>叁亿叁仟叁佰零叁万元整</v>
      </c>
      <c r="E5" s="3481"/>
      <c r="F5" s="3481" t="str">
        <f ca="1">结果表!F119</f>
        <v>壹亿捌仟捌佰壹拾肆万元整</v>
      </c>
      <c r="G5" s="3481"/>
      <c r="H5" s="3481" t="str">
        <f ca="1">结果表!H119</f>
        <v>伍亿贰仟壹佰壹拾柒万元整</v>
      </c>
      <c r="I5" s="3481"/>
    </row>
    <row r="6" spans="1:9" ht="15.75">
      <c r="A6" s="3480" t="str">
        <f>结果表!A120</f>
        <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
      </c>
      <c r="B8" s="3480"/>
      <c r="C8" s="3480"/>
      <c r="D8" s="3480">
        <f ca="1">结果表!D122</f>
        <v>52117</v>
      </c>
      <c r="E8" s="3480"/>
      <c r="F8" s="3480"/>
      <c r="G8" s="3480"/>
      <c r="H8" s="3480"/>
      <c r="I8" s="3480"/>
    </row>
    <row r="9" spans="1:9" ht="15">
      <c r="A9" s="3481" t="s">
        <v>927</v>
      </c>
      <c r="B9" s="3481"/>
      <c r="C9" s="3481"/>
      <c r="D9" s="3481" t="str">
        <f ca="1">结果表!D123</f>
        <v>伍亿贰仟壹佰壹拾柒万元整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45226</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1"/>
      <c r="E18" s="3506" t="s">
        <v>2161</v>
      </c>
      <c r="F18" s="3505"/>
      <c r="G18" s="350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2023-10-27T07:44:09Z</dcterms:modified>
</cp:coreProperties>
</file>