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F:\2024-1-0349东花市南里租金-李雨豪\"/>
    </mc:Choice>
  </mc:AlternateContent>
  <xr:revisionPtr revIDLastSave="0" documentId="13_ncr:1_{9C188321-A0B2-437C-8CD0-74671BB5DB64}" xr6:coauthVersionLast="47" xr6:coauthVersionMax="47" xr10:uidLastSave="{00000000-0000-0000-0000-000000000000}"/>
  <bookViews>
    <workbookView xWindow="-120" yWindow="-120" windowWidth="21840" windowHeight="131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Sheet2" sheetId="81" r:id="rId28"/>
    <sheet name="富贵园案例" sheetId="82"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8" i="81" l="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E8" i="81"/>
  <c r="BF8" i="81"/>
  <c r="BG8" i="81"/>
  <c r="BH8" i="81"/>
  <c r="BI8" i="81"/>
  <c r="BJ8" i="81"/>
  <c r="BK8" i="81"/>
  <c r="BL8" i="81"/>
  <c r="BM8" i="81"/>
  <c r="BN8" i="81"/>
  <c r="BO8" i="81"/>
  <c r="BP8" i="81"/>
  <c r="BQ8" i="81"/>
  <c r="BR8" i="81"/>
  <c r="BS8" i="81"/>
  <c r="BT8" i="81"/>
  <c r="BU8" i="81"/>
  <c r="BV8" i="81"/>
  <c r="BW8" i="81"/>
  <c r="BX8"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BJ9" i="81"/>
  <c r="BK9" i="81"/>
  <c r="BL9" i="81"/>
  <c r="BM9" i="81"/>
  <c r="BN9" i="81"/>
  <c r="BO9" i="81"/>
  <c r="BP9" i="81"/>
  <c r="BQ9" i="81"/>
  <c r="BR9" i="81"/>
  <c r="BS9" i="81"/>
  <c r="BT9" i="81"/>
  <c r="BU9" i="81"/>
  <c r="BV9" i="81"/>
  <c r="BW9" i="81"/>
  <c r="BX9"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BJ10" i="81"/>
  <c r="BK10" i="81"/>
  <c r="BL10" i="81"/>
  <c r="BM10" i="81"/>
  <c r="BN10" i="81"/>
  <c r="BO10" i="81"/>
  <c r="BP10" i="81"/>
  <c r="BQ10" i="81"/>
  <c r="BR10" i="81"/>
  <c r="BS10" i="81"/>
  <c r="BT10" i="81"/>
  <c r="BU10" i="81"/>
  <c r="BV10" i="81"/>
  <c r="BW10" i="81"/>
  <c r="BX10" i="81"/>
  <c r="R8" i="81"/>
  <c r="R9" i="81"/>
  <c r="R10"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44" i="81"/>
  <c r="U44" i="81"/>
  <c r="P11" i="82" s="1"/>
  <c r="U56" i="81"/>
  <c r="P12" i="82" s="1"/>
  <c r="U67" i="81"/>
  <c r="P13" i="82" s="1"/>
  <c r="U79" i="81"/>
  <c r="P14" i="82" s="1"/>
  <c r="U91" i="81"/>
  <c r="P15" i="82" s="1"/>
  <c r="BN14" i="81"/>
  <c r="L15" i="82" s="1"/>
  <c r="BN21" i="81"/>
  <c r="N15" i="82" s="1"/>
  <c r="BB21" i="81"/>
  <c r="N14" i="82" s="1"/>
  <c r="BB14" i="81"/>
  <c r="L14" i="82" s="1"/>
  <c r="AP14" i="81"/>
  <c r="AP21" i="81"/>
  <c r="AD21" i="81"/>
  <c r="S23" i="81" s="1"/>
  <c r="AD14" i="81"/>
  <c r="L12" i="82" s="1"/>
  <c r="R21" i="81"/>
  <c r="N11" i="82" s="1"/>
  <c r="R14" i="81"/>
  <c r="L11" i="82" s="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BJ22" i="81"/>
  <c r="BK22" i="81"/>
  <c r="BL22" i="81"/>
  <c r="BM22" i="81"/>
  <c r="BN22" i="81"/>
  <c r="BO22" i="81"/>
  <c r="BP22" i="81"/>
  <c r="BQ22" i="81"/>
  <c r="BR22" i="81"/>
  <c r="BS22" i="81"/>
  <c r="BT22" i="81"/>
  <c r="BU22" i="81"/>
  <c r="BV22" i="81"/>
  <c r="BW22" i="81"/>
  <c r="BX22" i="81"/>
  <c r="R22"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BJ15" i="81"/>
  <c r="BK15" i="81"/>
  <c r="BL15" i="81"/>
  <c r="BM15" i="81"/>
  <c r="BN15" i="81"/>
  <c r="BO15" i="81"/>
  <c r="BP15" i="81"/>
  <c r="BQ15" i="81"/>
  <c r="BR15" i="81"/>
  <c r="BS15" i="81"/>
  <c r="BT15" i="81"/>
  <c r="BU15" i="81"/>
  <c r="BV15" i="81"/>
  <c r="BW15" i="81"/>
  <c r="BX15" i="81"/>
  <c r="B15" i="81"/>
  <c r="T16" i="81" l="1"/>
  <c r="O14" i="82"/>
  <c r="Q13" i="82"/>
  <c r="N12" i="82"/>
  <c r="Q12" i="82"/>
  <c r="Q11" i="82"/>
  <c r="Q14" i="82"/>
  <c r="L13" i="82"/>
  <c r="M13" i="82" s="1"/>
  <c r="W45" i="81"/>
  <c r="T23" i="81"/>
  <c r="W46" i="81"/>
  <c r="W47" i="81"/>
  <c r="W44" i="81"/>
  <c r="O11" i="82"/>
  <c r="M14" i="82"/>
  <c r="M11" i="82"/>
  <c r="U16" i="81"/>
  <c r="U23" i="81"/>
  <c r="N13" i="82"/>
  <c r="O13" i="82" s="1"/>
  <c r="R16" i="81"/>
  <c r="R23" i="81"/>
  <c r="S16" i="81"/>
  <c r="D14" i="74"/>
  <c r="B14" i="74"/>
  <c r="M12" i="82" l="1"/>
  <c r="O12" i="82"/>
  <c r="U6" i="1"/>
  <c r="I47" i="21"/>
  <c r="G47" i="21"/>
  <c r="E47" i="21"/>
  <c r="I15" i="82" l="1"/>
  <c r="E15" i="82"/>
  <c r="J14" i="82"/>
  <c r="I14" i="82"/>
  <c r="G14" i="82"/>
  <c r="E14" i="82"/>
  <c r="F14" i="82" s="1"/>
  <c r="I13" i="82"/>
  <c r="J13" i="82" s="1"/>
  <c r="G13" i="82"/>
  <c r="H13" i="82" s="1"/>
  <c r="E13" i="82"/>
  <c r="F13" i="82" s="1"/>
  <c r="I12" i="82"/>
  <c r="J12" i="82" s="1"/>
  <c r="G12" i="82"/>
  <c r="H12" i="82" s="1"/>
  <c r="E12" i="82"/>
  <c r="F12" i="82" s="1"/>
  <c r="I11" i="82"/>
  <c r="J11" i="82" s="1"/>
  <c r="G11" i="82"/>
  <c r="H11" i="82" s="1"/>
  <c r="E11" i="82"/>
  <c r="F11" i="82" s="1"/>
  <c r="I10" i="82"/>
  <c r="J10" i="82" s="1"/>
  <c r="G10" i="82"/>
  <c r="H10" i="82" s="1"/>
  <c r="E10" i="82"/>
  <c r="F10" i="82" s="1"/>
  <c r="I9" i="82"/>
  <c r="J9" i="82" s="1"/>
  <c r="G9" i="82"/>
  <c r="H9" i="82" s="1"/>
  <c r="E9" i="82"/>
  <c r="F9" i="82" s="1"/>
  <c r="E23" i="80"/>
  <c r="E12" i="80"/>
  <c r="Y6" i="1" l="1"/>
  <c r="N6" i="1"/>
  <c r="L20" i="1"/>
  <c r="L22" i="1" s="1"/>
  <c r="F19" i="6"/>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S3" i="79" s="1"/>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N3" i="79" s="1"/>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Y3" i="79"/>
  <c r="AC3" i="79"/>
  <c r="U12" i="79"/>
  <c r="R13" i="79"/>
  <c r="V13" i="79"/>
  <c r="T27" i="79"/>
  <c r="U28" i="79"/>
  <c r="AD34" i="79"/>
  <c r="S35" i="79"/>
  <c r="U37" i="79"/>
  <c r="AD38" i="79"/>
  <c r="U36" i="79"/>
  <c r="AD37" i="79"/>
  <c r="L3" i="79"/>
  <c r="S12" i="79"/>
  <c r="U14" i="79"/>
  <c r="U15" i="79"/>
  <c r="S28" i="79"/>
  <c r="T34" i="79"/>
  <c r="W34" i="79" s="1"/>
  <c r="U35" i="79"/>
  <c r="AD36" i="79"/>
  <c r="S37" i="79"/>
  <c r="S27" i="79"/>
  <c r="M3" i="79"/>
  <c r="P3" i="79" s="1"/>
  <c r="T3" i="79"/>
  <c r="W3" i="79" s="1"/>
  <c r="U27" i="79"/>
  <c r="AD33" i="79"/>
  <c r="T32" i="79"/>
  <c r="W32" i="79" s="1"/>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C79"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E68" i="71"/>
  <c r="P68" i="71" s="1"/>
  <c r="C68" i="71"/>
  <c r="B68" i="71"/>
  <c r="S68"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c r="D62" i="71" s="1"/>
  <c r="N61" i="71"/>
  <c r="B62" i="71"/>
  <c r="B63" i="71" s="1"/>
  <c r="B64" i="7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c r="F55" i="71" s="1"/>
  <c r="F56" i="71" s="1"/>
  <c r="V56" i="71" s="1"/>
  <c r="P53" i="71"/>
  <c r="E54" i="71" s="1"/>
  <c r="E55" i="71" s="1"/>
  <c r="E56" i="71" s="1"/>
  <c r="U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AA39" i="71"/>
  <c r="O39" i="71"/>
  <c r="N39" i="71"/>
  <c r="X39" i="71"/>
  <c r="Q38" i="71"/>
  <c r="AB38" i="71"/>
  <c r="P38" i="71"/>
  <c r="O38" i="71"/>
  <c r="N38" i="71"/>
  <c r="Q37" i="71"/>
  <c r="AB36" i="71" s="1"/>
  <c r="P37" i="71"/>
  <c r="O37" i="71"/>
  <c r="N37" i="71"/>
  <c r="X37" i="71" s="1"/>
  <c r="D37" i="71"/>
  <c r="Q36" i="71"/>
  <c r="P36" i="71"/>
  <c r="O36" i="71"/>
  <c r="N36" i="71"/>
  <c r="Q35" i="71"/>
  <c r="AB35" i="71" s="1"/>
  <c r="P35" i="71"/>
  <c r="AA34" i="71" s="1"/>
  <c r="O35" i="71"/>
  <c r="N35" i="71"/>
  <c r="X29" i="71" s="1"/>
  <c r="Q34" i="71"/>
  <c r="AB34" i="71" s="1"/>
  <c r="P34" i="71"/>
  <c r="O34" i="71"/>
  <c r="Y34" i="71" s="1"/>
  <c r="Z34" i="71" s="1"/>
  <c r="N34" i="71"/>
  <c r="F34" i="71"/>
  <c r="F35" i="71" s="1"/>
  <c r="F36" i="71" s="1"/>
  <c r="V36" i="71" s="1"/>
  <c r="Q33" i="71"/>
  <c r="P33" i="71"/>
  <c r="AA32" i="71" s="1"/>
  <c r="O33" i="71"/>
  <c r="Y31" i="71" s="1"/>
  <c r="Z31" i="71" s="1"/>
  <c r="N33" i="71"/>
  <c r="D33" i="71"/>
  <c r="Q32" i="71"/>
  <c r="AB30" i="71" s="1"/>
  <c r="P32" i="71"/>
  <c r="O32" i="71"/>
  <c r="Y32" i="71"/>
  <c r="Z32" i="71" s="1"/>
  <c r="N32" i="71"/>
  <c r="Q31" i="71"/>
  <c r="AB31" i="71"/>
  <c r="P31" i="71"/>
  <c r="O31" i="71"/>
  <c r="N31" i="71"/>
  <c r="X31" i="71" s="1"/>
  <c r="Q30" i="71"/>
  <c r="P30" i="71"/>
  <c r="AA25" i="71" s="1"/>
  <c r="O30" i="71"/>
  <c r="N30" i="71"/>
  <c r="F30" i="71"/>
  <c r="F31" i="71" s="1"/>
  <c r="F32" i="71" s="1"/>
  <c r="V32" i="71" s="1"/>
  <c r="Q29" i="71"/>
  <c r="P29" i="71"/>
  <c r="O29" i="71"/>
  <c r="Y29" i="71" s="1"/>
  <c r="Z29" i="71" s="1"/>
  <c r="N29" i="71"/>
  <c r="D29" i="71"/>
  <c r="O28" i="71"/>
  <c r="N28" i="71"/>
  <c r="X25" i="71" s="1"/>
  <c r="B30" i="71"/>
  <c r="B31" i="71"/>
  <c r="E30" i="71"/>
  <c r="B34" i="71"/>
  <c r="B35" i="71"/>
  <c r="B36" i="71"/>
  <c r="S36" i="71" s="1"/>
  <c r="E38" i="71"/>
  <c r="E39" i="71"/>
  <c r="E40" i="71" s="1"/>
  <c r="U40" i="71"/>
  <c r="AA37" i="71"/>
  <c r="X32" i="71"/>
  <c r="AA35" i="71"/>
  <c r="AA36" i="71"/>
  <c r="C38" i="71"/>
  <c r="AB37" i="71"/>
  <c r="X38" i="71"/>
  <c r="AA38" i="71"/>
  <c r="C28" i="71"/>
  <c r="D28" i="71" s="1"/>
  <c r="U28" i="71" s="1"/>
  <c r="X28" i="71"/>
  <c r="C39" i="71"/>
  <c r="D39" i="71" s="1"/>
  <c r="D38" i="71"/>
  <c r="D42" i="71"/>
  <c r="C51" i="71"/>
  <c r="C52" i="71" s="1"/>
  <c r="D50" i="71"/>
  <c r="P28" i="71"/>
  <c r="E59" i="71"/>
  <c r="E60" i="71" s="1"/>
  <c r="U60" i="71" s="1"/>
  <c r="E63" i="71"/>
  <c r="E64" i="71"/>
  <c r="U64" i="71" s="1"/>
  <c r="U68" i="71"/>
  <c r="E67" i="71"/>
  <c r="Q28" i="71"/>
  <c r="AB25" i="71" s="1"/>
  <c r="C55" i="71"/>
  <c r="D55" i="71" s="1"/>
  <c r="D54" i="71"/>
  <c r="C59" i="71"/>
  <c r="D58" i="71"/>
  <c r="C63" i="71"/>
  <c r="B66" i="71"/>
  <c r="N66" i="71" s="1"/>
  <c r="Q67" i="71"/>
  <c r="T68" i="71"/>
  <c r="O68" i="71"/>
  <c r="D68" i="71"/>
  <c r="C67" i="71"/>
  <c r="D67" i="71" s="1"/>
  <c r="C71" i="71"/>
  <c r="E71" i="71"/>
  <c r="E70" i="71" s="1"/>
  <c r="D72" i="71"/>
  <c r="E75" i="71"/>
  <c r="E74" i="71" s="1"/>
  <c r="E79" i="71"/>
  <c r="E78" i="71" s="1"/>
  <c r="C83" i="71"/>
  <c r="D83" i="71" s="1"/>
  <c r="C87" i="71"/>
  <c r="C86" i="71" s="1"/>
  <c r="D86" i="71" s="1"/>
  <c r="T28" i="71"/>
  <c r="F28" i="71"/>
  <c r="F27" i="71" s="1"/>
  <c r="F26" i="71" s="1"/>
  <c r="AB26" i="71"/>
  <c r="E28" i="71"/>
  <c r="V28" i="71" s="1"/>
  <c r="E27" i="71"/>
  <c r="E26" i="71" s="1"/>
  <c r="AA26" i="71"/>
  <c r="AA27" i="71"/>
  <c r="C66" i="71"/>
  <c r="O65" i="71" s="1"/>
  <c r="C64" i="71"/>
  <c r="D64" i="71" s="1"/>
  <c r="D63" i="71"/>
  <c r="C82" i="71"/>
  <c r="D82" i="71"/>
  <c r="N65" i="71"/>
  <c r="D71" i="71"/>
  <c r="C70" i="71"/>
  <c r="D70" i="71" s="1"/>
  <c r="C60" i="71"/>
  <c r="D59" i="71"/>
  <c r="C56" i="71"/>
  <c r="D56" i="71" s="1"/>
  <c r="P67" i="71"/>
  <c r="E66" i="71"/>
  <c r="P65" i="71" s="1"/>
  <c r="C40" i="71"/>
  <c r="P66" i="71"/>
  <c r="O66" i="71"/>
  <c r="T40" i="71"/>
  <c r="D40"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AB19" i="21" s="1"/>
  <c r="D83" i="21"/>
  <c r="F21" i="21"/>
  <c r="D81" i="21"/>
  <c r="G20" i="20"/>
  <c r="C25" i="40" s="1"/>
  <c r="B88" i="43"/>
  <c r="C22" i="20"/>
  <c r="B100" i="43" s="1"/>
  <c r="B77" i="43"/>
  <c r="B57" i="43"/>
  <c r="B68" i="43"/>
  <c r="C29" i="39"/>
  <c r="U18" i="36"/>
  <c r="S21" i="34"/>
  <c r="F94" i="40"/>
  <c r="G94" i="40" s="1"/>
  <c r="H25" i="40"/>
  <c r="AB25" i="40" s="1"/>
  <c r="J25" i="40"/>
  <c r="H29" i="39"/>
  <c r="AB29" i="39" s="1"/>
  <c r="J29" i="39"/>
  <c r="AC29" i="39" s="1"/>
  <c r="J18" i="36"/>
  <c r="AC18" i="36" s="1"/>
  <c r="F68" i="35"/>
  <c r="H18" i="35"/>
  <c r="AB18" i="35" s="1"/>
  <c r="S18" i="35"/>
  <c r="G68" i="35"/>
  <c r="J18" i="35"/>
  <c r="AC18" i="35" s="1"/>
  <c r="F77" i="37"/>
  <c r="G77" i="37" s="1"/>
  <c r="H21" i="37"/>
  <c r="F21" i="37"/>
  <c r="AA21" i="37" s="1"/>
  <c r="F84" i="34"/>
  <c r="H21" i="34"/>
  <c r="H21" i="33"/>
  <c r="U21" i="33" s="1"/>
  <c r="F21" i="33"/>
  <c r="AA21" i="33" s="1"/>
  <c r="E83" i="21"/>
  <c r="H1" i="69"/>
  <c r="AC25" i="40"/>
  <c r="W25" i="40"/>
  <c r="U25" i="40"/>
  <c r="U29" i="39"/>
  <c r="W29" i="39"/>
  <c r="W18" i="36"/>
  <c r="AB21" i="37"/>
  <c r="U21" i="37"/>
  <c r="S21" i="37"/>
  <c r="AB21" i="34"/>
  <c r="U21" i="34"/>
  <c r="S21" i="33"/>
  <c r="U18" i="35"/>
  <c r="W18" i="35"/>
  <c r="J21" i="37"/>
  <c r="AC21" i="37" s="1"/>
  <c r="G84" i="34"/>
  <c r="J21" i="34"/>
  <c r="W21" i="34" s="1"/>
  <c r="J21" i="33"/>
  <c r="AC21" i="33" s="1"/>
  <c r="F83" i="21"/>
  <c r="G83" i="21" s="1"/>
  <c r="H21" i="21"/>
  <c r="U21" i="21" s="1"/>
  <c r="F38" i="69"/>
  <c r="E37" i="69"/>
  <c r="F36" i="69"/>
  <c r="F35" i="69"/>
  <c r="F21" i="69"/>
  <c r="F40" i="69" s="1"/>
  <c r="F20" i="69"/>
  <c r="F39" i="69" s="1"/>
  <c r="E10" i="69"/>
  <c r="E9" i="69"/>
  <c r="W21" i="37"/>
  <c r="AC21" i="34"/>
  <c r="W21" i="33"/>
  <c r="AB21" i="21"/>
  <c r="J21" i="21"/>
  <c r="AC21" i="21" s="1"/>
  <c r="F38" i="68"/>
  <c r="E37" i="68"/>
  <c r="F36" i="68"/>
  <c r="F35" i="68"/>
  <c r="F21" i="68"/>
  <c r="F40" i="68" s="1"/>
  <c r="F20" i="68"/>
  <c r="F39" i="68" s="1"/>
  <c r="E10" i="68"/>
  <c r="E9" i="68"/>
  <c r="C7" i="68"/>
  <c r="C5" i="68" s="1"/>
  <c r="Q72" i="67"/>
  <c r="Q59" i="67"/>
  <c r="Q58"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c r="J76" i="40" s="1"/>
  <c r="K76" i="40" s="1"/>
  <c r="L76" i="40" s="1"/>
  <c r="M76" i="40" s="1"/>
  <c r="B120" i="40"/>
  <c r="B118" i="40"/>
  <c r="J39" i="40"/>
  <c r="B116" i="40"/>
  <c r="D115" i="40"/>
  <c r="E115" i="40"/>
  <c r="F115" i="40" s="1"/>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c r="AC31" i="40"/>
  <c r="D100" i="40"/>
  <c r="E100" i="40" s="1"/>
  <c r="F100" i="40" s="1"/>
  <c r="G100" i="40" s="1"/>
  <c r="H100" i="40"/>
  <c r="I100" i="40" s="1"/>
  <c r="J100" i="40" s="1"/>
  <c r="K100" i="40" s="1"/>
  <c r="L100" i="40" s="1"/>
  <c r="M100" i="40" s="1"/>
  <c r="D98" i="40"/>
  <c r="J28" i="40"/>
  <c r="AC28" i="40"/>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c r="Q26" i="37"/>
  <c r="Z26" i="37" s="1"/>
  <c r="J26" i="37"/>
  <c r="AC26" i="37"/>
  <c r="H26" i="37"/>
  <c r="AB26" i="37" s="1"/>
  <c r="F26" i="37"/>
  <c r="AA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s="1"/>
  <c r="J16" i="36"/>
  <c r="W16" i="36" s="1"/>
  <c r="D62" i="36"/>
  <c r="E62" i="36"/>
  <c r="F62" i="36" s="1"/>
  <c r="G62" i="36" s="1"/>
  <c r="B59" i="36"/>
  <c r="B57" i="36"/>
  <c r="J12" i="36" s="1"/>
  <c r="W12" i="36" s="1"/>
  <c r="B55" i="36"/>
  <c r="C51" i="36"/>
  <c r="P37" i="36"/>
  <c r="P36" i="36"/>
  <c r="V35" i="36"/>
  <c r="T35" i="36"/>
  <c r="R35" i="36"/>
  <c r="P35" i="36"/>
  <c r="Q34" i="36"/>
  <c r="Z34" i="36"/>
  <c r="Q33" i="36"/>
  <c r="Z33" i="36" s="1"/>
  <c r="Q32" i="36"/>
  <c r="Z32" i="36"/>
  <c r="Q31" i="36"/>
  <c r="Z31" i="36" s="1"/>
  <c r="Q30" i="36"/>
  <c r="Z30" i="36" s="1"/>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AB39" i="21" s="1"/>
  <c r="J34" i="21"/>
  <c r="W34" i="21" s="1"/>
  <c r="H36" i="21"/>
  <c r="U36" i="21" s="1"/>
  <c r="F35" i="21"/>
  <c r="AA35" i="21" s="1"/>
  <c r="J10" i="21"/>
  <c r="AC10" i="21" s="1"/>
  <c r="H26" i="21"/>
  <c r="AB26" i="21" s="1"/>
  <c r="J19" i="21"/>
  <c r="W19" i="21" s="1"/>
  <c r="J12" i="21"/>
  <c r="AC12" i="21" s="1"/>
  <c r="H12" i="21"/>
  <c r="AB12" i="21" s="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c r="AC27" i="35"/>
  <c r="W28" i="35"/>
  <c r="U31" i="35"/>
  <c r="S34" i="35"/>
  <c r="W34" i="35"/>
  <c r="W36" i="35"/>
  <c r="W22" i="35"/>
  <c r="S31" i="35"/>
  <c r="U34" i="35"/>
  <c r="F36" i="34"/>
  <c r="J35" i="34"/>
  <c r="W9" i="34"/>
  <c r="U34" i="34"/>
  <c r="H39" i="33"/>
  <c r="AB39" i="33" s="1"/>
  <c r="F26" i="33"/>
  <c r="AA26" i="33"/>
  <c r="U33" i="33"/>
  <c r="U35" i="33"/>
  <c r="S40" i="33"/>
  <c r="W33" i="33"/>
  <c r="W39" i="33"/>
  <c r="H39" i="37"/>
  <c r="AB39" i="37"/>
  <c r="S27" i="35"/>
  <c r="F11" i="40"/>
  <c r="AA11" i="40" s="1"/>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3"/>
  <c r="AC12" i="34"/>
  <c r="AA12" i="34"/>
  <c r="AB12" i="35"/>
  <c r="AB12" i="36"/>
  <c r="W32" i="40"/>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AB33" i="35" s="1"/>
  <c r="J20" i="35"/>
  <c r="W20" i="35"/>
  <c r="F35" i="37"/>
  <c r="S35" i="37" s="1"/>
  <c r="E101" i="37"/>
  <c r="F101" i="37"/>
  <c r="G101" i="37"/>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c r="F25" i="34"/>
  <c r="S25" i="34" s="1"/>
  <c r="H23" i="34"/>
  <c r="U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c r="AB23" i="34"/>
  <c r="F23" i="34"/>
  <c r="AA23" i="34"/>
  <c r="J19" i="34"/>
  <c r="AC19" i="34"/>
  <c r="F17" i="34"/>
  <c r="AA17" i="34"/>
  <c r="J17" i="34"/>
  <c r="W17" i="34" s="1"/>
  <c r="AB17" i="34"/>
  <c r="S15"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c r="H89" i="37" s="1"/>
  <c r="I89" i="37" s="1"/>
  <c r="J89" i="37" s="1"/>
  <c r="K89" i="37" s="1"/>
  <c r="L89" i="37" s="1"/>
  <c r="M89" i="37" s="1"/>
  <c r="J29" i="37"/>
  <c r="W29" i="37"/>
  <c r="F29" i="37"/>
  <c r="S29" i="37"/>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c r="J14" i="40"/>
  <c r="W14" i="40"/>
  <c r="F14" i="40"/>
  <c r="AA14" i="40"/>
  <c r="J14" i="37"/>
  <c r="AC14" i="37"/>
  <c r="J27" i="37"/>
  <c r="AC27" i="37"/>
  <c r="AA44" i="33"/>
  <c r="AA13" i="35"/>
  <c r="U46" i="33"/>
  <c r="AA14" i="33"/>
  <c r="J36" i="37"/>
  <c r="AC36" i="37" s="1"/>
  <c r="J10" i="36"/>
  <c r="AC10" i="36" s="1"/>
  <c r="AB26" i="33"/>
  <c r="AB30" i="21"/>
  <c r="AA14" i="37"/>
  <c r="W31" i="34"/>
  <c r="AC13" i="36"/>
  <c r="AB46" i="34"/>
  <c r="AC30" i="34"/>
  <c r="AA14" i="34"/>
  <c r="S45" i="33"/>
  <c r="AB45" i="33"/>
  <c r="AB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AZ583" i="3" s="1"/>
  <c r="BA581" i="3"/>
  <c r="AZ581" i="3" s="1"/>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AZ525" i="3" s="1"/>
  <c r="BA523" i="3"/>
  <c r="BA519" i="3"/>
  <c r="BA517" i="3"/>
  <c r="AZ517" i="3" s="1"/>
  <c r="BA515" i="3"/>
  <c r="BA513" i="3"/>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AZ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BQ499" i="3"/>
  <c r="BL499" i="3"/>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s="1"/>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c r="G173" i="3"/>
  <c r="BA175" i="3"/>
  <c r="AZ175" i="3"/>
  <c r="BL176" i="3"/>
  <c r="AZ176" i="3" s="1"/>
  <c r="G177" i="3"/>
  <c r="BA179" i="3"/>
  <c r="AZ179" i="3"/>
  <c r="BL180" i="3"/>
  <c r="AZ180" i="3" s="1"/>
  <c r="G181" i="3"/>
  <c r="BA183" i="3"/>
  <c r="AZ183" i="3"/>
  <c r="BL184" i="3"/>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s="1"/>
  <c r="AZ39" i="3"/>
  <c r="AZ43" i="3"/>
  <c r="AZ51" i="3"/>
  <c r="AZ59" i="3"/>
  <c r="AZ67" i="3"/>
  <c r="AZ75" i="3"/>
  <c r="AZ79" i="3"/>
  <c r="AZ83" i="3"/>
  <c r="AZ136" i="3"/>
  <c r="AZ160"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c r="BL305" i="3"/>
  <c r="G306" i="3"/>
  <c r="G309" i="3"/>
  <c r="BL310" i="3"/>
  <c r="BA312" i="3"/>
  <c r="AZ312" i="3" s="1"/>
  <c r="BA313" i="3"/>
  <c r="AZ313" i="3" s="1"/>
  <c r="BL313" i="3"/>
  <c r="G314" i="3"/>
  <c r="G317" i="3"/>
  <c r="BL318" i="3"/>
  <c r="BA320" i="3"/>
  <c r="AZ320" i="3" s="1"/>
  <c r="BA321" i="3"/>
  <c r="AZ321" i="3"/>
  <c r="BL321" i="3"/>
  <c r="G322" i="3"/>
  <c r="G325" i="3"/>
  <c r="BL326" i="3"/>
  <c r="BA328" i="3"/>
  <c r="AZ328" i="3" s="1"/>
  <c r="BA329" i="3"/>
  <c r="BL329" i="3"/>
  <c r="AZ329" i="3"/>
  <c r="G330" i="3"/>
  <c r="G333" i="3"/>
  <c r="BL334" i="3"/>
  <c r="BA336" i="3"/>
  <c r="AZ336" i="3" s="1"/>
  <c r="BA337" i="3"/>
  <c r="AZ337" i="3"/>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c r="BA372" i="3"/>
  <c r="BL372" i="3"/>
  <c r="G373" i="3"/>
  <c r="G376" i="3"/>
  <c r="BL377" i="3"/>
  <c r="BL379" i="3"/>
  <c r="BA381" i="3"/>
  <c r="AZ381" i="3"/>
  <c r="BA382" i="3"/>
  <c r="BL382" i="3"/>
  <c r="G383" i="3"/>
  <c r="G386" i="3"/>
  <c r="BL387" i="3"/>
  <c r="BA389" i="3"/>
  <c r="AZ389" i="3" s="1"/>
  <c r="BA390" i="3"/>
  <c r="BL390" i="3"/>
  <c r="G391" i="3"/>
  <c r="G394"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BL311" i="3"/>
  <c r="AZ311" i="3" s="1"/>
  <c r="G312" i="3"/>
  <c r="BA314" i="3"/>
  <c r="AZ314" i="3"/>
  <c r="BL315" i="3"/>
  <c r="AZ315" i="3"/>
  <c r="G316" i="3"/>
  <c r="BA318" i="3"/>
  <c r="AZ318" i="3" s="1"/>
  <c r="BL319" i="3"/>
  <c r="AZ319" i="3" s="1"/>
  <c r="G320" i="3"/>
  <c r="BA322" i="3"/>
  <c r="AZ322" i="3" s="1"/>
  <c r="BL323" i="3"/>
  <c r="AZ323" i="3" s="1"/>
  <c r="G324" i="3"/>
  <c r="BA326" i="3"/>
  <c r="AZ326" i="3" s="1"/>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6" i="3"/>
  <c r="AZ360" i="3"/>
  <c r="AZ364" i="3"/>
  <c r="AZ368" i="3"/>
  <c r="BA15" i="3"/>
  <c r="AZ15" i="3"/>
  <c r="BB5" i="3"/>
  <c r="BR5" i="3"/>
  <c r="AZ380" i="3"/>
  <c r="AZ384" i="3"/>
  <c r="AZ388" i="3"/>
  <c r="AZ396" i="3"/>
  <c r="AZ394" i="3"/>
  <c r="AZ499" i="3"/>
  <c r="G509" i="3"/>
  <c r="BL493" i="3"/>
  <c r="AZ491" i="3"/>
  <c r="AZ390" i="3"/>
  <c r="AZ382" i="3"/>
  <c r="AZ493" i="3"/>
  <c r="U36" i="40"/>
  <c r="F83" i="43"/>
  <c r="H85" i="43" s="1"/>
  <c r="F50" i="43"/>
  <c r="H54" i="43" s="1"/>
  <c r="F72" i="43"/>
  <c r="H75" i="43" s="1"/>
  <c r="U17" i="39"/>
  <c r="S14" i="35"/>
  <c r="U43" i="21"/>
  <c r="U35" i="21"/>
  <c r="AC35" i="21"/>
  <c r="G8" i="1"/>
  <c r="G10" i="1"/>
  <c r="AC11" i="39"/>
  <c r="AZ501" i="3"/>
  <c r="W37" i="37"/>
  <c r="W44" i="34"/>
  <c r="AC44" i="34"/>
  <c r="S15" i="37"/>
  <c r="U13" i="37"/>
  <c r="U12" i="40"/>
  <c r="AA12" i="40"/>
  <c r="J37" i="33"/>
  <c r="W37" i="33"/>
  <c r="AC17" i="34"/>
  <c r="G106" i="33"/>
  <c r="H106" i="33" s="1"/>
  <c r="I106" i="33" s="1"/>
  <c r="J106" i="33" s="1"/>
  <c r="K106" i="33" s="1"/>
  <c r="L106" i="33" s="1"/>
  <c r="M106" i="33" s="1"/>
  <c r="J34" i="33"/>
  <c r="W34" i="33"/>
  <c r="F33" i="34"/>
  <c r="S33" i="34" s="1"/>
  <c r="AC12" i="36"/>
  <c r="H20" i="36"/>
  <c r="U20" i="36" s="1"/>
  <c r="J20" i="36"/>
  <c r="W20" i="36"/>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21" i="3"/>
  <c r="AZ29" i="3"/>
  <c r="AZ31" i="3"/>
  <c r="AZ33" i="3"/>
  <c r="AZ37" i="3"/>
  <c r="AZ61"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c r="I108" i="33"/>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A43" i="21"/>
  <c r="AA38" i="21"/>
  <c r="AC40" i="21"/>
  <c r="J15" i="21"/>
  <c r="AC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c r="F29" i="21"/>
  <c r="S29" i="21" s="1"/>
  <c r="F13" i="21"/>
  <c r="AA13" i="21"/>
  <c r="AC38" i="21"/>
  <c r="H32" i="21"/>
  <c r="U32" i="21" s="1"/>
  <c r="H9" i="21"/>
  <c r="AB9" i="21" s="1"/>
  <c r="J9" i="21"/>
  <c r="W9" i="21" s="1"/>
  <c r="J32" i="21"/>
  <c r="W32" i="21" s="1"/>
  <c r="F32" i="21"/>
  <c r="S32" i="21" s="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c r="J87" i="33" s="1"/>
  <c r="K87" i="33" s="1"/>
  <c r="L87" i="33" s="1"/>
  <c r="M87" i="33" s="1"/>
  <c r="J25" i="33"/>
  <c r="AB23" i="33"/>
  <c r="U23" i="33"/>
  <c r="F23" i="33"/>
  <c r="AA23" i="33" s="1"/>
  <c r="G85" i="33"/>
  <c r="AC23" i="33"/>
  <c r="W23" i="33"/>
  <c r="AA19" i="33"/>
  <c r="H19" i="33"/>
  <c r="G81" i="33"/>
  <c r="G79" i="33"/>
  <c r="H17" i="33"/>
  <c r="U17" i="33" s="1"/>
  <c r="F17" i="33"/>
  <c r="S17" i="33" s="1"/>
  <c r="W17" i="33"/>
  <c r="AC17" i="33"/>
  <c r="S37" i="21"/>
  <c r="J23" i="21"/>
  <c r="W23" i="21" s="1"/>
  <c r="F85" i="21"/>
  <c r="G85" i="21" s="1"/>
  <c r="H23" i="21"/>
  <c r="U23" i="21" s="1"/>
  <c r="S13" i="21"/>
  <c r="D6" i="52"/>
  <c r="AP7" i="1"/>
  <c r="AB45" i="21"/>
  <c r="AB32" i="21"/>
  <c r="U32" i="39"/>
  <c r="AC32" i="39"/>
  <c r="W32" i="39"/>
  <c r="W23" i="37"/>
  <c r="AC23" i="37"/>
  <c r="J11" i="37"/>
  <c r="AC11" i="37" s="1"/>
  <c r="H70" i="34"/>
  <c r="I70" i="34" s="1"/>
  <c r="J70" i="34" s="1"/>
  <c r="K70" i="34" s="1"/>
  <c r="L70" i="34" s="1"/>
  <c r="M70" i="34" s="1"/>
  <c r="J11" i="34"/>
  <c r="W11" i="34" s="1"/>
  <c r="AB36" i="33"/>
  <c r="W27" i="33"/>
  <c r="AC27" i="33"/>
  <c r="W25" i="33"/>
  <c r="AC25" i="33"/>
  <c r="AB19" i="33"/>
  <c r="U19" i="33"/>
  <c r="AA17" i="33"/>
  <c r="AB17" i="33"/>
  <c r="H109" i="9"/>
  <c r="M49" i="9" s="1"/>
  <c r="H112" i="9"/>
  <c r="D21" i="53"/>
  <c r="B39" i="72" s="1"/>
  <c r="H111" i="9"/>
  <c r="D126" i="9"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D6" i="73"/>
  <c r="D19" i="9"/>
  <c r="E13" i="76"/>
  <c r="M22" i="67"/>
  <c r="F37" i="67"/>
  <c r="F40" i="67"/>
  <c r="F7" i="15"/>
  <c r="M28" i="67"/>
  <c r="E7" i="76"/>
  <c r="M26" i="67"/>
  <c r="F8" i="67"/>
  <c r="AO13" i="1"/>
  <c r="M6" i="67"/>
  <c r="F6" i="67"/>
  <c r="B10" i="76"/>
  <c r="M24" i="15"/>
  <c r="F37" i="15"/>
  <c r="B8" i="76"/>
  <c r="E2" i="69"/>
  <c r="F38" i="15"/>
  <c r="F38" i="67"/>
  <c r="M9" i="67"/>
  <c r="L47" i="67"/>
  <c r="F7" i="67"/>
  <c r="E8" i="76"/>
  <c r="F7" i="73"/>
  <c r="F26" i="15"/>
  <c r="E10" i="76"/>
  <c r="F3" i="73"/>
  <c r="F36" i="67"/>
  <c r="M8" i="15"/>
  <c r="M23" i="67"/>
  <c r="J15" i="67"/>
  <c r="E2" i="68"/>
  <c r="E9" i="76"/>
  <c r="L48" i="15"/>
  <c r="M6" i="15"/>
  <c r="C76" i="15"/>
  <c r="F9" i="67"/>
  <c r="M23" i="15"/>
  <c r="C19" i="9"/>
  <c r="L47" i="15"/>
  <c r="F20" i="31"/>
  <c r="F6" i="73"/>
  <c r="F16" i="15"/>
  <c r="F4" i="73"/>
  <c r="B13" i="76"/>
  <c r="F6" i="15"/>
  <c r="E12" i="76"/>
  <c r="D20" i="9"/>
  <c r="D34" i="9"/>
  <c r="M9" i="15"/>
  <c r="F13" i="15"/>
  <c r="F43" i="15"/>
  <c r="M29" i="15"/>
  <c r="M26" i="15"/>
  <c r="B11" i="76"/>
  <c r="F36" i="15"/>
  <c r="M22" i="15"/>
  <c r="M28" i="15"/>
  <c r="J15" i="15"/>
  <c r="C20" i="9"/>
  <c r="B12" i="76"/>
  <c r="F40" i="15"/>
  <c r="F16" i="67"/>
  <c r="F8" i="15"/>
  <c r="B7" i="76"/>
  <c r="L48" i="67"/>
  <c r="F9" i="15"/>
  <c r="E11" i="76"/>
  <c r="M24" i="67"/>
  <c r="F26" i="67"/>
  <c r="F42" i="67"/>
  <c r="F42" i="15"/>
  <c r="F5" i="73"/>
  <c r="M8" i="67"/>
  <c r="B9" i="76"/>
  <c r="D35" i="9"/>
  <c r="D5" i="73"/>
  <c r="M29" i="67"/>
  <c r="J52" i="67" l="1"/>
  <c r="Q51" i="67" s="1"/>
  <c r="U9" i="21"/>
  <c r="AC9" i="21"/>
  <c r="S39" i="21"/>
  <c r="U39" i="21"/>
  <c r="S35" i="21"/>
  <c r="AB36" i="21"/>
  <c r="AA36" i="21"/>
  <c r="S34" i="21"/>
  <c r="AC34" i="21"/>
  <c r="U34" i="21"/>
  <c r="AA32" i="21"/>
  <c r="W21" i="21"/>
  <c r="W17" i="21"/>
  <c r="U17" i="21"/>
  <c r="AC23" i="21"/>
  <c r="AB23" i="21"/>
  <c r="AA23" i="21"/>
  <c r="U19" i="21"/>
  <c r="AB15" i="21"/>
  <c r="W15" i="21"/>
  <c r="C40" i="69"/>
  <c r="C40" i="68"/>
  <c r="S12" i="21"/>
  <c r="AA12" i="21"/>
  <c r="AC19" i="37"/>
  <c r="C21" i="71"/>
  <c r="D19" i="53"/>
  <c r="B38" i="72" s="1"/>
  <c r="D16" i="53"/>
  <c r="B34" i="72" s="1"/>
  <c r="S23" i="33"/>
  <c r="AA29" i="21"/>
  <c r="AZ310" i="3"/>
  <c r="AZ533" i="3"/>
  <c r="AZ541" i="3"/>
  <c r="AZ569" i="3"/>
  <c r="AZ577" i="3"/>
  <c r="AZ579" i="3"/>
  <c r="AZ379" i="3"/>
  <c r="AZ372" i="3"/>
  <c r="AZ405" i="3"/>
  <c r="AZ411" i="3"/>
  <c r="AZ414" i="3"/>
  <c r="AZ436" i="3"/>
  <c r="AZ445" i="3"/>
  <c r="AZ460" i="3"/>
  <c r="AZ462" i="3"/>
  <c r="AZ470" i="3"/>
  <c r="F29" i="6"/>
  <c r="E29" i="6" s="1"/>
  <c r="K15" i="1" s="1"/>
  <c r="S11" i="36"/>
  <c r="H25" i="37"/>
  <c r="F25" i="37"/>
  <c r="J25" i="37"/>
  <c r="H44" i="39"/>
  <c r="F44" i="39"/>
  <c r="F38" i="40"/>
  <c r="J38" i="40"/>
  <c r="H38" i="40"/>
  <c r="AZ398" i="3"/>
  <c r="AZ399" i="3"/>
  <c r="AZ409" i="3"/>
  <c r="AZ421" i="3"/>
  <c r="AZ426" i="3"/>
  <c r="AZ427" i="3"/>
  <c r="AZ453" i="3"/>
  <c r="U43" i="33"/>
  <c r="AA41" i="34"/>
  <c r="B73" i="43"/>
  <c r="B76" i="43"/>
  <c r="AZ402" i="3"/>
  <c r="AZ406" i="3"/>
  <c r="AZ419" i="3"/>
  <c r="AZ438" i="3"/>
  <c r="AZ442" i="3"/>
  <c r="AZ451" i="3"/>
  <c r="AZ476" i="3"/>
  <c r="BL467" i="3"/>
  <c r="AZ467" i="3" s="1"/>
  <c r="BL471" i="3"/>
  <c r="BA474" i="3"/>
  <c r="BA475" i="3"/>
  <c r="AZ475" i="3" s="1"/>
  <c r="BL481" i="3"/>
  <c r="BL482" i="3"/>
  <c r="G483" i="3"/>
  <c r="BL485" i="3"/>
  <c r="BL486" i="3"/>
  <c r="G487" i="3"/>
  <c r="AZ212" i="3"/>
  <c r="AZ216" i="3"/>
  <c r="AZ220" i="3"/>
  <c r="AZ226" i="3"/>
  <c r="AZ228" i="3"/>
  <c r="AZ246" i="3"/>
  <c r="AZ258" i="3"/>
  <c r="AZ260" i="3"/>
  <c r="AZ270" i="3"/>
  <c r="AZ278" i="3"/>
  <c r="AZ289" i="3"/>
  <c r="AZ300" i="3"/>
  <c r="AZ126" i="3"/>
  <c r="AZ129" i="3"/>
  <c r="AZ471" i="3"/>
  <c r="AZ485" i="3"/>
  <c r="A15" i="62"/>
  <c r="B61" i="72" s="1"/>
  <c r="G469" i="3"/>
  <c r="G473" i="3"/>
  <c r="BL473" i="3"/>
  <c r="AZ473" i="3" s="1"/>
  <c r="BL474" i="3"/>
  <c r="G475" i="3"/>
  <c r="G480" i="3"/>
  <c r="BA481" i="3"/>
  <c r="BA482" i="3"/>
  <c r="AZ482" i="3" s="1"/>
  <c r="BA483" i="3"/>
  <c r="AZ483" i="3" s="1"/>
  <c r="BA486" i="3"/>
  <c r="AZ486" i="3" s="1"/>
  <c r="G488" i="3"/>
  <c r="BA468" i="3"/>
  <c r="AZ468" i="3" s="1"/>
  <c r="BA472" i="3"/>
  <c r="AZ472" i="3" s="1"/>
  <c r="AZ477" i="3"/>
  <c r="AZ478" i="3"/>
  <c r="BA479" i="3"/>
  <c r="AZ479" i="3" s="1"/>
  <c r="AZ492" i="3"/>
  <c r="AZ221" i="3"/>
  <c r="AZ284" i="3"/>
  <c r="AZ113" i="3"/>
  <c r="BL138" i="3"/>
  <c r="AZ138" i="3" s="1"/>
  <c r="BL141" i="3"/>
  <c r="AZ141" i="3" s="1"/>
  <c r="BL142" i="3"/>
  <c r="AZ142" i="3" s="1"/>
  <c r="BA144" i="3"/>
  <c r="AZ144" i="3" s="1"/>
  <c r="AZ145" i="3"/>
  <c r="AZ23" i="3"/>
  <c r="G136" i="3"/>
  <c r="AZ18" i="3"/>
  <c r="AZ34" i="3"/>
  <c r="AZ46" i="3"/>
  <c r="BA133" i="3"/>
  <c r="AZ133" i="3" s="1"/>
  <c r="AZ193" i="3"/>
  <c r="AZ201" i="3"/>
  <c r="AZ25" i="3"/>
  <c r="AZ30" i="3"/>
  <c r="AZ48" i="3"/>
  <c r="BL40" i="3"/>
  <c r="BL5" i="3" s="1"/>
  <c r="BL47" i="3"/>
  <c r="AZ47" i="3" s="1"/>
  <c r="BL50" i="3"/>
  <c r="G51" i="3"/>
  <c r="BL52" i="3"/>
  <c r="AZ52" i="3" s="1"/>
  <c r="BL55" i="3"/>
  <c r="G56" i="3"/>
  <c r="BA66" i="3"/>
  <c r="AZ66" i="3" s="1"/>
  <c r="BA71" i="3"/>
  <c r="AZ73" i="3"/>
  <c r="BA53" i="3"/>
  <c r="AZ53" i="3" s="1"/>
  <c r="BL58" i="3"/>
  <c r="AZ58" i="3" s="1"/>
  <c r="BL63" i="3"/>
  <c r="AZ63" i="3" s="1"/>
  <c r="G39" i="3"/>
  <c r="BA45" i="3"/>
  <c r="AZ45" i="3" s="1"/>
  <c r="G49" i="3"/>
  <c r="BA50" i="3"/>
  <c r="AZ50" i="3" s="1"/>
  <c r="BA55" i="3"/>
  <c r="AZ55" i="3" s="1"/>
  <c r="AZ57" i="3"/>
  <c r="AZ62" i="3"/>
  <c r="G67" i="3"/>
  <c r="BL68" i="3"/>
  <c r="AZ68" i="3" s="1"/>
  <c r="BL71" i="3"/>
  <c r="G72" i="3"/>
  <c r="BL73" i="3"/>
  <c r="AZ76" i="3"/>
  <c r="AZ78" i="3"/>
  <c r="AZ90" i="3"/>
  <c r="AZ95" i="3"/>
  <c r="AZ103" i="3"/>
  <c r="AZ106" i="3"/>
  <c r="BA38" i="3"/>
  <c r="AZ38" i="3" s="1"/>
  <c r="BL42" i="3"/>
  <c r="AZ42" i="3" s="1"/>
  <c r="AZ104" i="3"/>
  <c r="S18" i="36"/>
  <c r="T52" i="71"/>
  <c r="D52" i="71"/>
  <c r="Q66" i="71"/>
  <c r="Q65" i="71"/>
  <c r="D79" i="71"/>
  <c r="C78" i="71"/>
  <c r="D78" i="71" s="1"/>
  <c r="AA21" i="21"/>
  <c r="S21" i="21"/>
  <c r="C21" i="68"/>
  <c r="AB21" i="33"/>
  <c r="T64" i="71"/>
  <c r="T56" i="71"/>
  <c r="D66" i="71"/>
  <c r="D51" i="71"/>
  <c r="D87" i="71"/>
  <c r="O67" i="71"/>
  <c r="AA28" i="71"/>
  <c r="AA3" i="71"/>
  <c r="AB28" i="71"/>
  <c r="C27" i="71"/>
  <c r="D80" i="71"/>
  <c r="D76" i="71"/>
  <c r="Q68" i="71"/>
  <c r="C47" i="71"/>
  <c r="D47" i="71" s="1"/>
  <c r="Y28" i="71"/>
  <c r="Z28" i="71" s="1"/>
  <c r="C34" i="71"/>
  <c r="AA30" i="71"/>
  <c r="C30" i="71"/>
  <c r="N68" i="71"/>
  <c r="B38" i="71"/>
  <c r="B39" i="71" s="1"/>
  <c r="B40" i="71" s="1"/>
  <c r="S40" i="71" s="1"/>
  <c r="E31" i="71"/>
  <c r="E32" i="71" s="1"/>
  <c r="U32" i="71" s="1"/>
  <c r="F38" i="71"/>
  <c r="F39" i="71" s="1"/>
  <c r="F40" i="71" s="1"/>
  <c r="V40" i="71" s="1"/>
  <c r="X9" i="71"/>
  <c r="X10" i="71"/>
  <c r="AA9" i="71"/>
  <c r="C43" i="71"/>
  <c r="Y25" i="71"/>
  <c r="Z25" i="71" s="1"/>
  <c r="Y27" i="71"/>
  <c r="Z27" i="71" s="1"/>
  <c r="V24" i="71"/>
  <c r="E23" i="71"/>
  <c r="E22" i="71" s="1"/>
  <c r="E21" i="71" s="1"/>
  <c r="E20" i="71" s="1"/>
  <c r="Y21" i="71"/>
  <c r="Z21" i="71" s="1"/>
  <c r="X17" i="71"/>
  <c r="AA13" i="71"/>
  <c r="Y11" i="71"/>
  <c r="Z11" i="71" s="1"/>
  <c r="AA25" i="40"/>
  <c r="AB27" i="71"/>
  <c r="AB33" i="71"/>
  <c r="X30" i="71"/>
  <c r="AA29" i="71"/>
  <c r="B28" i="71"/>
  <c r="X26" i="71"/>
  <c r="Y30" i="71"/>
  <c r="Z30" i="71" s="1"/>
  <c r="AA31" i="71"/>
  <c r="AB32" i="71"/>
  <c r="Y36" i="71"/>
  <c r="Z36" i="71" s="1"/>
  <c r="AB9" i="71"/>
  <c r="V68" i="71"/>
  <c r="T80" i="71"/>
  <c r="AA24" i="71"/>
  <c r="Y23" i="71"/>
  <c r="Z23" i="71" s="1"/>
  <c r="AB23" i="71"/>
  <c r="X22" i="71"/>
  <c r="AA18" i="71"/>
  <c r="Y17" i="71"/>
  <c r="Z17" i="71" s="1"/>
  <c r="AB17" i="71"/>
  <c r="AA12" i="71"/>
  <c r="E34" i="71"/>
  <c r="E35" i="71" s="1"/>
  <c r="E36" i="71" s="1"/>
  <c r="U36" i="71" s="1"/>
  <c r="AA33" i="71"/>
  <c r="X33" i="71"/>
  <c r="X34" i="71"/>
  <c r="Y39" i="71"/>
  <c r="Z39" i="71" s="1"/>
  <c r="Y9" i="71"/>
  <c r="Z9" i="71" s="1"/>
  <c r="Y10" i="71"/>
  <c r="Z10" i="71" s="1"/>
  <c r="AB24" i="71"/>
  <c r="AA22" i="71"/>
  <c r="AB18" i="71"/>
  <c r="AB14" i="71"/>
  <c r="C75" i="71"/>
  <c r="X27" i="71"/>
  <c r="Y26" i="71"/>
  <c r="Z26" i="71" s="1"/>
  <c r="Y37" i="71"/>
  <c r="Z37" i="71" s="1"/>
  <c r="X35" i="71"/>
  <c r="Y33" i="71"/>
  <c r="Z33" i="71" s="1"/>
  <c r="B32" i="71"/>
  <c r="S32" i="71" s="1"/>
  <c r="AB29" i="71"/>
  <c r="Y35" i="71"/>
  <c r="Z35" i="71" s="1"/>
  <c r="X36" i="71"/>
  <c r="Y38" i="71"/>
  <c r="Z38" i="71" s="1"/>
  <c r="F75" i="71"/>
  <c r="F74" i="71" s="1"/>
  <c r="X24" i="71"/>
  <c r="AB21" i="71"/>
  <c r="X21" i="71"/>
  <c r="AA21" i="71"/>
  <c r="X18" i="71"/>
  <c r="Y22" i="71"/>
  <c r="Z22" i="71" s="1"/>
  <c r="X15" i="71"/>
  <c r="AA10" i="71"/>
  <c r="Y14" i="71"/>
  <c r="Z14" i="71" s="1"/>
  <c r="AB11" i="71"/>
  <c r="X11" i="71"/>
  <c r="Y24" i="71"/>
  <c r="Z24" i="71" s="1"/>
  <c r="Y18" i="71"/>
  <c r="Z18" i="71" s="1"/>
  <c r="AA17" i="71"/>
  <c r="Y13" i="71"/>
  <c r="Z13" i="71" s="1"/>
  <c r="AB13" i="71"/>
  <c r="X13" i="71"/>
  <c r="K56" i="9"/>
  <c r="AA23" i="71"/>
  <c r="AA15" i="71"/>
  <c r="AA11" i="71"/>
  <c r="AA14" i="71"/>
  <c r="AB12" i="71"/>
  <c r="N56" i="9"/>
  <c r="AB15" i="71"/>
  <c r="Y12" i="71"/>
  <c r="Z12" i="71" s="1"/>
  <c r="AB10"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H26" i="43"/>
  <c r="F26" i="43"/>
  <c r="E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D103" i="9"/>
  <c r="C27" i="67"/>
  <c r="C27" i="15"/>
  <c r="F65" i="15"/>
  <c r="G20" i="9"/>
  <c r="C103" i="9"/>
  <c r="N59" i="67"/>
  <c r="L59" i="67"/>
  <c r="L58" i="67"/>
  <c r="M59" i="67"/>
  <c r="B13" i="70"/>
  <c r="M7" i="67"/>
  <c r="J6" i="67" s="1"/>
  <c r="F50" i="67"/>
  <c r="F68" i="67"/>
  <c r="F64" i="67"/>
  <c r="F68" i="15"/>
  <c r="C36" i="68"/>
  <c r="D9" i="69"/>
  <c r="F27" i="69"/>
  <c r="C36" i="69"/>
  <c r="D9" i="68"/>
  <c r="F13" i="67"/>
  <c r="C76" i="67"/>
  <c r="C16" i="15"/>
  <c r="D7" i="73"/>
  <c r="F43" i="67"/>
  <c r="D4" i="73"/>
  <c r="D3" i="73"/>
  <c r="G26" i="43" l="1"/>
  <c r="N94" i="46"/>
  <c r="P6" i="1"/>
  <c r="C13" i="12" s="1"/>
  <c r="K16" i="1"/>
  <c r="K1" i="73"/>
  <c r="F71" i="67"/>
  <c r="Q71" i="67"/>
  <c r="E19" i="71"/>
  <c r="E18" i="71" s="1"/>
  <c r="E17" i="71" s="1"/>
  <c r="E16" i="71" s="1"/>
  <c r="V20" i="71"/>
  <c r="C44" i="71"/>
  <c r="D43" i="71"/>
  <c r="D30" i="71"/>
  <c r="C31" i="71"/>
  <c r="C26" i="71"/>
  <c r="D26" i="71" s="1"/>
  <c r="D27" i="71"/>
  <c r="AZ71" i="3"/>
  <c r="AZ481" i="3"/>
  <c r="AA44" i="39"/>
  <c r="S44" i="39"/>
  <c r="U25" i="37"/>
  <c r="AB25" i="37"/>
  <c r="J7" i="37"/>
  <c r="AB38" i="40"/>
  <c r="U38" i="40"/>
  <c r="U44" i="39"/>
  <c r="AB44" i="39"/>
  <c r="B15" i="71"/>
  <c r="B14" i="71" s="1"/>
  <c r="B13" i="71" s="1"/>
  <c r="B12" i="71" s="1"/>
  <c r="S16" i="71"/>
  <c r="D75" i="71"/>
  <c r="C74" i="71"/>
  <c r="D74" i="71" s="1"/>
  <c r="S28" i="71"/>
  <c r="B27" i="71"/>
  <c r="B26" i="71" s="1"/>
  <c r="C35" i="71"/>
  <c r="D34" i="71"/>
  <c r="AZ40" i="3"/>
  <c r="AZ5" i="3" s="1"/>
  <c r="AC38" i="40"/>
  <c r="W38" i="40"/>
  <c r="AC25" i="37"/>
  <c r="W25" i="37"/>
  <c r="G5" i="3"/>
  <c r="B3" i="3" s="1"/>
  <c r="E473" i="3" s="1"/>
  <c r="BA5" i="3"/>
  <c r="AZ474" i="3"/>
  <c r="AA38" i="40"/>
  <c r="S38" i="40"/>
  <c r="AA25" i="37"/>
  <c r="S25" i="37"/>
  <c r="C20" i="71"/>
  <c r="D21"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C16" i="67"/>
  <c r="F41" i="67"/>
  <c r="E483" i="3" l="1"/>
  <c r="E67" i="3"/>
  <c r="E488" i="3"/>
  <c r="E469" i="3"/>
  <c r="E487" i="3"/>
  <c r="E49" i="3"/>
  <c r="B40" i="1"/>
  <c r="L36" i="43" s="1"/>
  <c r="Q36" i="43" s="1"/>
  <c r="AY6" i="3"/>
  <c r="E3" i="6"/>
  <c r="E56" i="3"/>
  <c r="E51" i="3"/>
  <c r="C19" i="71"/>
  <c r="T20" i="71"/>
  <c r="D20" i="71"/>
  <c r="U20" i="71" s="1"/>
  <c r="C36" i="71"/>
  <c r="D35" i="71"/>
  <c r="D44" i="71"/>
  <c r="T44" i="71"/>
  <c r="E65" i="39"/>
  <c r="E510"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26" i="3"/>
  <c r="E378" i="3"/>
  <c r="E446" i="3"/>
  <c r="E65" i="3"/>
  <c r="E163" i="3"/>
  <c r="E266" i="3"/>
  <c r="E354" i="3"/>
  <c r="E66" i="3"/>
  <c r="E87" i="3"/>
  <c r="E284" i="3"/>
  <c r="Y6" i="3"/>
  <c r="E19" i="3"/>
  <c r="E222" i="3"/>
  <c r="E82"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232" i="3"/>
  <c r="E251" i="3"/>
  <c r="E370" i="3"/>
  <c r="AF6" i="3"/>
  <c r="E102" i="3"/>
  <c r="E80" i="3"/>
  <c r="E113" i="3"/>
  <c r="E158" i="3"/>
  <c r="E287" i="3"/>
  <c r="E308" i="3"/>
  <c r="E22" i="3"/>
  <c r="E83" i="3"/>
  <c r="E165" i="3"/>
  <c r="E244" i="3"/>
  <c r="E149" i="3"/>
  <c r="E167" i="3"/>
  <c r="E141" i="3"/>
  <c r="E312" i="3"/>
  <c r="AD6" i="3"/>
  <c r="E542" i="3"/>
  <c r="E552" i="3"/>
  <c r="E421" i="3"/>
  <c r="E464" i="3"/>
  <c r="E398" i="3"/>
  <c r="E416" i="3"/>
  <c r="E459" i="3"/>
  <c r="E374" i="3"/>
  <c r="E566" i="3"/>
  <c r="E500" i="3"/>
  <c r="E582" i="3"/>
  <c r="E413" i="3"/>
  <c r="E460" i="3"/>
  <c r="E520" i="3"/>
  <c r="E436" i="3"/>
  <c r="E90" i="3"/>
  <c r="E57" i="3"/>
  <c r="E131" i="3"/>
  <c r="E187" i="3"/>
  <c r="E240" i="3"/>
  <c r="E297" i="3"/>
  <c r="E259" i="3"/>
  <c r="E348" i="3"/>
  <c r="E375" i="3"/>
  <c r="E504" i="3"/>
  <c r="E58" i="3"/>
  <c r="E110" i="3"/>
  <c r="E521" i="3"/>
  <c r="E47" i="3"/>
  <c r="E98" i="3"/>
  <c r="E195" i="3"/>
  <c r="E248" i="3"/>
  <c r="E386" i="3"/>
  <c r="E24" i="3"/>
  <c r="E127" i="3"/>
  <c r="E341" i="3"/>
  <c r="E154" i="3"/>
  <c r="E323" i="3"/>
  <c r="E155" i="3"/>
  <c r="E462" i="3"/>
  <c r="E138" i="3"/>
  <c r="E209" i="3"/>
  <c r="E307" i="3"/>
  <c r="E584" i="3"/>
  <c r="E48" i="3"/>
  <c r="E250" i="3"/>
  <c r="E179"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9" i="3"/>
  <c r="C32" i="71"/>
  <c r="D31" i="71"/>
  <c r="B11" i="71"/>
  <c r="B10" i="71" s="1"/>
  <c r="B9" i="71" s="1"/>
  <c r="B8" i="71" s="1"/>
  <c r="B7" i="71" s="1"/>
  <c r="B6" i="71" s="1"/>
  <c r="B5" i="71" s="1"/>
  <c r="S12" i="71"/>
  <c r="E15" i="71"/>
  <c r="E14" i="71" s="1"/>
  <c r="E13" i="71" s="1"/>
  <c r="E12" i="71" s="1"/>
  <c r="V16"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F22" i="69" l="1"/>
  <c r="F41" i="69" s="1"/>
  <c r="F22" i="11"/>
  <c r="C23" i="11" s="1"/>
  <c r="F24" i="15"/>
  <c r="C24" i="15" s="1"/>
  <c r="F24" i="67"/>
  <c r="C24" i="67" s="1"/>
  <c r="F22" i="68"/>
  <c r="C26" i="68" s="1"/>
  <c r="D22" i="68" s="1"/>
  <c r="F25" i="12"/>
  <c r="C26" i="12" s="1"/>
  <c r="D25" i="12" s="1"/>
  <c r="O36" i="43"/>
  <c r="N36" i="43"/>
  <c r="L37" i="43"/>
  <c r="P37" i="43" s="1"/>
  <c r="H6" i="3"/>
  <c r="AC6" i="3"/>
  <c r="G54" i="34"/>
  <c r="H54" i="34" s="1"/>
  <c r="M36" i="43"/>
  <c r="P36" i="43"/>
  <c r="D116" i="43"/>
  <c r="C18" i="71"/>
  <c r="D19" i="71"/>
  <c r="E11" i="71"/>
  <c r="E10" i="71" s="1"/>
  <c r="E9" i="71" s="1"/>
  <c r="E8" i="71" s="1"/>
  <c r="E7" i="71" s="1"/>
  <c r="E6" i="71" s="1"/>
  <c r="E5" i="71" s="1"/>
  <c r="V12" i="71"/>
  <c r="T32" i="71"/>
  <c r="D32" i="71"/>
  <c r="D36" i="71"/>
  <c r="T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7" i="15"/>
  <c r="C14" i="67"/>
  <c r="C44" i="11" l="1"/>
  <c r="D41" i="11" s="1"/>
  <c r="C44" i="68"/>
  <c r="D41" i="68" s="1"/>
  <c r="C44" i="69"/>
  <c r="D41" i="69" s="1"/>
  <c r="C26" i="69"/>
  <c r="D22" i="69" s="1"/>
  <c r="C26" i="11"/>
  <c r="D22" i="11" s="1"/>
  <c r="C25" i="11"/>
  <c r="C24" i="11"/>
  <c r="C23" i="68"/>
  <c r="O37" i="43"/>
  <c r="M37" i="43"/>
  <c r="Q37" i="43"/>
  <c r="N37" i="43"/>
  <c r="E6" i="3"/>
  <c r="C17" i="71"/>
  <c r="D18"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A7" i="21" l="1"/>
  <c r="R48" i="21" s="1"/>
  <c r="R49" i="21" s="1"/>
  <c r="W7" i="21"/>
  <c r="C14" i="71"/>
  <c r="D15"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F35" i="67"/>
  <c r="F35" i="15"/>
  <c r="M21" i="67"/>
  <c r="M21" i="15"/>
  <c r="E48" i="21" l="1"/>
  <c r="E53" i="21" s="1"/>
  <c r="F53" i="21"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K65" i="40"/>
  <c r="L63" i="40"/>
  <c r="I42" i="35"/>
  <c r="J42" i="35" s="1"/>
  <c r="I53" i="21" l="1"/>
  <c r="J53" i="21" s="1"/>
  <c r="D13" i="7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7"/>
  <c r="D2" i="36"/>
  <c r="D10" i="71" l="1"/>
  <c r="C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12" i="1"/>
  <c r="AO6" i="1"/>
  <c r="AO9"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81" i="9"/>
  <c r="E80" i="9"/>
  <c r="C80" i="9"/>
  <c r="C6" i="74"/>
  <c r="E97" i="9"/>
  <c r="E96" i="9"/>
  <c r="C96" i="9"/>
  <c r="D54" i="9"/>
  <c r="C68" i="9"/>
  <c r="B51" i="72"/>
  <c r="F4" i="52"/>
  <c r="B52" i="72"/>
  <c r="G4" i="52"/>
  <c r="B22" i="72"/>
  <c r="D6" i="53"/>
  <c r="B48" i="72"/>
  <c r="E4" i="52"/>
  <c r="C86" i="9"/>
  <c r="C93" i="9"/>
  <c r="B32" i="72"/>
  <c r="D14" i="53"/>
  <c r="C64" i="9"/>
  <c r="C63" i="9"/>
  <c r="C67" i="9"/>
  <c r="D59" i="9"/>
  <c r="M55" i="9"/>
  <c r="B47" i="72"/>
  <c r="D4" i="52"/>
  <c r="D52" i="9"/>
  <c r="D53" i="9"/>
  <c r="D8" i="52"/>
  <c r="D5" i="53"/>
  <c r="B20" i="72"/>
  <c r="E118" i="9"/>
  <c r="D118" i="9"/>
  <c r="D119" i="9"/>
  <c r="D5" i="52"/>
  <c r="B49" i="72"/>
  <c r="C85" i="9"/>
  <c r="C95" i="9"/>
  <c r="C97" i="9"/>
  <c r="D58" i="9"/>
  <c r="D56" i="9"/>
  <c r="M54" i="9"/>
  <c r="C104" i="9"/>
  <c r="H4" i="52"/>
  <c r="C5" i="74"/>
  <c r="C72" i="9"/>
  <c r="C79" i="9"/>
  <c r="C81" i="9"/>
  <c r="P57" i="9"/>
  <c r="N58" i="9"/>
  <c r="H119" i="9"/>
  <c r="H5" i="52"/>
  <c r="D13" i="53"/>
  <c r="B30" i="72"/>
  <c r="H108" i="9"/>
  <c r="D15" i="53"/>
  <c r="B31" i="72"/>
  <c r="I4" i="52"/>
  <c r="C105" i="9"/>
  <c r="N61" i="9"/>
  <c r="D55" i="9"/>
  <c r="M53" i="9"/>
  <c r="N57" i="9"/>
  <c r="N59" i="9"/>
  <c r="N60" i="9"/>
  <c r="D45" i="9"/>
  <c r="C78" i="9"/>
  <c r="C73" i="9"/>
  <c r="H107" i="9"/>
  <c r="D122" i="9"/>
  <c r="D123" i="9"/>
  <c r="D9" i="52"/>
  <c r="H101" i="9"/>
  <c r="M48" i="9"/>
  <c r="G118" i="9"/>
  <c r="F118" i="9"/>
  <c r="F119" i="9"/>
  <c r="F5" i="52"/>
  <c r="B53"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<sst xmlns="http://schemas.openxmlformats.org/spreadsheetml/2006/main" count="11577" uniqueCount="3998">
  <si>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</si>
  <si>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</si>
  <si>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</si>
  <si>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</si>
  <si>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</si>
  <si>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</si>
  <si>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</si>
  <si>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</si>
  <si>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</si>
  <si>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</si>
  <si>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</si>
  <si>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</si>
  <si>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</si>
  <si>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</si>
  <si>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</si>
  <si>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</si>
  <si>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</si>
  <si>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</si>
  <si>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</si>
  <si>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</si>
  <si>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</si>
  <si>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</si>
  <si>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</si>
  <si>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</si>
  <si>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</si>
  <si>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</si>
  <si>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</si>
  <si>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</si>
  <si>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</si>
  <si>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</si>
  <si>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</si>
  <si>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</si>
  <si>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</si>
  <si>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</si>
  <si>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</si>
  <si>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</si>
  <si>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</si>
  <si>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</si>
  <si>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</si>
  <si>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</si>
  <si>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</si>
  <si>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</si>
  <si>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</si>
  <si>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</si>
  <si>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</si>
  <si>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</si>
  <si>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</si>
  <si>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</si>
  <si>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</si>
  <si>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</si>
  <si>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</si>
  <si>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</si>
  <si>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</si>
  <si>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</si>
  <si>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</si>
  <si>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</si>
  <si>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</si>
  <si>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</si>
  <si>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</si>
  <si>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</si>
  <si>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</si>
  <si>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</si>
  <si>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</si>
  <si>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</si>
  <si>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</si>
  <si>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</si>
  <si>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</si>
  <si>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</si>
  <si>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</si>
  <si>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</si>
  <si>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</si>
  <si>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</si>
  <si>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</si>
  <si>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</si>
  <si>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</si>
  <si>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</si>
  <si>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</si>
  <si>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</si>
  <si>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</si>
  <si>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</si>
  <si>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</si>
  <si>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</si>
  <si>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</si>
  <si>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</si>
  <si>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</si>
  <si>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</si>
  <si>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</si>
  <si>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</si>
  <si>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</si>
  <si>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</si>
  <si>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</si>
  <si>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</si>
  <si>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</si>
  <si>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</si>
  <si>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</si>
  <si>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</si>
  <si>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</si>
  <si>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</si>
  <si>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</si>
  <si>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</si>
  <si>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</si>
  <si>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</si>
  <si>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</si>
  <si>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</si>
  <si>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</si>
  <si>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</si>
  <si>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</si>
  <si>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</si>
  <si>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</si>
  <si>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</si>
  <si>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</si>
  <si>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</si>
  <si>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</si>
  <si>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</si>
  <si>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</si>
  <si>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</si>
  <si>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</si>
  <si>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</si>
  <si>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</si>
  <si>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</si>
  <si>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</si>
  <si>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</si>
  <si>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</si>
  <si>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</si>
  <si>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</si>
  <si>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</si>
  <si>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</si>
  <si>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</si>
  <si>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</si>
  <si>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</si>
  <si>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</si>
  <si>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</si>
  <si>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</si>
  <si>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</si>
  <si>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</si>
  <si>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</si>
  <si>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</si>
  <si>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</si>
  <si>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</si>
  <si>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</si>
  <si>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</si>
  <si>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</si>
  <si>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</si>
  <si>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</si>
  <si>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</si>
  <si>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</si>
  <si>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</si>
  <si>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</si>
  <si>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</si>
  <si>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</si>
  <si>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</si>
  <si>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</si>
  <si>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</si>
  <si>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</si>
  <si>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</si>
  <si>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</si>
  <si>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</si>
  <si>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</si>
  <si>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</si>
  <si>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</si>
  <si>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</si>
  <si>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</si>
  <si>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</si>
  <si>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</si>
  <si>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</si>
  <si>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</si>
  <si>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</si>
  <si>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</si>
  <si>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</si>
  <si>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</si>
  <si>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</si>
  <si>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</si>
  <si>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</si>
  <si>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</si>
  <si>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</si>
  <si>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</si>
  <si>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</si>
  <si>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</si>
  <si>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</si>
  <si>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</si>
  <si>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</si>
  <si>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</si>
  <si>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</si>
  <si>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</si>
  <si>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</si>
  <si>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</si>
  <si>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</si>
  <si>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</si>
  <si>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</si>
  <si>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</si>
  <si>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</si>
  <si>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</si>
  <si>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</si>
  <si>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</si>
  <si>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</si>
  <si>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</si>
  <si>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</si>
  <si>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</si>
  <si>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</si>
  <si>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</si>
  <si>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</si>
  <si>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</si>
  <si>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</si>
  <si>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</si>
  <si>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</si>
  <si>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</si>
  <si>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</si>
  <si>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</si>
  <si>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</si>
  <si>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</si>
  <si>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</si>
  <si>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</si>
  <si>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</si>
  <si>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</si>
  <si>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</si>
  <si>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</si>
  <si>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</si>
  <si>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</si>
  <si>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</si>
  <si>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</si>
  <si>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</si>
  <si>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</si>
  <si>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</si>
  <si>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</si>
  <si>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</si>
  <si>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</si>
  <si>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</si>
  <si>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</si>
  <si>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</si>
  <si>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</si>
  <si>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</si>
  <si>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</si>
  <si>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</si>
  <si>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</si>
  <si>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</si>
  <si>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</si>
  <si>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</si>
  <si>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</si>
  <si>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</si>
  <si>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</si>
  <si>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</si>
  <si>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</si>
  <si>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</si>
  <si>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</si>
  <si>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</si>
  <si>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</si>
  <si>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</si>
  <si>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</si>
  <si>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</si>
  <si>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</si>
  <si>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</si>
  <si>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</si>
  <si>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</si>
  <si>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</si>
  <si>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</si>
  <si>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</si>
  <si>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</si>
  <si>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</si>
  <si>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</si>
  <si>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</si>
  <si>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</si>
  <si>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</si>
  <si>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</si>
  <si>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</si>
  <si>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</si>
  <si>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</si>
  <si>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</si>
  <si>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</si>
  <si>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</si>
  <si>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</si>
  <si>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</si>
  <si>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</si>
  <si>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</si>
  <si>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</si>
  <si>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</si>
  <si>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</si>
  <si>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</si>
  <si>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</si>
  <si>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</si>
  <si>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</si>
  <si>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</si>
  <si>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</si>
  <si>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</si>
  <si>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</si>
  <si>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</si>
  <si>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</si>
  <si>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</si>
  <si>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</si>
  <si>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</si>
  <si>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</si>
  <si>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</si>
  <si>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</si>
  <si>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</si>
  <si>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</si>
  <si>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</si>
  <si>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</si>
  <si>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</si>
  <si>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</si>
  <si>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</si>
  <si>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</si>
  <si>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</si>
  <si>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</si>
  <si>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</si>
  <si>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</si>
  <si>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</si>
  <si>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</si>
  <si>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</si>
  <si>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</si>
  <si>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</si>
  <si>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</si>
  <si>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</si>
  <si>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</si>
  <si>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</si>
  <si>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</si>
  <si>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</si>
  <si>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</si>
  <si>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</si>
  <si>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</si>
  <si>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</si>
  <si>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</si>
  <si>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</si>
  <si>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</si>
  <si>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</si>
  <si>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</si>
  <si>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</si>
  <si>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</si>
  <si>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</si>
  <si>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</si>
  <si>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</si>
  <si>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</si>
  <si>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</si>
  <si>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</si>
  <si>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</si>
  <si>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</si>
  <si>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</si>
  <si>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</si>
  <si>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</si>
  <si>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</si>
  <si>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</si>
  <si>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</si>
  <si>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</si>
  <si>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</si>
  <si>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</si>
  <si>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</si>
  <si>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</si>
  <si>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</si>
  <si>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</si>
  <si>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</si>
  <si>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</si>
  <si>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</si>
  <si>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</si>
  <si>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</si>
  <si>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</si>
  <si>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</si>
  <si>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</si>
  <si>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</si>
  <si>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</si>
  <si>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</si>
  <si>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</si>
  <si>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</si>
  <si>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</si>
  <si>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</si>
  <si>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</si>
  <si>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</si>
  <si>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</si>
  <si>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</si>
  <si>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</si>
  <si>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</si>
  <si>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</si>
  <si>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</si>
  <si>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</si>
  <si>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</si>
  <si>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</si>
  <si>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</si>
  <si>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</si>
  <si>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</si>
  <si>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</si>
  <si>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</si>
  <si>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</si>
  <si>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</si>
  <si>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</si>
  <si>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</si>
  <si>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</si>
  <si>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</si>
  <si>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</si>
  <si>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</si>
  <si>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</si>
  <si>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</si>
  <si>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</si>
  <si>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</si>
  <si>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</si>
  <si>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</si>
  <si>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</si>
  <si>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</si>
  <si>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</si>
  <si>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</si>
  <si>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</si>
  <si>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</si>
  <si>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</si>
  <si>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</si>
  <si>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</si>
  <si>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</si>
  <si>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</si>
  <si>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</si>
  <si>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</si>
  <si>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</si>
  <si>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</si>
  <si>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</si>
  <si>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</si>
  <si>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</si>
  <si>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</si>
  <si>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</si>
  <si>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</si>
  <si>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</si>
  <si>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</si>
  <si>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</si>
  <si>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</si>
  <si>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</si>
  <si>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</si>
  <si>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</si>
  <si>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</si>
  <si>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</si>
  <si>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</si>
  <si>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</si>
  <si>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</si>
  <si>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</si>
  <si>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</si>
  <si>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</si>
  <si>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</si>
  <si>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</si>
  <si>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</si>
  <si>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</si>
  <si>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</si>
  <si>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</si>
  <si>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</si>
  <si>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</si>
  <si>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</si>
  <si>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</si>
  <si>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</si>
  <si>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</si>
  <si>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</si>
  <si>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</si>
  <si>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</si>
  <si>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</si>
  <si>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</si>
  <si>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</si>
  <si>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</si>
  <si>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</si>
  <si>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</si>
  <si>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</si>
  <si>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</si>
  <si>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</si>
  <si>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</si>
  <si>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</si>
  <si>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</si>
  <si>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</si>
  <si>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</si>
  <si>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</si>
  <si>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</si>
  <si>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</si>
  <si>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</si>
  <si>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</si>
  <si>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</si>
  <si>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</si>
  <si>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</si>
  <si>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</si>
  <si>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</si>
  <si>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</si>
  <si>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</si>
  <si>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</si>
  <si>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</si>
  <si>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</si>
  <si>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</si>
  <si>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</si>
  <si>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</si>
  <si>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</si>
  <si>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</si>
  <si>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</si>
  <si>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</si>
  <si>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</si>
  <si>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</si>
  <si>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</si>
  <si>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</si>
  <si>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</si>
  <si>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</si>
  <si>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</si>
  <si>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</si>
  <si>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</si>
  <si>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</si>
  <si>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</si>
  <si>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</si>
  <si>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</si>
  <si>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</si>
  <si>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</si>
  <si>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</si>
  <si>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</si>
  <si>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</si>
  <si>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</si>
  <si>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</si>
  <si>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</si>
  <si>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</si>
  <si>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</si>
  <si>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</si>
  <si>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</si>
  <si>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</si>
  <si>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</si>
  <si>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</si>
  <si>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</si>
  <si>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</si>
  <si>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</si>
  <si>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</si>
  <si>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</si>
  <si>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</si>
  <si>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</si>
  <si>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</si>
  <si>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</si>
  <si>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</si>
  <si>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</si>
  <si>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</si>
  <si>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</si>
  <si>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</si>
  <si>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</si>
  <si>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</si>
  <si>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</si>
  <si>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</si>
  <si>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</si>
  <si>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</si>
  <si>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</si>
  <si>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</si>
  <si>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</si>
  <si>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</si>
  <si>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</si>
  <si>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</si>
  <si>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</si>
  <si>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</si>
  <si>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</si>
  <si>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</si>
  <si>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</si>
  <si>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</si>
  <si>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</si>
  <si>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</si>
  <si>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</si>
  <si>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</si>
  <si>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</si>
  <si>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</si>
  <si>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</si>
  <si>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</si>
  <si>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</si>
  <si>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</si>
  <si>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</si>
  <si>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</si>
  <si>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</si>
  <si>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</si>
  <si>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</si>
  <si>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</si>
  <si>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</si>
  <si>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</si>
  <si>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</si>
  <si>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</si>
  <si>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</si>
  <si>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</si>
  <si>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</si>
  <si>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</si>
  <si>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</si>
  <si>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</si>
  <si>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</si>
  <si>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</si>
  <si>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</si>
  <si>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</si>
  <si>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</si>
  <si>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</si>
  <si>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</si>
  <si>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</si>
  <si>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</si>
  <si>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</si>
  <si>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</si>
  <si>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</si>
  <si>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</si>
  <si>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</si>
  <si>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</si>
  <si>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</si>
  <si>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</si>
  <si>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</si>
  <si>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</si>
  <si>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</si>
  <si>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</si>
  <si>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</si>
  <si>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</si>
  <si>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</si>
  <si>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</si>
  <si>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</si>
  <si>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</si>
  <si>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</si>
  <si>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</si>
  <si>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</si>
  <si>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</si>
  <si>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</si>
  <si>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</si>
  <si>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</si>
  <si>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</si>
  <si>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</si>
  <si>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</si>
  <si>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</si>
  <si>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</si>
  <si>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</si>
  <si>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</si>
  <si>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</si>
  <si>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</si>
  <si>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</si>
  <si>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</si>
  <si>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</si>
  <si>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</si>
  <si>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</si>
  <si>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</si>
  <si>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</si>
  <si>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</si>
  <si>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</si>
  <si>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</si>
  <si>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</si>
  <si>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</si>
  <si>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</si>
  <si>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</si>
  <si>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</si>
  <si>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</si>
  <si>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</si>
  <si>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</si>
  <si>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</si>
  <si>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</si>
  <si>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</si>
  <si>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</si>
  <si>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</si>
  <si>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</si>
  <si>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</si>
  <si>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</si>
  <si>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</si>
  <si>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</si>
  <si>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</si>
  <si>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</si>
  <si>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</si>
  <si>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</si>
  <si>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</si>
  <si>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</si>
  <si>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</si>
  <si>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</si>
  <si>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</si>
  <si>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</si>
  <si>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</si>
  <si>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</si>
  <si>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</si>
  <si>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</si>
  <si>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</si>
  <si>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</si>
  <si>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</si>
  <si>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</si>
  <si>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</si>
  <si>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</si>
  <si>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</si>
  <si>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</si>
  <si>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</si>
  <si>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</si>
  <si>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</si>
  <si>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</si>
  <si>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</si>
  <si>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</si>
  <si>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</si>
  <si>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</si>
  <si>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</si>
  <si>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</si>
  <si>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</si>
  <si>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</si>
  <si>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</si>
  <si>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</si>
  <si>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</si>
  <si>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</si>
  <si>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</si>
  <si>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</si>
  <si>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</si>
  <si>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</si>
  <si>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</si>
  <si>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</si>
  <si>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</si>
  <si>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</si>
  <si>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</si>
  <si>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</si>
  <si>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</si>
  <si>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</si>
  <si>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</si>
  <si>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</si>
  <si>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</si>
  <si>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</si>
  <si>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</si>
  <si>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</si>
  <si>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</si>
  <si>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</si>
  <si>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</si>
  <si>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</si>
  <si>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</si>
  <si>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</si>
  <si>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</si>
  <si>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</si>
  <si>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</si>
  <si>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</si>
  <si>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</si>
  <si>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</si>
  <si>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</si>
  <si>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</si>
  <si>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</si>
  <si>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</si>
  <si>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</si>
  <si>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</si>
  <si>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</si>
  <si>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</si>
  <si>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</si>
  <si>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</si>
  <si>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</si>
  <si>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</si>
  <si>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</si>
  <si>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</si>
  <si>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</si>
  <si>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</si>
  <si>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</si>
  <si>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</si>
  <si>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</si>
  <si>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</si>
  <si>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</si>
  <si>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</si>
  <si>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</si>
  <si>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</si>
  <si>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</si>
  <si>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</si>
  <si>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</si>
  <si>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</si>
  <si>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</si>
  <si>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</si>
  <si>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</si>
  <si>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</si>
  <si>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</si>
  <si>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</si>
  <si>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</si>
  <si>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</si>
  <si>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</si>
  <si>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</si>
  <si>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</si>
  <si>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</si>
  <si>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</si>
  <si>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</si>
  <si>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</si>
  <si>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</si>
  <si>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</si>
  <si>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</si>
  <si>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</si>
  <si>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</si>
  <si>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</si>
  <si>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</si>
  <si>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</si>
  <si>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</si>
  <si>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</si>
  <si>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</si>
  <si>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</si>
  <si>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</si>
  <si>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</si>
  <si>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</si>
  <si>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</si>
  <si>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</si>
  <si>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</si>
  <si>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</si>
  <si>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</si>
  <si>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</si>
  <si>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</si>
  <si>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</si>
  <si>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</si>
  <si>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</si>
  <si>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</si>
  <si>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</si>
  <si>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</si>
  <si>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</si>
  <si>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</si>
  <si>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</si>
  <si>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</si>
  <si>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</si>
  <si>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</si>
  <si>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</si>
  <si>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</si>
  <si>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</si>
  <si>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</si>
  <si>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</si>
  <si>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</si>
  <si>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</si>
  <si>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</si>
  <si>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</si>
  <si>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</si>
  <si>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</si>
  <si>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</si>
  <si>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</si>
  <si>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</si>
  <si>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</si>
  <si>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</si>
  <si>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</si>
  <si>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</si>
  <si>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</si>
  <si>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</si>
  <si>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</si>
  <si>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</si>
  <si>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</si>
  <si>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</si>
  <si>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</si>
  <si>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</si>
  <si>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</si>
  <si>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</si>
  <si>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</si>
  <si>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</si>
  <si>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</si>
  <si>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</si>
  <si>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</si>
  <si>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</si>
  <si>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</si>
  <si>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</si>
  <si>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</si>
  <si>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</si>
  <si>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</si>
  <si>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</si>
  <si>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</si>
  <si>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</si>
  <si>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</si>
  <si>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</si>
  <si>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</si>
  <si>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</si>
  <si>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</si>
  <si>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</si>
  <si>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</si>
  <si>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</si>
  <si>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</si>
  <si>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</si>
  <si>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</si>
  <si>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</si>
  <si>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</si>
  <si>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</si>
  <si>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</si>
  <si>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</si>
  <si>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</si>
  <si>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</si>
  <si>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</si>
  <si>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</si>
  <si>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</si>
  <si>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</si>
  <si>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</si>
  <si>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</si>
  <si>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</si>
  <si>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</si>
  <si>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</si>
  <si>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</si>
  <si>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</si>
  <si>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</si>
  <si>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</si>
  <si>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</si>
  <si>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</si>
  <si>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</si>
  <si>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</si>
  <si>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</si>
  <si>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</si>
  <si>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</si>
  <si>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</si>
  <si>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</si>
  <si>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</si>
  <si>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</si>
  <si>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</si>
  <si>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</si>
  <si>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</si>
  <si>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</si>
  <si>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</si>
  <si>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</si>
  <si>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</si>
  <si>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</si>
  <si>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</si>
  <si>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</si>
  <si>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</si>
  <si>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</si>
  <si>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</si>
  <si>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</si>
  <si>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</si>
  <si>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</si>
  <si>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</si>
  <si>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</si>
  <si>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</si>
  <si>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</si>
  <si>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</si>
  <si>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</si>
  <si>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</si>
  <si>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</si>
  <si>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</si>
  <si>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</si>
  <si>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</si>
  <si>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</si>
  <si>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</si>
  <si>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</si>
  <si>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</si>
  <si>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</si>
  <si>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</si>
  <si>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</si>
  <si>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</si>
  <si>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</si>
  <si>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</si>
  <si>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</si>
  <si>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</si>
  <si>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</si>
  <si>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</si>
  <si>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</si>
  <si>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</si>
  <si>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</si>
  <si>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</si>
  <si>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</si>
  <si>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</si>
  <si>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</si>
  <si>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</si>
  <si>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</si>
  <si>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</si>
  <si>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</si>
  <si>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</si>
  <si>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</si>
  <si>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</si>
  <si>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</si>
  <si>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</si>
  <si>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</si>
  <si>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</si>
  <si>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</si>
  <si>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</si>
  <si>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</si>
  <si>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</si>
  <si>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</si>
  <si>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</si>
  <si>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</si>
  <si>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</si>
  <si>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</si>
  <si>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</si>
  <si>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</si>
  <si>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</si>
  <si>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</si>
  <si>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</si>
  <si>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</si>
  <si>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</si>
  <si>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</si>
  <si>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</si>
  <si>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</si>
  <si>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</si>
  <si>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</si>
  <si>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</si>
  <si>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</si>
  <si>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</si>
  <si>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</si>
  <si>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</si>
  <si>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</si>
  <si>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</si>
  <si>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</si>
  <si>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</si>
  <si>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</si>
  <si>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</si>
  <si>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</si>
  <si>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</si>
  <si>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</si>
  <si>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</si>
  <si>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</si>
  <si>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</si>
  <si>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</si>
  <si>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</si>
  <si>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</si>
  <si>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</si>
  <si>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</si>
  <si>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</si>
  <si>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</si>
  <si>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</si>
  <si>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</si>
  <si>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</si>
  <si>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</si>
  <si>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</si>
  <si>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</si>
  <si>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</si>
  <si>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</si>
  <si>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</si>
  <si>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</si>
  <si>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</si>
  <si>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</si>
  <si>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</si>
  <si>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</si>
  <si>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</si>
  <si>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</si>
  <si>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</si>
  <si>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</si>
  <si>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</si>
  <si>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</si>
  <si>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</si>
  <si>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</si>
  <si>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</si>
  <si>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</si>
  <si>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</si>
  <si>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</si>
  <si>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</si>
  <si>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</si>
  <si>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</si>
  <si>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</si>
  <si>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</si>
  <si>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</si>
  <si>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</si>
  <si>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</si>
  <si>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</si>
  <si>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</si>
  <si>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</si>
  <si>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</si>
  <si>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</si>
  <si>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</si>
  <si>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</si>
  <si>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</si>
  <si>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</si>
  <si>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</si>
  <si>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</si>
  <si>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</si>
  <si>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</si>
  <si>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</si>
  <si>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</si>
  <si>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</si>
  <si>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</si>
  <si>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</si>
  <si>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</si>
  <si>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</si>
  <si>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</si>
  <si>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</si>
  <si>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</si>
  <si>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</si>
  <si>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</si>
  <si>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</si>
  <si>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</si>
  <si>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</si>
  <si>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</si>
  <si>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</si>
  <si>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</si>
  <si>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</si>
  <si>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</si>
  <si>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</si>
  <si>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</si>
  <si>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</si>
  <si>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</si>
  <si>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</si>
  <si>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</si>
  <si>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</si>
  <si>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</si>
  <si>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</si>
  <si>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</si>
  <si>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</si>
  <si>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</si>
  <si>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</si>
  <si>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</si>
  <si>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</si>
  <si>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</si>
  <si>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</si>
  <si>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</si>
  <si>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</si>
  <si>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</si>
  <si>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</si>
  <si>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</si>
  <si>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</si>
  <si>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</si>
  <si>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</si>
  <si>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</si>
  <si>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</si>
  <si>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</si>
  <si>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</si>
  <si>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</si>
  <si>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</si>
  <si>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</si>
  <si>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</si>
  <si>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</si>
  <si>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</si>
  <si>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</si>
  <si>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</si>
  <si>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</si>
  <si>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</si>
  <si>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</si>
  <si>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</si>
  <si>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</si>
  <si>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</si>
  <si>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</si>
  <si>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</si>
  <si>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</si>
  <si>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</si>
  <si>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</si>
  <si>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</si>
  <si>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</si>
  <si>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</si>
  <si>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</si>
  <si>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</si>
  <si>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</si>
  <si>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</si>
  <si>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</si>
  <si>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</si>
  <si>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</si>
  <si>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</si>
  <si>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</si>
  <si>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</si>
  <si>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</si>
  <si>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</si>
  <si>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</si>
  <si>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</si>
  <si>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</si>
  <si>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</si>
  <si>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</si>
  <si>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</si>
  <si>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</si>
  <si>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</si>
  <si>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</si>
  <si>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</si>
  <si>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</si>
  <si>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</si>
  <si>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</si>
  <si>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</si>
  <si>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</si>
  <si>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</si>
  <si>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</si>
  <si>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</si>
  <si>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</si>
  <si>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</si>
  <si>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</si>
  <si>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</si>
  <si>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</si>
  <si>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</si>
  <si>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</si>
  <si>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</si>
  <si>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</si>
  <si>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</si>
  <si>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</si>
  <si>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</si>
  <si>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</si>
  <si>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</si>
  <si>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</si>
  <si>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</si>
  <si>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</si>
  <si>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</si>
  <si>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</si>
  <si>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</si>
  <si>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</si>
  <si>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</si>
  <si>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</si>
  <si>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</si>
  <si>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</si>
  <si>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</si>
  <si>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</si>
  <si>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</si>
  <si>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</si>
  <si>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</si>
  <si>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</si>
  <si>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</si>
  <si>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</si>
  <si>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</si>
  <si>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</si>
  <si>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</si>
  <si>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</si>
  <si>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</si>
  <si>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</si>
  <si>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</si>
  <si>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</si>
  <si>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</si>
  <si>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</si>
  <si>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</si>
  <si>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</si>
  <si>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</si>
  <si>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</si>
  <si>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</si>
  <si>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</si>
  <si>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</si>
  <si>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</si>
  <si>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</si>
  <si>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</si>
  <si>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</si>
  <si>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</si>
  <si>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</si>
  <si>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</si>
  <si>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</si>
  <si>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</si>
  <si>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</si>
  <si>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</si>
  <si>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</si>
  <si>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</si>
  <si>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</si>
  <si>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</si>
  <si>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</si>
  <si>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</si>
  <si>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</si>
  <si>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</si>
  <si>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</si>
  <si>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</si>
  <si>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</si>
  <si>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</si>
  <si>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</si>
  <si>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</si>
  <si>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</si>
  <si>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</si>
  <si>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</si>
  <si>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</si>
  <si>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</si>
  <si>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</si>
  <si>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</si>
  <si>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</si>
  <si>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</si>
  <si>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</si>
  <si>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</si>
  <si>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</si>
  <si>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</si>
  <si>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</si>
  <si>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</si>
  <si>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</si>
  <si>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</si>
  <si>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</si>
  <si>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</si>
  <si>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</si>
  <si>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</si>
  <si>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</si>
  <si>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</si>
  <si>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</si>
  <si>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</si>
  <si>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</si>
  <si>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</si>
  <si>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</si>
  <si>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</si>
  <si>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</si>
  <si>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</si>
  <si>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</si>
  <si>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</si>
  <si>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</si>
  <si>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</si>
  <si>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</si>
  <si>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</si>
  <si>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</si>
  <si>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</si>
  <si>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</si>
  <si>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</si>
  <si>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</si>
  <si>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</si>
  <si>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</si>
  <si>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</si>
  <si>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</si>
  <si>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</si>
  <si>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</si>
  <si>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</si>
  <si>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</si>
  <si>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</si>
  <si>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</si>
  <si>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</si>
  <si>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</si>
  <si>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</si>
  <si>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</si>
  <si>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</si>
  <si>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</si>
  <si>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</si>
  <si>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</si>
  <si>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</si>
  <si>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</si>
  <si>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</si>
  <si>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</si>
  <si>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</si>
  <si>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</si>
  <si>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</si>
  <si>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</si>
  <si>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</si>
  <si>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</si>
  <si>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</si>
  <si>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</si>
  <si>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</si>
  <si>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</si>
  <si>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</si>
  <si>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</si>
  <si>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</si>
  <si>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</si>
  <si>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</si>
  <si>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</si>
  <si>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</si>
  <si>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</si>
  <si>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</si>
  <si>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</si>
  <si>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</si>
  <si>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</si>
  <si>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</si>
  <si>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</si>
  <si>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</si>
  <si>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</si>
  <si>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</si>
  <si>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</si>
  <si>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</si>
  <si>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</si>
  <si>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</si>
  <si>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</si>
  <si>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</si>
  <si>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</si>
  <si>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</si>
  <si>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</si>
  <si>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</si>
  <si>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</si>
  <si>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</si>
  <si>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</si>
  <si>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</si>
  <si>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</si>
  <si>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</si>
  <si>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</si>
  <si>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</si>
  <si>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</si>
  <si>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</si>
  <si>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</si>
  <si>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</si>
  <si>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</si>
  <si>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</si>
  <si>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</si>
  <si>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</si>
  <si>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</si>
  <si>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</si>
  <si>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</si>
  <si>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</si>
  <si>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</si>
  <si>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</si>
  <si>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</si>
  <si>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</si>
  <si>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</si>
  <si>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</si>
  <si>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</si>
  <si>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</si>
  <si>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</si>
  <si>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</si>
  <si>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</si>
  <si>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</si>
  <si>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</si>
  <si>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</si>
  <si>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</si>
  <si>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</si>
  <si>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</si>
  <si>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</si>
  <si>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</si>
  <si>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</si>
  <si>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</si>
  <si>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</si>
  <si>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</si>
  <si>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</si>
  <si>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</si>
  <si>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</si>
  <si>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</si>
  <si>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</si>
  <si>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</si>
  <si>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</si>
  <si>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</si>
  <si>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</si>
  <si>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</si>
  <si>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</si>
  <si>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</si>
  <si>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</si>
  <si>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</si>
  <si>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</si>
  <si>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</si>
  <si>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</si>
  <si>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</si>
  <si>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</si>
  <si>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</si>
  <si>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</si>
  <si>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</si>
  <si>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</si>
  <si>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</si>
  <si>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</si>
  <si>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</si>
  <si>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</si>
  <si>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</si>
  <si>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</si>
  <si>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</si>
  <si>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</si>
  <si>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</si>
  <si>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</si>
  <si>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</si>
  <si>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</si>
  <si>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</si>
  <si>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</si>
  <si>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</si>
  <si>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</si>
  <si>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</si>
  <si>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</si>
  <si>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</si>
  <si>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</si>
  <si>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</si>
  <si>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</si>
  <si>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</si>
  <si>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</si>
  <si>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</si>
  <si>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</si>
  <si>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</si>
  <si>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</si>
  <si>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</si>
  <si>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</si>
  <si>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</si>
  <si>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</si>
  <si>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</si>
  <si>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</si>
  <si>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</si>
  <si>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</si>
  <si>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</si>
  <si>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</si>
  <si>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</si>
  <si>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</si>
  <si>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</si>
  <si>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</si>
  <si>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</si>
  <si>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</si>
  <si>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</si>
  <si>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</si>
  <si>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</si>
  <si>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</si>
  <si>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</si>
  <si>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</si>
  <si>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</si>
  <si>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</si>
  <si>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</si>
  <si>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</si>
  <si>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</si>
  <si>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</si>
  <si>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</si>
  <si>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</si>
  <si>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</si>
  <si>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</si>
  <si>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</si>
  <si>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</si>
  <si>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</si>
  <si>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</si>
  <si>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</si>
  <si>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</si>
  <si>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</si>
  <si>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</si>
  <si>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</si>
  <si>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</si>
  <si>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</si>
  <si>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</si>
  <si>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</si>
  <si>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</si>
  <si>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</si>
  <si>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</si>
  <si>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</si>
  <si>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</si>
  <si>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</si>
  <si>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</si>
  <si>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</si>
  <si>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</si>
  <si>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</si>
  <si>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</si>
  <si>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</si>
  <si>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</si>
  <si>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</si>
  <si>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</si>
  <si>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</si>
  <si>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</si>
  <si>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</si>
  <si>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</si>
  <si>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</si>
  <si>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</si>
  <si>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</si>
  <si>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</si>
  <si>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</si>
  <si>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</si>
  <si>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</si>
  <si>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</si>
  <si>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</si>
  <si>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</si>
  <si>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</si>
  <si>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</si>
  <si>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</si>
  <si>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</si>
  <si>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</si>
  <si>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</si>
  <si>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</si>
  <si>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</si>
  <si>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</si>
  <si>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</si>
  <si>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</si>
  <si>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</si>
  <si>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</si>
  <si>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</si>
  <si>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</si>
  <si>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</si>
  <si>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</si>
  <si>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</si>
  <si>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</si>
  <si>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</si>
  <si>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</si>
  <si>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</si>
  <si>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</si>
  <si>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</si>
  <si>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</si>
  <si>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</si>
  <si>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</si>
  <si>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</si>
  <si>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</si>
  <si>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</si>
  <si>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</si>
  <si>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</si>
  <si>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</si>
  <si>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</si>
  <si>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</si>
  <si>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</si>
  <si>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</si>
  <si>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</si>
  <si>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</si>
  <si>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</si>
  <si>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</si>
  <si>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</si>
  <si>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</si>
  <si>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</si>
  <si>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</si>
  <si>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</si>
  <si>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</si>
  <si>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</si>
  <si>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</si>
  <si>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</si>
  <si>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</si>
  <si>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</si>
  <si>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</si>
  <si>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</si>
  <si>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</si>
  <si>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</si>
  <si>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</si>
  <si>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</si>
  <si>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</si>
  <si>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</si>
  <si>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</si>
  <si>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</si>
  <si>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</si>
  <si>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</si>
  <si>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</si>
  <si>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</si>
  <si>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</si>
  <si>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</si>
  <si>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</si>
  <si>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</si>
  <si>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</si>
  <si>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</si>
  <si>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</si>
  <si>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</si>
  <si>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</si>
  <si>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</si>
  <si>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</si>
  <si>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</si>
  <si>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</si>
  <si>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</si>
  <si>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</si>
  <si>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</si>
  <si>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</si>
  <si>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</si>
  <si>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</si>
  <si>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</si>
  <si>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</si>
  <si>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</si>
  <si>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</si>
  <si>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</si>
  <si>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</si>
  <si>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</si>
  <si>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</si>
  <si>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</si>
  <si>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</si>
  <si>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</si>
  <si>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</si>
  <si>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</si>
  <si>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</si>
  <si>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</si>
  <si>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</si>
  <si>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</si>
  <si>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</si>
  <si>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</si>
  <si>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</si>
  <si>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</si>
  <si>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</si>
  <si>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</si>
  <si>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</si>
  <si>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</si>
  <si>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</si>
  <si>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</si>
  <si>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</si>
  <si>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</si>
  <si>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</si>
  <si>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</si>
  <si>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</si>
  <si>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</si>
  <si>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</si>
  <si>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</si>
  <si>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</si>
  <si>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</si>
  <si>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</si>
  <si>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</si>
  <si>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</si>
  <si>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</si>
  <si>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</si>
  <si>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</si>
  <si>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</si>
  <si>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</si>
  <si>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</si>
  <si>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</si>
  <si>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</si>
  <si>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</si>
  <si>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</si>
  <si>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</si>
  <si>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</si>
  <si>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</si>
  <si>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</si>
  <si>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</si>
  <si>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</si>
  <si>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</si>
  <si>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</si>
  <si>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</si>
  <si>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</si>
  <si>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</si>
  <si>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</si>
  <si>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</si>
  <si>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</si>
  <si>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</si>
  <si>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</si>
  <si>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</si>
  <si>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</si>
  <si>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</si>
  <si>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</si>
  <si>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</si>
  <si>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</si>
  <si>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</si>
  <si>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</si>
  <si>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</si>
  <si>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</si>
  <si>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</si>
  <si>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</si>
  <si>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</si>
  <si>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</si>
  <si>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</si>
  <si>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</si>
  <si>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</si>
  <si>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</si>
  <si>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</si>
  <si>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</si>
  <si>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</si>
  <si>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</si>
  <si>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</si>
  <si>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</si>
  <si>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</si>
  <si>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</si>
  <si>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</si>
  <si>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</si>
  <si>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</si>
  <si>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</si>
  <si>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</si>
  <si>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</si>
  <si>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</si>
  <si>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</si>
  <si>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</si>
  <si>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</si>
  <si>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</si>
  <si>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</si>
  <si>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</si>
  <si>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</si>
  <si>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</si>
  <si>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</si>
  <si>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</si>
  <si>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</si>
  <si>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</si>
  <si>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</si>
  <si>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</si>
  <si>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</si>
  <si>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</si>
  <si>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</si>
  <si>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</si>
  <si>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</si>
  <si>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</si>
  <si>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</si>
  <si>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</si>
  <si>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</si>
  <si>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</si>
  <si>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</si>
  <si>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</si>
  <si>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</si>
  <si>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</si>
  <si>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</si>
  <si>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</si>
  <si>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</si>
  <si>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</si>
  <si>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</si>
  <si>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</si>
  <si>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</si>
  <si>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</si>
  <si>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</si>
  <si>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</si>
  <si>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</si>
  <si>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</si>
  <si>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</si>
  <si>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</si>
  <si>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</si>
  <si>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</si>
  <si>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</si>
  <si>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</si>
  <si>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</si>
  <si>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</si>
  <si>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</si>
  <si>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</si>
  <si>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</si>
  <si>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</si>
  <si>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</si>
  <si>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</si>
  <si>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</si>
  <si>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</si>
  <si>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</si>
  <si>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</si>
  <si>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</si>
  <si>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</si>
  <si>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</si>
  <si>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</si>
  <si>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</si>
  <si>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</si>
  <si>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</si>
  <si>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</si>
  <si>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</si>
  <si>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</si>
  <si>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</si>
  <si>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</si>
  <si>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</si>
  <si>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</si>
  <si>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</si>
  <si>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</si>
  <si>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</si>
  <si>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</si>
  <si>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</si>
  <si>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</si>
  <si>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</si>
  <si>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</si>
  <si>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</si>
  <si>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</si>
  <si>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</si>
  <si>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</si>
  <si>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</si>
  <si>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</si>
  <si>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</si>
  <si>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</si>
  <si>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</si>
  <si>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</si>
  <si>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</si>
  <si>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</si>
  <si>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</si>
  <si>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</si>
  <si>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</si>
  <si>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</si>
  <si>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</si>
  <si>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</si>
  <si>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</si>
  <si>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</si>
  <si>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</si>
  <si>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</si>
  <si>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</si>
  <si>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</si>
  <si>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</si>
  <si>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</si>
  <si>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</si>
  <si>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</si>
  <si>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</si>
  <si>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</si>
  <si>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</si>
  <si>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</si>
  <si>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</si>
  <si>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</si>
  <si>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</si>
  <si>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</si>
  <si>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</si>
  <si>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</si>
  <si>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</si>
  <si>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</si>
  <si>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</si>
  <si>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</si>
  <si>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</si>
  <si>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</si>
  <si>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</si>
  <si>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</si>
  <si>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</si>
  <si>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</si>
  <si>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</si>
  <si>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</si>
  <si>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</si>
  <si>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</si>
  <si>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</si>
  <si>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</si>
  <si>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</si>
  <si>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</si>
  <si>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</si>
  <si>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</si>
  <si>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</si>
  <si>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</si>
  <si>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</si>
  <si>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</si>
  <si>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</si>
  <si>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</si>
  <si>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</si>
  <si>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</si>
  <si>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</si>
  <si>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</si>
  <si>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</si>
  <si>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</si>
  <si>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</si>
  <si>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</si>
  <si>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</si>
  <si>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</si>
  <si>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</si>
  <si>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</si>
  <si>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</si>
  <si>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</si>
  <si>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</si>
  <si>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</si>
  <si>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</si>
  <si>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</si>
  <si>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</si>
  <si>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</si>
  <si>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</si>
  <si>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</si>
  <si>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</si>
  <si>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</si>
  <si>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</si>
  <si>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</si>
  <si>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</si>
  <si>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</si>
  <si>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</si>
  <si>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</si>
  <si>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</si>
  <si>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</si>
  <si>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</si>
  <si>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</si>
  <si>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</si>
  <si>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</si>
  <si>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</si>
  <si>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</si>
  <si>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</si>
  <si>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</si>
  <si>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</si>
  <si>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</si>
  <si>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</si>
  <si>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</si>
  <si>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</si>
  <si>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</si>
  <si>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</si>
  <si>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</si>
  <si>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</si>
  <si>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</si>
  <si>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</si>
  <si>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</si>
  <si>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</si>
  <si>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</si>
  <si>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</si>
  <si>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</si>
  <si>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</si>
  <si>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</si>
  <si>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</si>
  <si>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</si>
  <si>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</si>
  <si>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</si>
  <si>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</si>
  <si>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</si>
  <si>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</si>
  <si>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</si>
  <si>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</si>
  <si>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</si>
  <si>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</si>
  <si>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</si>
  <si>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</si>
  <si>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</si>
  <si>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</si>
  <si>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</si>
  <si>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</si>
  <si>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</si>
  <si>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</si>
  <si>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</si>
  <si>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</si>
  <si>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</si>
  <si>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</si>
  <si>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</si>
  <si>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</si>
  <si>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</si>
  <si>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</si>
  <si>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</si>
  <si>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</si>
  <si>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</si>
  <si>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</si>
  <si>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</si>
  <si>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</si>
  <si>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</si>
  <si>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</si>
  <si>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</si>
  <si>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</si>
  <si>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</si>
  <si>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</si>
  <si>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</si>
  <si>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</si>
  <si>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</si>
  <si>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</si>
  <si>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</si>
  <si>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</si>
  <si>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</si>
  <si>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</si>
  <si>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</si>
  <si>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</si>
  <si>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</si>
  <si>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</si>
  <si>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</si>
  <si>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</si>
  <si>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</si>
  <si>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</si>
  <si>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</si>
  <si>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</si>
  <si>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</si>
  <si>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</si>
  <si>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</si>
  <si>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</si>
  <si>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</si>
  <si>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</si>
  <si>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</si>
  <si>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</si>
  <si>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</si>
  <si>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</si>
  <si>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</si>
  <si>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</si>
  <si>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</si>
  <si>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</si>
  <si>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</si>
  <si>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</si>
  <si>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</si>
  <si>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</si>
  <si>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</si>
  <si>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</si>
  <si>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</si>
  <si>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</si>
  <si>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</si>
  <si>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</si>
  <si>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</si>
  <si>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</si>
  <si>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</si>
  <si>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</si>
  <si>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</si>
  <si>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</si>
  <si>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</si>
  <si>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</si>
  <si>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</si>
  <si>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</si>
  <si>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</si>
  <si>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</si>
  <si>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</si>
  <si>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</si>
  <si>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</si>
  <si>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</si>
  <si>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</si>
  <si>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</si>
  <si>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</si>
  <si>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</si>
  <si>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</si>
  <si>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</si>
  <si>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</si>
  <si>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</si>
  <si>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</si>
  <si>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</si>
  <si>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</si>
  <si>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</si>
  <si>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</si>
  <si>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</si>
  <si>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</si>
  <si>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</si>
  <si>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</si>
  <si>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</si>
  <si>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</si>
  <si>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</si>
  <si>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</si>
  <si>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</si>
  <si>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</si>
  <si>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</si>
  <si>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</si>
  <si>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</si>
  <si>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</si>
  <si>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</si>
  <si>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</si>
  <si>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</si>
  <si>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</si>
  <si>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</si>
  <si>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</si>
  <si>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</si>
  <si>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</si>
  <si>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</si>
  <si>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</si>
  <si>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</si>
  <si>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</si>
  <si>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</si>
  <si>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</si>
  <si>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</si>
  <si>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</si>
  <si>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</si>
  <si>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</si>
  <si>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</si>
  <si>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</si>
  <si>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</si>
  <si>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</si>
  <si>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</si>
  <si>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</si>
  <si>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</si>
  <si>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</si>
  <si>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</si>
  <si>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</si>
  <si>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</si>
  <si>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</si>
  <si>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</si>
  <si>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</si>
  <si>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</si>
  <si>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</si>
  <si>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</si>
  <si>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</si>
  <si>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</si>
  <si>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</si>
  <si>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</si>
  <si>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</si>
  <si>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</si>
  <si>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</si>
  <si>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</si>
  <si>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</si>
  <si>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</si>
  <si>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</si>
  <si>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</si>
  <si>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</si>
  <si>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</si>
  <si>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</si>
  <si>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</si>
  <si>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</si>
  <si>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</si>
  <si>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</si>
  <si>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</si>
  <si>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</si>
  <si>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</si>
  <si>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</si>
  <si>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</si>
  <si>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</si>
  <si>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</si>
  <si>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</si>
  <si>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</si>
  <si>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</si>
  <si>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</si>
  <si>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</si>
  <si>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</si>
  <si>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</si>
  <si>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</si>
  <si>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</si>
  <si>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</si>
  <si>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</si>
  <si>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</si>
  <si>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</si>
  <si>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</si>
  <si>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</si>
  <si>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</si>
  <si>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</si>
  <si>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</si>
  <si>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</si>
  <si>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</si>
  <si>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</si>
  <si>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</si>
  <si>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</si>
  <si>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</si>
  <si>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</si>
  <si>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</si>
  <si>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</si>
  <si>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</si>
  <si>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</si>
  <si>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</si>
  <si>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</si>
  <si>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</si>
  <si>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</si>
  <si>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</si>
  <si>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</si>
  <si>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</si>
  <si>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</si>
  <si>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</si>
  <si>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</si>
  <si>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</si>
  <si>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</si>
  <si>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</si>
  <si>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</si>
  <si>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</si>
  <si>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</si>
  <si>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</si>
  <si>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</si>
  <si>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</si>
  <si>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</si>
  <si>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</si>
  <si>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</si>
  <si>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</si>
  <si>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</si>
  <si>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</si>
  <si>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</si>
  <si>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</si>
  <si>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</si>
  <si>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</si>
  <si>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</si>
  <si>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</si>
  <si>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</si>
  <si>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</si>
  <si>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</si>
  <si>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</si>
  <si>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</si>
  <si>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</si>
  <si>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</si>
  <si>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</si>
  <si>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</si>
  <si>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</si>
  <si>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</si>
  <si>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</si>
  <si>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</si>
  <si>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</si>
  <si>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</si>
  <si>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</si>
  <si>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</si>
  <si>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</si>
  <si>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</si>
  <si>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</si>
  <si>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</si>
  <si>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</si>
  <si>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</si>
  <si>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</si>
  <si>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</si>
  <si>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</si>
  <si>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</si>
  <si>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</si>
  <si>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</si>
  <si>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</si>
  <si>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</si>
  <si>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</si>
  <si>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</si>
  <si>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</si>
  <si>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</si>
  <si>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</si>
  <si>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</si>
  <si>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</si>
  <si>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</si>
  <si>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</si>
  <si>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</si>
  <si>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</si>
  <si>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</si>
  <si>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</si>
  <si>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</si>
  <si>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</si>
  <si>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</si>
  <si>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</si>
  <si>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</si>
  <si>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</si>
  <si>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</si>
  <si>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</si>
  <si>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</si>
  <si>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</si>
  <si>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</si>
  <si>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</si>
  <si>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</si>
  <si>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</si>
  <si>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</si>
  <si>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</si>
  <si>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</si>
  <si>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</si>
  <si>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</si>
  <si>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</si>
  <si>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</si>
  <si>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</si>
  <si>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</si>
  <si>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</si>
  <si>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</si>
  <si>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</si>
  <si>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</si>
  <si>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</si>
  <si>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</si>
  <si>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</si>
  <si>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</si>
  <si>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</si>
  <si>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</si>
  <si>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</si>
  <si>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</si>
  <si>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</si>
  <si>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</si>
  <si>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</si>
  <si>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</si>
  <si>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</si>
  <si>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</si>
  <si>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</si>
  <si>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</si>
  <si>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</si>
  <si>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</si>
  <si>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</si>
  <si>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</si>
  <si>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</si>
  <si>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</si>
  <si>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</si>
  <si>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</si>
  <si>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</si>
  <si>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</si>
  <si>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</si>
  <si>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</si>
  <si>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</si>
  <si>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</si>
  <si>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</si>
  <si>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</si>
  <si>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</si>
  <si>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</si>
  <si>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</si>
  <si>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</si>
  <si>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</si>
  <si>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</si>
  <si>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</si>
  <si>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</si>
  <si>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</si>
  <si>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</si>
  <si>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</si>
  <si>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</si>
  <si>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</si>
  <si>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</si>
  <si>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</si>
  <si>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</si>
  <si>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</si>
  <si>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</si>
  <si>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</si>
  <si>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</si>
  <si>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</si>
  <si>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</si>
  <si>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</si>
  <si>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</si>
  <si>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</si>
  <si>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</si>
  <si>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</si>
  <si>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</si>
  <si>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</si>
  <si>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</si>
  <si>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</si>
  <si>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</si>
  <si>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</si>
  <si>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</si>
  <si>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</si>
  <si>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</si>
  <si>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</si>
  <si>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</si>
  <si>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</si>
  <si>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</si>
  <si>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</si>
  <si>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</si>
  <si>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</si>
  <si>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</si>
  <si>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</si>
  <si>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</si>
  <si>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</si>
  <si>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</si>
  <si>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</si>
  <si>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</si>
  <si>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</si>
  <si>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</si>
  <si>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</si>
  <si>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</si>
  <si>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</si>
  <si>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</si>
  <si>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</si>
  <si>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</si>
  <si>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</si>
  <si>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</si>
  <si>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</si>
  <si>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</si>
  <si>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</si>
  <si>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</si>
  <si>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</si>
  <si>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</si>
  <si>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</si>
  <si>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</si>
  <si>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</si>
  <si>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</si>
  <si>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</si>
  <si>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</si>
  <si>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</si>
  <si>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</si>
  <si>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</si>
  <si>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</si>
  <si>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</si>
  <si>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</si>
  <si>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</si>
  <si>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</si>
  <si>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</si>
  <si>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</si>
  <si>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</si>
  <si>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</si>
  <si>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</si>
  <si>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</si>
  <si>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</si>
  <si>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</si>
  <si>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</si>
  <si>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</si>
  <si>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</si>
  <si>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</si>
  <si>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</si>
  <si>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</si>
  <si>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</si>
  <si>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</si>
  <si>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</si>
  <si>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</si>
  <si>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</si>
  <si>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</si>
  <si>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</si>
  <si>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</si>
  <si>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</si>
  <si>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</si>
  <si>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</si>
  <si>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</si>
  <si>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</si>
  <si>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</si>
  <si>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</si>
  <si>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</si>
  <si>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</si>
  <si>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</si>
  <si>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</si>
  <si>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</si>
  <si>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</si>
  <si>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</si>
  <si>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</si>
  <si>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</si>
  <si>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</si>
  <si>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</si>
  <si>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</si>
  <si>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</si>
  <si>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</si>
  <si>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</si>
  <si>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</si>
  <si>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</si>
  <si>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</si>
  <si>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</si>
  <si>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</si>
  <si>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</si>
  <si>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</si>
  <si>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</si>
  <si>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</si>
  <si>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</si>
  <si>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</si>
  <si>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</si>
  <si>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</si>
  <si>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</si>
  <si>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</si>
  <si>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</si>
  <si>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</si>
  <si>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</si>
  <si>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</si>
  <si>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</si>
  <si>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</si>
  <si>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</si>
  <si>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</si>
  <si>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</si>
  <si>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</si>
  <si>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</si>
  <si>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</si>
  <si>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</si>
  <si>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</si>
  <si>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</si>
  <si>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</si>
  <si>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</si>
  <si>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</si>
  <si>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</si>
  <si>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</si>
  <si>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</si>
  <si>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</si>
  <si>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</si>
  <si>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</si>
  <si>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</si>
  <si>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</si>
  <si>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</si>
  <si>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</si>
  <si>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</si>
  <si>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</si>
  <si>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</si>
  <si>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</si>
  <si>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</si>
  <si>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</si>
  <si>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</si>
  <si>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</si>
  <si>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</si>
  <si>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</si>
  <si>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</si>
  <si>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</si>
  <si>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</si>
  <si>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</si>
  <si>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</si>
  <si>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</si>
  <si>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</si>
  <si>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</si>
  <si>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</si>
  <si>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</si>
  <si>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</si>
  <si>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</si>
  <si>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</si>
  <si>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</si>
  <si>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</si>
  <si>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</si>
  <si>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</si>
  <si>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</si>
  <si>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</si>
  <si>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</si>
  <si>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</si>
  <si>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</si>
  <si>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</si>
  <si>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</si>
  <si>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</si>
  <si>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</si>
  <si>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</si>
  <si>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</si>
  <si>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</si>
  <si>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</si>
  <si>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</si>
  <si>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</si>
  <si>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</si>
  <si>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</si>
  <si>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</si>
  <si>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</si>
  <si>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</si>
  <si>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</si>
  <si>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</si>
  <si>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</si>
  <si>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</si>
  <si>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</si>
  <si>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</si>
  <si>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</si>
  <si>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</si>
  <si>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</si>
  <si>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</si>
  <si>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</si>
  <si>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</si>
  <si>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</si>
  <si>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</si>
  <si>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</si>
  <si>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</si>
  <si>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</si>
  <si>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</si>
  <si>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</si>
  <si>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</si>
  <si>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</si>
  <si>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</si>
  <si>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</si>
  <si>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</si>
  <si>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</si>
  <si>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</si>
  <si>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</si>
  <si>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</si>
  <si>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</si>
  <si>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</si>
  <si>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</si>
  <si>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</si>
  <si>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</si>
  <si>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</si>
  <si>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</si>
  <si>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</si>
  <si>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</si>
  <si>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</si>
  <si>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</si>
  <si>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</si>
  <si>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</si>
  <si>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</si>
  <si>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</si>
  <si>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</si>
  <si>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</si>
  <si>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</si>
  <si>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</si>
  <si>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</si>
  <si>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</si>
  <si>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</si>
  <si>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</si>
  <si>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</si>
  <si>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</si>
  <si>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</si>
  <si>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</si>
  <si>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</si>
  <si>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</si>
  <si>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</si>
  <si>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</si>
  <si>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</si>
  <si>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</si>
  <si>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</si>
  <si>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</si>
  <si>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</si>
  <si>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</si>
  <si>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</si>
  <si>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</si>
  <si>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</si>
  <si>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</si>
  <si>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</si>
  <si>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</si>
  <si>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</si>
  <si>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</si>
  <si>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</si>
  <si>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</si>
  <si>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</si>
  <si>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</si>
  <si>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</si>
  <si>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</si>
  <si>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</si>
  <si>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</si>
  <si>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</si>
  <si>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</si>
  <si>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</si>
  <si>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</si>
  <si>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</si>
  <si>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</si>
  <si>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</si>
  <si>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</si>
  <si>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</si>
  <si>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</si>
  <si>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</si>
  <si>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</si>
  <si>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</si>
  <si>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</si>
  <si>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</si>
  <si>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</si>
  <si>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</si>
  <si>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</si>
  <si>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</si>
  <si>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</si>
  <si>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</si>
  <si>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</si>
  <si>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</si>
  <si>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</si>
  <si>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</si>
  <si>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</si>
  <si>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</si>
  <si>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</si>
  <si>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</si>
  <si>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</si>
  <si>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</si>
  <si>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</si>
  <si>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</si>
  <si>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</si>
  <si>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</si>
  <si>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</si>
  <si>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</si>
  <si>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</si>
  <si>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</si>
  <si>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</si>
  <si>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</si>
  <si>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</si>
  <si>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</si>
  <si>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</si>
  <si>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</si>
  <si>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</si>
  <si>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</si>
  <si>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</si>
  <si>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</si>
  <si>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</si>
  <si>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</si>
  <si>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</si>
  <si>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</si>
  <si>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</si>
  <si>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</si>
  <si>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</si>
  <si>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</si>
  <si>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</si>
  <si>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</si>
  <si>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</si>
  <si>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</si>
  <si>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</si>
  <si>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</si>
  <si>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</si>
  <si>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</si>
  <si>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</si>
  <si>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</si>
  <si>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</si>
  <si>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</si>
  <si>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</si>
  <si>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</si>
  <si>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</si>
  <si>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</si>
  <si>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</si>
  <si>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</si>
  <si>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</si>
  <si>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</si>
  <si>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</si>
  <si>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</si>
  <si>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</si>
  <si>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</si>
  <si>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</si>
  <si>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</si>
  <si>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</si>
  <si>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</si>
  <si>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</si>
  <si>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</si>
  <si>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</si>
  <si>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</si>
  <si>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</si>
  <si>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</si>
  <si>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</si>
  <si>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</si>
  <si>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</si>
  <si>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</si>
  <si>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</si>
  <si>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</si>
  <si>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</si>
  <si>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</si>
  <si>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</si>
  <si>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</si>
  <si>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</si>
  <si>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</si>
  <si>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</si>
  <si>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</si>
  <si>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</si>
  <si>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</si>
  <si>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</si>
  <si>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</si>
  <si>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</si>
  <si>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</si>
  <si>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</si>
  <si>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</si>
  <si>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</si>
  <si>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</si>
  <si>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</si>
  <si>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</si>
  <si>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</si>
  <si>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</si>
  <si>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</si>
  <si>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</si>
  <si>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</si>
  <si>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</si>
  <si>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</si>
  <si>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</si>
  <si>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</si>
  <si>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</si>
  <si>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</si>
  <si>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</si>
  <si>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</si>
  <si>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</si>
  <si>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</si>
  <si>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</si>
  <si>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</si>
  <si>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</si>
  <si>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</si>
  <si>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</si>
  <si>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</si>
  <si>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</si>
  <si>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</si>
  <si>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</si>
  <si>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</si>
  <si>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</si>
  <si>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</si>
  <si>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</si>
  <si>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</si>
  <si>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</si>
  <si>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</si>
  <si>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</si>
  <si>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</si>
  <si>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</si>
  <si>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</si>
  <si>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</si>
  <si>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</si>
  <si>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</si>
  <si>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</si>
  <si>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</si>
  <si>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</si>
  <si>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</si>
  <si>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</si>
  <si>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</si>
  <si>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</si>
  <si>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</si>
  <si>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</si>
  <si>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</si>
  <si>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</si>
  <si>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</si>
  <si>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</si>
  <si>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</si>
  <si>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</si>
  <si>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</si>
  <si>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</si>
  <si>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</si>
  <si>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</si>
  <si>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</si>
  <si>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</si>
  <si>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</si>
  <si>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</si>
  <si>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</si>
  <si>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</si>
  <si>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</si>
  <si>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</si>
  <si>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</si>
  <si>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</si>
  <si>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</si>
  <si>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</si>
  <si>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</si>
  <si>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</si>
  <si>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</si>
  <si>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</si>
  <si>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</si>
  <si>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</si>
  <si>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</si>
  <si>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</si>
  <si>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</si>
  <si>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</si>
  <si>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</si>
  <si>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</si>
  <si>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</si>
  <si>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</si>
  <si>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</si>
  <si>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</si>
  <si>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</si>
  <si>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</si>
  <si>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</si>
  <si>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</si>
  <si>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</si>
  <si>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</si>
  <si>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</si>
  <si>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</si>
  <si>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</si>
  <si>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</si>
  <si>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</si>
  <si>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</si>
  <si>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</si>
  <si>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</si>
  <si>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</si>
  <si>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</si>
  <si>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</si>
  <si>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</si>
  <si>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</si>
  <si>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</si>
  <si>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</si>
  <si>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</si>
  <si>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</si>
  <si>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</si>
  <si>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</si>
  <si>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</si>
  <si>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</si>
  <si>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</si>
  <si>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</si>
  <si>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</si>
  <si>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</si>
  <si>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</si>
  <si>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</si>
  <si>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</si>
  <si>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</si>
  <si>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</si>
  <si>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</si>
  <si>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</si>
  <si>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</si>
  <si>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</si>
  <si>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</si>
  <si>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</si>
  <si>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</si>
  <si>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</si>
  <si>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</si>
  <si>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</si>
  <si>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</si>
  <si>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</si>
  <si>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</si>
  <si>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</si>
  <si>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</si>
  <si>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</si>
  <si>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</si>
  <si>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</si>
  <si>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</si>
  <si>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</si>
  <si>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</si>
  <si>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</si>
  <si>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</si>
  <si>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</si>
  <si>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</si>
  <si>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</si>
  <si>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</si>
  <si>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</si>
  <si>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</si>
  <si>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</si>
  <si>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</si>
  <si>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</si>
  <si>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</si>
  <si>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</si>
  <si>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</si>
  <si>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</si>
  <si>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</si>
  <si>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</si>
  <si>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</si>
  <si>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</si>
  <si>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</si>
  <si>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</si>
  <si>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</si>
  <si>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</si>
  <si>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</si>
  <si>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</si>
  <si>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</si>
  <si>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</si>
  <si>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</si>
  <si>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</si>
  <si>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</si>
  <si>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</si>
  <si>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</si>
  <si>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</si>
  <si>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</si>
  <si>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</si>
  <si>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</si>
  <si>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</si>
  <si>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</si>
  <si>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</si>
  <si>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</si>
  <si>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</si>
  <si>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</si>
  <si>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</si>
  <si>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</si>
  <si>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</si>
  <si>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</si>
  <si>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</si>
  <si>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</si>
  <si>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</si>
  <si>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</si>
  <si>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</si>
  <si>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</si>
  <si>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</si>
  <si>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</si>
  <si>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</si>
  <si>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</si>
  <si>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</si>
  <si>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</si>
  <si>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</si>
  <si>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</si>
  <si>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</si>
  <si>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</si>
  <si>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</si>
  <si>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</si>
  <si>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</si>
  <si>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</si>
  <si>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</si>
  <si>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</si>
  <si>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</si>
  <si>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</si>
  <si>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</si>
  <si>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</si>
  <si>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</si>
  <si>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</si>
  <si>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</si>
  <si>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</si>
  <si>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</si>
  <si>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</si>
  <si>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</si>
  <si>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</si>
  <si>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</si>
  <si>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</si>
  <si>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</si>
  <si>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</si>
  <si>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</si>
  <si>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</si>
  <si>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</si>
  <si>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</si>
  <si>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</si>
  <si>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</si>
  <si>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</si>
  <si>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</si>
  <si>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</si>
  <si>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</si>
  <si>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</si>
  <si>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</si>
  <si>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</si>
  <si>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</si>
  <si>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</si>
  <si>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</si>
  <si>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</si>
  <si>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</si>
  <si>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</si>
  <si>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</si>
  <si>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</si>
  <si>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</si>
  <si>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</si>
  <si>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</si>
  <si>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</si>
  <si>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</si>
  <si>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</si>
  <si>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</si>
  <si>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</si>
  <si>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</si>
  <si>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</si>
  <si>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</si>
  <si>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</si>
  <si>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</si>
  <si>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</si>
  <si>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</si>
  <si>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</si>
  <si>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</si>
  <si>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</si>
  <si>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</si>
  <si>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</si>
  <si>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</si>
  <si>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</si>
  <si>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</si>
  <si>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</si>
  <si>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</si>
  <si>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</si>
  <si>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</si>
  <si>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</si>
  <si>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</si>
  <si>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</si>
  <si>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</si>
  <si>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</si>
  <si>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</si>
  <si>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</si>
  <si>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</si>
  <si>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</si>
  <si>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</si>
  <si>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</si>
  <si>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</si>
  <si>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</si>
  <si>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</si>
  <si>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</si>
  <si>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</si>
  <si>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</si>
  <si>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</si>
  <si>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</si>
  <si>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</si>
  <si>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</si>
  <si>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</si>
  <si>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</si>
  <si>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</si>
  <si>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</si>
  <si>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</si>
  <si>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</si>
  <si>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</si>
  <si>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</si>
  <si>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</si>
  <si>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</si>
  <si>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</si>
  <si>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</si>
  <si>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</si>
  <si>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</si>
  <si>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</si>
  <si>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</si>
  <si>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</si>
  <si>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</si>
  <si>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</si>
  <si>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</si>
  <si>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</si>
  <si>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</si>
  <si>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</si>
  <si>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</si>
  <si>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</si>
  <si>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</si>
  <si>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</si>
  <si>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</si>
  <si>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</si>
  <si>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</si>
  <si>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</si>
  <si>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</si>
  <si>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</si>
  <si>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</si>
  <si>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</si>
  <si>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</si>
  <si>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</si>
  <si>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</si>
  <si>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</si>
  <si>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</si>
  <si>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</si>
  <si>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</si>
  <si>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</si>
  <si>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</si>
  <si>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</si>
  <si>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</si>
  <si>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</si>
  <si>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</si>
  <si>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</si>
  <si>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</si>
  <si>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</si>
  <si>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</si>
  <si>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</si>
  <si>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</si>
  <si>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</si>
  <si>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</si>
  <si>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</si>
  <si>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</si>
  <si>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</si>
  <si>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</si>
  <si>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</si>
  <si>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</si>
  <si>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</si>
  <si>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</si>
  <si>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</si>
  <si>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</si>
  <si>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</si>
  <si>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</si>
  <si>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</si>
  <si>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</si>
  <si>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</si>
  <si>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</si>
  <si>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</si>
  <si>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</si>
  <si>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</si>
  <si>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</si>
  <si>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</si>
  <si>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</si>
  <si>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</si>
  <si>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</si>
  <si>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</si>
  <si>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</si>
  <si>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</si>
  <si>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</si>
  <si>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</si>
  <si>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</si>
  <si>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</si>
  <si>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</si>
  <si>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</si>
  <si>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</si>
  <si>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</si>
  <si>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</si>
  <si>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</si>
  <si>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</si>
  <si>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</si>
  <si>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</si>
  <si>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</si>
  <si>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</si>
  <si>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</si>
  <si>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</si>
  <si>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</si>
  <si>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</si>
  <si>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</si>
  <si>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</si>
  <si>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</si>
  <si>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</si>
  <si>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</si>
  <si>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</si>
  <si>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</si>
  <si>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</si>
  <si>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</si>
  <si>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</si>
  <si>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</si>
  <si>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</si>
  <si>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</si>
  <si>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</si>
  <si>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</si>
  <si>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</si>
  <si>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</si>
  <si>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</si>
  <si>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</si>
  <si>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</si>
  <si>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</si>
  <si>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</si>
  <si>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</si>
  <si>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</si>
  <si>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</si>
  <si>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</si>
  <si>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</si>
  <si>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</si>
  <si>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</si>
  <si>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</si>
  <si>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</si>
  <si>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</si>
  <si>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</si>
  <si>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</si>
  <si>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</si>
  <si>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</si>
  <si>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</si>
  <si>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</si>
  <si>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</si>
  <si>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</si>
  <si>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</si>
  <si>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</si>
  <si>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</si>
  <si>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</si>
  <si>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</si>
  <si>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</si>
  <si>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</si>
  <si>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</si>
  <si>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</si>
  <si>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</si>
  <si>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</si>
  <si>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</si>
  <si>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</si>
  <si>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</si>
  <si>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</si>
  <si>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</si>
  <si>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</si>
  <si>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</si>
  <si>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</si>
  <si>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</si>
  <si>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</si>
  <si>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</si>
  <si>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</si>
  <si>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</si>
  <si>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</si>
  <si>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</si>
  <si>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</si>
  <si>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</si>
  <si>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</si>
  <si>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</si>
  <si>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</si>
  <si>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</si>
  <si>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</si>
  <si>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</si>
  <si>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</si>
  <si>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</si>
  <si>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</si>
  <si>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</si>
  <si>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</si>
  <si>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</si>
  <si>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</si>
  <si>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</si>
  <si>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</si>
  <si>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</si>
  <si>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</si>
  <si>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</si>
  <si>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</si>
  <si>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</si>
  <si>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</si>
  <si>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</si>
  <si>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</si>
  <si>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</si>
  <si>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</si>
  <si>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</si>
  <si>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</si>
  <si>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</si>
  <si>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</si>
  <si>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</si>
  <si>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</si>
  <si>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</si>
  <si>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</si>
  <si>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</si>
  <si>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</si>
  <si>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</si>
  <si>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</si>
  <si>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</si>
  <si>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</si>
  <si>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</si>
  <si>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</si>
  <si>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</si>
  <si>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</si>
  <si>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</si>
  <si>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</si>
  <si>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</si>
  <si>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</si>
  <si>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</si>
  <si>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</si>
  <si>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</si>
  <si>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</si>
  <si>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</si>
  <si>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</si>
  <si>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</si>
  <si>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</si>
  <si>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</si>
  <si>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</si>
  <si>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</si>
  <si>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</si>
  <si>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</si>
  <si>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</si>
  <si>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</si>
  <si>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</si>
  <si>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</si>
  <si>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</si>
  <si>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</si>
  <si>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</si>
  <si>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</si>
  <si>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</si>
  <si>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</si>
  <si>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</si>
  <si>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</si>
  <si>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</si>
  <si>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</si>
  <si>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</si>
  <si>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</si>
  <si>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</si>
  <si>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</si>
  <si>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</si>
  <si>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</si>
  <si>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</si>
  <si>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</si>
  <si>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</si>
  <si>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</si>
  <si>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</si>
  <si>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</si>
  <si>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</si>
  <si>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</si>
  <si>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</si>
  <si>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</si>
  <si>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</si>
  <si>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</si>
  <si>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</si>
  <si>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</si>
  <si>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</si>
  <si>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</si>
  <si>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</si>
  <si>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</si>
  <si>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</si>
  <si>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</si>
  <si>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</si>
  <si>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</si>
  <si>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</si>
  <si>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</si>
  <si>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</si>
  <si>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</si>
  <si>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</si>
  <si>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</si>
  <si>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</si>
  <si>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</si>
  <si>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</si>
  <si>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</si>
  <si>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</si>
  <si>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</si>
  <si>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</si>
  <si>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</si>
  <si>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</si>
  <si>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</si>
  <si>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</si>
  <si>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</si>
  <si>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</si>
  <si>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</si>
  <si>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</si>
  <si>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</si>
  <si>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</si>
  <si>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</si>
  <si>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</si>
  <si>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</si>
  <si>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</si>
  <si>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</si>
  <si>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</si>
  <si>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</si>
  <si>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</si>
  <si>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</si>
  <si>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</si>
  <si>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</si>
  <si>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</si>
  <si>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</si>
  <si>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</si>
  <si>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</si>
  <si>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</si>
  <si>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</si>
  <si>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</si>
  <si>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</si>
  <si>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</si>
  <si>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</si>
  <si>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</si>
  <si>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</si>
  <si>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</si>
  <si>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</si>
  <si>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</si>
  <si>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</si>
  <si>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</si>
  <si>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</si>
  <si>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</si>
  <si>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</si>
  <si>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</si>
  <si>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</si>
  <si>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</si>
  <si>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</si>
  <si>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</si>
  <si>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</si>
  <si>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</si>
  <si>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</si>
  <si>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</si>
  <si>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</si>
  <si>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</si>
  <si>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</si>
  <si>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</si>
  <si>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</si>
  <si>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</si>
  <si>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</si>
  <si>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</si>
  <si>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</si>
  <si>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</si>
  <si>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</si>
  <si>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</si>
  <si>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</si>
  <si>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</si>
  <si>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</si>
  <si>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</si>
  <si>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</si>
  <si>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</si>
  <si>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</si>
  <si>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</si>
  <si>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</si>
  <si>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</si>
  <si>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</si>
  <si>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</si>
  <si>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</si>
  <si>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</si>
  <si>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</si>
  <si>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</si>
  <si>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</si>
  <si>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</si>
  <si>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</si>
  <si>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</si>
  <si>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</si>
  <si>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</si>
  <si>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</si>
  <si>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</si>
  <si>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</si>
  <si>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</si>
  <si>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</si>
  <si>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</si>
  <si>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</si>
  <si>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</si>
  <si>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</si>
  <si>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</si>
  <si>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</si>
  <si>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</si>
  <si>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</si>
  <si>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</si>
  <si>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</si>
  <si>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</si>
  <si>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</si>
  <si>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</si>
  <si>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</si>
  <si>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</si>
  <si>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</si>
  <si>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</si>
  <si>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</si>
  <si>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</si>
  <si>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</si>
  <si>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</si>
  <si>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</si>
  <si>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</si>
  <si>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</si>
  <si>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</si>
  <si>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</si>
  <si>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</si>
  <si>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</si>
  <si>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</si>
  <si>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</si>
  <si>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</si>
  <si>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</si>
  <si>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</si>
  <si>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</si>
  <si>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</si>
  <si>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</si>
  <si>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</si>
  <si>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</si>
  <si>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</si>
  <si>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</si>
  <si>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</si>
  <si>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</si>
  <si>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</si>
  <si>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</si>
  <si>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</si>
  <si>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</si>
  <si>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</si>
  <si>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</si>
  <si>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</si>
  <si>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</si>
  <si>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</si>
  <si>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</si>
  <si>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</si>
  <si>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</si>
  <si>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</si>
  <si>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</si>
  <si>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</si>
  <si>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</si>
  <si>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</si>
  <si>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</si>
  <si>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</si>
  <si>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</si>
  <si>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</si>
  <si>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</si>
  <si>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</si>
  <si>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</si>
  <si>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</si>
  <si>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</si>
  <si>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</si>
  <si>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</si>
  <si>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</si>
  <si>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</si>
  <si>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</si>
  <si>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</si>
  <si>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</si>
  <si>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</si>
  <si>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</si>
  <si>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</si>
  <si>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</si>
  <si>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</si>
  <si>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</si>
  <si>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</si>
  <si>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</si>
  <si>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</si>
  <si>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</si>
  <si>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</si>
  <si>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</si>
  <si>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</si>
  <si>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</si>
  <si>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</si>
  <si>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</si>
  <si>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</si>
  <si>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</si>
  <si>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</si>
  <si>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</si>
  <si>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</si>
  <si>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</si>
  <si>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</si>
  <si>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</si>
  <si>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</si>
  <si>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</si>
  <si>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</si>
  <si>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</si>
  <si>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</si>
  <si>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</si>
  <si>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</si>
  <si>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</si>
  <si>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</si>
  <si>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</si>
  <si>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</si>
  <si>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平层住宅</t>
  </si>
  <si>
    <t>住宅</t>
    <phoneticPr fontId="7" type="noConversion"/>
  </si>
  <si>
    <t>成新度</t>
  </si>
  <si>
    <t>利息：取LPR加浮动点数</t>
  </si>
  <si>
    <t>收益法 (元)</t>
  </si>
  <si>
    <t>租金</t>
  </si>
  <si>
    <t>小区</t>
  </si>
  <si>
    <t>平米租金(元/㎡·月)</t>
  </si>
  <si>
    <t>套均租金(元/套·月)</t>
  </si>
  <si>
    <t>参考售价(元/㎡)</t>
  </si>
  <si>
    <t>租售比</t>
  </si>
  <si>
    <t>富贵园(三区)</t>
  </si>
  <si>
    <t>富贵园四区</t>
  </si>
  <si>
    <t>1:1079</t>
  </si>
  <si>
    <t>1:1117</t>
  </si>
  <si>
    <t>1:1115</t>
  </si>
  <si>
    <t>1:1134</t>
  </si>
  <si>
    <t>1:1126</t>
  </si>
  <si>
    <t>1:1112</t>
  </si>
  <si>
    <t>1:1101</t>
  </si>
  <si>
    <t>1:1154</t>
  </si>
  <si>
    <t>1:1192</t>
  </si>
  <si>
    <t>1:1223</t>
  </si>
  <si>
    <t>1:1197</t>
  </si>
  <si>
    <t>1:1165</t>
  </si>
  <si>
    <t>1:1152</t>
  </si>
  <si>
    <t>1:1151</t>
  </si>
  <si>
    <t>1:1166</t>
  </si>
  <si>
    <t>1:1100</t>
  </si>
  <si>
    <t>1:1060</t>
  </si>
  <si>
    <t>1:765</t>
  </si>
  <si>
    <t>1:888</t>
  </si>
  <si>
    <t>1:878</t>
  </si>
  <si>
    <t>1:881</t>
  </si>
  <si>
    <t>1:875</t>
  </si>
  <si>
    <t>1:1004</t>
  </si>
  <si>
    <t>1:911</t>
  </si>
  <si>
    <t>1:928</t>
  </si>
  <si>
    <t>1:940</t>
  </si>
  <si>
    <t>1:959</t>
  </si>
  <si>
    <t>1:879</t>
  </si>
  <si>
    <t>1:912</t>
  </si>
  <si>
    <t>1:924</t>
  </si>
  <si>
    <t>1:1008</t>
  </si>
  <si>
    <t>1:918</t>
  </si>
  <si>
    <t>1:919</t>
  </si>
  <si>
    <t>1:820</t>
  </si>
  <si>
    <t>1:954</t>
  </si>
  <si>
    <t>1:1044</t>
  </si>
  <si>
    <t>1:1022</t>
  </si>
  <si>
    <t>1:1080</t>
  </si>
  <si>
    <t>1:985</t>
  </si>
  <si>
    <t>1:971</t>
  </si>
  <si>
    <t>1:857</t>
  </si>
  <si>
    <t>1:966</t>
  </si>
  <si>
    <t>1:914</t>
  </si>
  <si>
    <t>1:877</t>
  </si>
  <si>
    <t>1:903</t>
  </si>
  <si>
    <t>1:961</t>
  </si>
  <si>
    <t>1:1003</t>
  </si>
  <si>
    <t>1:982</t>
  </si>
  <si>
    <t>1:964</t>
  </si>
  <si>
    <t>1:980</t>
  </si>
  <si>
    <t>1:967</t>
  </si>
  <si>
    <t>1:1010</t>
  </si>
  <si>
    <t>1:986</t>
  </si>
  <si>
    <t>1:1066</t>
  </si>
  <si>
    <t>1:642</t>
  </si>
  <si>
    <t>1:962</t>
  </si>
  <si>
    <t>富贵园二区</t>
  </si>
  <si>
    <t>1:847</t>
  </si>
  <si>
    <t>1:882</t>
  </si>
  <si>
    <t>1:950</t>
  </si>
  <si>
    <t>1:905</t>
  </si>
  <si>
    <t>1:839</t>
  </si>
  <si>
    <t>1:790</t>
  </si>
  <si>
    <t>1:945</t>
  </si>
  <si>
    <t>1:965</t>
  </si>
  <si>
    <t>1:1024</t>
  </si>
  <si>
    <t>1:1013</t>
  </si>
  <si>
    <t>1:1076</t>
  </si>
  <si>
    <t>1:1120</t>
  </si>
  <si>
    <t>1:1099</t>
  </si>
  <si>
    <t>1:810</t>
  </si>
  <si>
    <t>1:1032</t>
  </si>
  <si>
    <t>1:972</t>
  </si>
  <si>
    <t>1:1074</t>
  </si>
  <si>
    <t>1:1057</t>
  </si>
  <si>
    <t>1:1045</t>
  </si>
  <si>
    <t>1:1090</t>
  </si>
  <si>
    <t>1:895</t>
  </si>
  <si>
    <t>1:949</t>
  </si>
  <si>
    <t>1:968</t>
  </si>
  <si>
    <t>1:974</t>
  </si>
  <si>
    <t>1:900</t>
  </si>
  <si>
    <t>1:866</t>
  </si>
  <si>
    <t>1:917</t>
  </si>
  <si>
    <t>1:913</t>
  </si>
  <si>
    <t>1:906</t>
  </si>
  <si>
    <t>1:872</t>
  </si>
  <si>
    <t>1:865</t>
  </si>
  <si>
    <t>1:861</t>
  </si>
  <si>
    <t>1:823</t>
  </si>
  <si>
    <t>1:837</t>
  </si>
  <si>
    <t>1:754</t>
  </si>
  <si>
    <t>1:770</t>
  </si>
  <si>
    <t>1:763</t>
  </si>
  <si>
    <t>1:774</t>
  </si>
  <si>
    <t>1:819</t>
  </si>
  <si>
    <t>1:725</t>
  </si>
  <si>
    <t>1:805</t>
  </si>
  <si>
    <t>1:831</t>
  </si>
  <si>
    <t>1:791</t>
  </si>
  <si>
    <t>1:813</t>
  </si>
  <si>
    <t>1:803</t>
  </si>
  <si>
    <t>1:753</t>
  </si>
  <si>
    <t>1:830</t>
  </si>
  <si>
    <t>1:902</t>
  </si>
  <si>
    <t>1:1150</t>
  </si>
  <si>
    <t>1:1231</t>
  </si>
  <si>
    <t>1:890</t>
  </si>
  <si>
    <t>富贵园三区</t>
  </si>
  <si>
    <t>1:804</t>
  </si>
  <si>
    <t>1:801</t>
  </si>
  <si>
    <t>1:827</t>
  </si>
  <si>
    <t>1:832</t>
  </si>
  <si>
    <t>1:871</t>
  </si>
  <si>
    <t>1:898</t>
  </si>
  <si>
    <t>1:941</t>
  </si>
  <si>
    <t>1:1050</t>
  </si>
  <si>
    <t>1:1012</t>
  </si>
  <si>
    <t>1:991</t>
  </si>
  <si>
    <t>1:978</t>
  </si>
  <si>
    <t>1:943</t>
  </si>
  <si>
    <t>1:955</t>
  </si>
  <si>
    <t>1:933</t>
  </si>
  <si>
    <t>1:849</t>
  </si>
  <si>
    <t>1:889</t>
  </si>
  <si>
    <t>1:975</t>
  </si>
  <si>
    <t>1:958</t>
  </si>
  <si>
    <t>1:740</t>
  </si>
  <si>
    <t>1:887</t>
  </si>
  <si>
    <t>1:846</t>
  </si>
  <si>
    <t>1:850</t>
  </si>
  <si>
    <t>1:851</t>
  </si>
  <si>
    <t>1:873</t>
  </si>
  <si>
    <t>1:925</t>
  </si>
  <si>
    <t>1:1001</t>
  </si>
  <si>
    <t>1:927</t>
  </si>
  <si>
    <t>1:969</t>
  </si>
  <si>
    <t>1:886</t>
  </si>
  <si>
    <t>1:947</t>
  </si>
  <si>
    <t>1:951</t>
  </si>
  <si>
    <t>1:979</t>
  </si>
  <si>
    <t>1:842</t>
  </si>
  <si>
    <t>1:835</t>
  </si>
  <si>
    <t>1:828</t>
  </si>
  <si>
    <t>1:788</t>
  </si>
  <si>
    <t>1:812</t>
  </si>
  <si>
    <t>富贵园一区</t>
  </si>
  <si>
    <t>1:1037</t>
  </si>
  <si>
    <t>1:1035</t>
  </si>
  <si>
    <t>1:1064</t>
  </si>
  <si>
    <t>1:1047</t>
  </si>
  <si>
    <t>1:1018</t>
  </si>
  <si>
    <t>1:929</t>
  </si>
  <si>
    <t>1:990</t>
  </si>
  <si>
    <t>1:884</t>
  </si>
  <si>
    <t>1:946</t>
  </si>
  <si>
    <t>1:855</t>
  </si>
  <si>
    <t>1:909</t>
  </si>
  <si>
    <t>1:1039</t>
  </si>
  <si>
    <t>1:1025</t>
  </si>
  <si>
    <t>1:1089</t>
  </si>
  <si>
    <t>1:1056</t>
  </si>
  <si>
    <t>1:1196</t>
  </si>
  <si>
    <t>1:1367</t>
  </si>
  <si>
    <t>1:1194</t>
  </si>
  <si>
    <t>1:1388</t>
  </si>
  <si>
    <t>1:996</t>
  </si>
  <si>
    <t>1:976</t>
  </si>
  <si>
    <t>1:1118</t>
  </si>
  <si>
    <t>1:1138</t>
  </si>
  <si>
    <t>1:1094</t>
  </si>
  <si>
    <t>1:1092</t>
  </si>
  <si>
    <t>1:1070</t>
  </si>
  <si>
    <t>1:1041</t>
  </si>
  <si>
    <t>1:1111</t>
  </si>
  <si>
    <t>1:1065</t>
  </si>
  <si>
    <t>1:1062</t>
  </si>
  <si>
    <t>1:1110</t>
  </si>
  <si>
    <t>1:1055</t>
  </si>
  <si>
    <t>1:1085</t>
  </si>
  <si>
    <t>1:1087</t>
  </si>
  <si>
    <t>1:1083</t>
  </si>
  <si>
    <t>1:1033</t>
  </si>
  <si>
    <t>1:1046</t>
  </si>
  <si>
    <t>1:1072</t>
  </si>
  <si>
    <t>1:1073</t>
  </si>
  <si>
    <t>1:970</t>
  </si>
  <si>
    <t>1:944</t>
  </si>
  <si>
    <t>1:1061</t>
  </si>
  <si>
    <t>1:1069</t>
  </si>
  <si>
    <t>1:1177</t>
  </si>
  <si>
    <t>板块</t>
  </si>
  <si>
    <t>东花市</t>
  </si>
  <si>
    <t>1:901</t>
  </si>
  <si>
    <t>1:934</t>
  </si>
  <si>
    <t>1:848</t>
  </si>
  <si>
    <t>1:868</t>
  </si>
  <si>
    <t>1:853</t>
  </si>
  <si>
    <t>1:867</t>
  </si>
  <si>
    <t>1:856</t>
  </si>
  <si>
    <t>1:854</t>
  </si>
  <si>
    <t>1:844</t>
  </si>
  <si>
    <t>1:852</t>
  </si>
  <si>
    <t>1:896</t>
  </si>
  <si>
    <t>1:897</t>
  </si>
  <si>
    <t>1:956</t>
  </si>
  <si>
    <t>1:915</t>
  </si>
  <si>
    <t>1:957</t>
  </si>
  <si>
    <t>1:938</t>
  </si>
  <si>
    <t>1:939</t>
  </si>
  <si>
    <t>1:921</t>
  </si>
  <si>
    <t>1:907</t>
  </si>
  <si>
    <t>1:908</t>
  </si>
  <si>
    <t>1:899</t>
  </si>
  <si>
    <t>1:883</t>
  </si>
  <si>
    <t>1:891</t>
  </si>
  <si>
    <t>1:1015</t>
  </si>
  <si>
    <t>1:983</t>
  </si>
  <si>
    <t>1:973</t>
  </si>
  <si>
    <t>区县</t>
  </si>
  <si>
    <t>东城区</t>
  </si>
  <si>
    <t>1:793</t>
  </si>
  <si>
    <t>1:792</t>
  </si>
  <si>
    <t>1:799</t>
  </si>
  <si>
    <t>1:808</t>
  </si>
  <si>
    <t>1:796</t>
  </si>
  <si>
    <t>1:795</t>
  </si>
  <si>
    <t>1:794</t>
  </si>
  <si>
    <t>1:789</t>
  </si>
  <si>
    <t>1:761</t>
  </si>
  <si>
    <t>1:741</t>
  </si>
  <si>
    <t>1:727</t>
  </si>
  <si>
    <t>1:742</t>
  </si>
  <si>
    <t>1:735</t>
  </si>
  <si>
    <t>1:739</t>
  </si>
  <si>
    <t>1:737</t>
  </si>
  <si>
    <t>1:732</t>
  </si>
  <si>
    <t>1:723</t>
  </si>
  <si>
    <t>1:709</t>
  </si>
  <si>
    <t>1:700</t>
  </si>
  <si>
    <t>1:874</t>
  </si>
  <si>
    <t>1:667</t>
  </si>
  <si>
    <t>1:695</t>
  </si>
  <si>
    <t>1:702</t>
  </si>
  <si>
    <t>1:730</t>
  </si>
  <si>
    <t>1:756</t>
  </si>
  <si>
    <t>1:749</t>
  </si>
  <si>
    <t>1:787</t>
  </si>
  <si>
    <t>1:768</t>
  </si>
  <si>
    <t>1:760</t>
  </si>
  <si>
    <t>1:779</t>
  </si>
  <si>
    <t>1:781</t>
  </si>
  <si>
    <t>1:777</t>
  </si>
  <si>
    <t>1:687</t>
  </si>
  <si>
    <t>1:744</t>
  </si>
  <si>
    <t>1:751</t>
  </si>
  <si>
    <t>1:786</t>
  </si>
  <si>
    <t>1:818</t>
  </si>
  <si>
    <t>1:748</t>
  </si>
  <si>
    <t>1:755</t>
  </si>
  <si>
    <t>1:771</t>
  </si>
  <si>
    <t>1:782</t>
  </si>
  <si>
    <t>1:817</t>
  </si>
  <si>
    <t>1:858</t>
  </si>
  <si>
    <t>1:766</t>
  </si>
  <si>
    <t>1:860</t>
  </si>
  <si>
    <t>1:1027</t>
  </si>
  <si>
    <t>二区</t>
    <phoneticPr fontId="134" type="noConversion"/>
  </si>
  <si>
    <t>三区</t>
    <phoneticPr fontId="134" type="noConversion"/>
  </si>
  <si>
    <t>一区</t>
    <phoneticPr fontId="134" type="noConversion"/>
  </si>
  <si>
    <t>2024年平均</t>
    <phoneticPr fontId="134" type="noConversion"/>
  </si>
  <si>
    <t>2023年平均</t>
    <phoneticPr fontId="134" type="noConversion"/>
  </si>
  <si>
    <t>2022年平均</t>
    <phoneticPr fontId="134" type="noConversion"/>
  </si>
  <si>
    <t>2021年平均</t>
  </si>
  <si>
    <t>2020年平均</t>
  </si>
  <si>
    <t>2019年平均</t>
  </si>
  <si>
    <t>2018年平均</t>
  </si>
  <si>
    <t>富贵园二区</t>
    <phoneticPr fontId="3" type="noConversion"/>
  </si>
  <si>
    <t>富贵园四区</t>
    <phoneticPr fontId="3" type="noConversion"/>
  </si>
  <si>
    <t>富贵园三区</t>
    <phoneticPr fontId="3" type="noConversion"/>
  </si>
  <si>
    <t>较好</t>
  </si>
  <si>
    <t>七通</t>
  </si>
  <si>
    <t>塔楼</t>
  </si>
  <si>
    <t>塔楼</t>
    <phoneticPr fontId="24" type="noConversion"/>
  </si>
  <si>
    <t>钢混</t>
  </si>
  <si>
    <t>钢混</t>
    <phoneticPr fontId="24" type="noConversion"/>
  </si>
  <si>
    <t>精装修</t>
    <phoneticPr fontId="24" type="noConversion"/>
  </si>
  <si>
    <t>普通装修</t>
  </si>
  <si>
    <t>普通装修</t>
    <phoneticPr fontId="24" type="noConversion"/>
  </si>
  <si>
    <t>六通</t>
  </si>
  <si>
    <t>五通</t>
  </si>
  <si>
    <t>四通</t>
  </si>
  <si>
    <t>三通</t>
  </si>
  <si>
    <t>正常</t>
  </si>
  <si>
    <t>住宅</t>
    <phoneticPr fontId="24" type="noConversion"/>
  </si>
  <si>
    <t>押一</t>
  </si>
  <si>
    <t>非生产用房</t>
  </si>
  <si>
    <t>否</t>
  </si>
  <si>
    <t>顺义区</t>
  </si>
  <si>
    <t>1:681</t>
  </si>
  <si>
    <t>1:684</t>
  </si>
  <si>
    <t>1:685</t>
  </si>
  <si>
    <t>1:690</t>
  </si>
  <si>
    <t>1:693</t>
  </si>
  <si>
    <t>1:697</t>
  </si>
  <si>
    <t>1:691</t>
  </si>
  <si>
    <t>1:679</t>
  </si>
  <si>
    <t>1:678</t>
  </si>
  <si>
    <t>1:683</t>
  </si>
  <si>
    <t>1:703</t>
  </si>
  <si>
    <t>1:714</t>
  </si>
  <si>
    <t>1:707</t>
  </si>
  <si>
    <t>1:688</t>
  </si>
  <si>
    <t>1:694</t>
  </si>
  <si>
    <t>1:698</t>
  </si>
  <si>
    <t>1:699</t>
  </si>
  <si>
    <t>1:676</t>
  </si>
  <si>
    <t>1:682</t>
  </si>
  <si>
    <t>1:680</t>
  </si>
  <si>
    <t>1:670</t>
  </si>
  <si>
    <t>1:656</t>
  </si>
  <si>
    <t>1:654</t>
  </si>
  <si>
    <t>1:675</t>
  </si>
  <si>
    <t>1:736</t>
  </si>
  <si>
    <t>1:729</t>
  </si>
  <si>
    <t>1:752</t>
  </si>
  <si>
    <t>1:734</t>
  </si>
  <si>
    <t>1:718</t>
  </si>
  <si>
    <t>1:733</t>
  </si>
  <si>
    <t>1:743</t>
  </si>
  <si>
    <t>1:726</t>
  </si>
  <si>
    <t>1:780</t>
  </si>
  <si>
    <t>1:772</t>
  </si>
  <si>
    <t>1:764</t>
  </si>
  <si>
    <t>1:759</t>
  </si>
  <si>
    <t>1:769</t>
  </si>
  <si>
    <t>1:778</t>
  </si>
  <si>
    <t>1:595</t>
  </si>
  <si>
    <t>1:636</t>
  </si>
  <si>
    <t>1:1026</t>
  </si>
  <si>
    <t>朝阳区</t>
  </si>
  <si>
    <t>1:643</t>
  </si>
  <si>
    <t>1:649</t>
  </si>
  <si>
    <t>1:648</t>
  </si>
  <si>
    <t>1:657</t>
  </si>
  <si>
    <t>1:655</t>
  </si>
  <si>
    <t>1:653</t>
  </si>
  <si>
    <t>1:650</t>
  </si>
  <si>
    <t>1:651</t>
  </si>
  <si>
    <t>1:661</t>
  </si>
  <si>
    <t>1:668</t>
  </si>
  <si>
    <t>1:659</t>
  </si>
  <si>
    <t>1:662</t>
  </si>
  <si>
    <t>1:666</t>
  </si>
  <si>
    <t>1:663</t>
  </si>
  <si>
    <t>1:660</t>
  </si>
  <si>
    <t>1:647</t>
  </si>
  <si>
    <t>1:652</t>
  </si>
  <si>
    <t>1:634</t>
  </si>
  <si>
    <t>1:622</t>
  </si>
  <si>
    <t>1:614</t>
  </si>
  <si>
    <t>1:575</t>
  </si>
  <si>
    <t>1:584</t>
  </si>
  <si>
    <t>1:644</t>
  </si>
  <si>
    <t>1:592</t>
  </si>
  <si>
    <t>1:607</t>
  </si>
  <si>
    <t>1:606</t>
  </si>
  <si>
    <t>1:591</t>
  </si>
  <si>
    <t>1:616</t>
  </si>
  <si>
    <t>1:630</t>
  </si>
  <si>
    <t>1:638</t>
  </si>
  <si>
    <t>1:632</t>
  </si>
  <si>
    <t>1:631</t>
  </si>
  <si>
    <t>1:609</t>
  </si>
  <si>
    <t>1:608</t>
  </si>
  <si>
    <t>1:635</t>
  </si>
  <si>
    <t>1:646</t>
  </si>
  <si>
    <t>1:641</t>
  </si>
  <si>
    <t>1:626</t>
  </si>
  <si>
    <t>1:689</t>
  </si>
  <si>
    <t>1:611</t>
  </si>
  <si>
    <t>1:677</t>
  </si>
  <si>
    <t>1:711</t>
  </si>
  <si>
    <t>1:617</t>
  </si>
  <si>
    <t>密云区</t>
  </si>
  <si>
    <t>1:920</t>
  </si>
  <si>
    <t>1:916</t>
  </si>
  <si>
    <t>1:923</t>
  </si>
  <si>
    <t>1:930</t>
  </si>
  <si>
    <t>1:953</t>
  </si>
  <si>
    <t>1:922</t>
  </si>
  <si>
    <t>1:926</t>
  </si>
  <si>
    <t>1:937</t>
  </si>
  <si>
    <t>1:932</t>
  </si>
  <si>
    <t>1:814</t>
  </si>
  <si>
    <t>1:758</t>
  </si>
  <si>
    <t>1:767</t>
  </si>
  <si>
    <t>1:750</t>
  </si>
  <si>
    <t>1:757</t>
  </si>
  <si>
    <t>1:708</t>
  </si>
  <si>
    <t>1:715</t>
  </si>
  <si>
    <t>1:625</t>
  </si>
  <si>
    <t>1:623</t>
  </si>
  <si>
    <t>1:526</t>
  </si>
  <si>
    <t>1:518</t>
  </si>
  <si>
    <t>1:499</t>
  </si>
  <si>
    <t>1:577</t>
  </si>
  <si>
    <t>1:604</t>
  </si>
  <si>
    <t>1:541</t>
  </si>
  <si>
    <t>1:580</t>
  </si>
  <si>
    <t>1:833</t>
  </si>
  <si>
    <t>1:581</t>
  </si>
  <si>
    <t>1:864</t>
  </si>
  <si>
    <t>1:533</t>
  </si>
  <si>
    <t>1:995</t>
  </si>
  <si>
    <t>怀柔区</t>
  </si>
  <si>
    <t>1:904</t>
  </si>
  <si>
    <t>1:893</t>
  </si>
  <si>
    <t>1:894</t>
  </si>
  <si>
    <t>1:910</t>
  </si>
  <si>
    <t>1:931</t>
  </si>
  <si>
    <t>1:863</t>
  </si>
  <si>
    <t>1:840</t>
  </si>
  <si>
    <t>1:843</t>
  </si>
  <si>
    <t>1:829</t>
  </si>
  <si>
    <t>1:826</t>
  </si>
  <si>
    <t>1:776</t>
  </si>
  <si>
    <t>1:815</t>
  </si>
  <si>
    <t>1:824</t>
  </si>
  <si>
    <t>1:869</t>
  </si>
  <si>
    <t>1:862</t>
  </si>
  <si>
    <t>1:841</t>
  </si>
  <si>
    <t>海淀区</t>
  </si>
  <si>
    <t>1:859</t>
  </si>
  <si>
    <t>1:797</t>
  </si>
  <si>
    <t>1:806</t>
  </si>
  <si>
    <t>1:807</t>
  </si>
  <si>
    <t>1:816</t>
  </si>
  <si>
    <t>1:800</t>
  </si>
  <si>
    <t>1:798</t>
  </si>
  <si>
    <t>1:834</t>
  </si>
  <si>
    <t>1:809</t>
  </si>
  <si>
    <t>1:811</t>
  </si>
  <si>
    <t>1:821</t>
  </si>
  <si>
    <t>1:825</t>
  </si>
  <si>
    <t>1:785</t>
  </si>
  <si>
    <t>1:880</t>
  </si>
  <si>
    <t>丰台区</t>
  </si>
  <si>
    <t>1:724</t>
  </si>
  <si>
    <t>1:746</t>
  </si>
  <si>
    <t>1:747</t>
  </si>
  <si>
    <t>1:762</t>
  </si>
  <si>
    <t>1:696</t>
  </si>
  <si>
    <t>1:745</t>
  </si>
  <si>
    <t>1:728</t>
  </si>
  <si>
    <t>1:731</t>
  </si>
  <si>
    <t>昌平区</t>
  </si>
  <si>
    <t>1:671</t>
  </si>
  <si>
    <t>1:674</t>
  </si>
  <si>
    <t>1:686</t>
  </si>
  <si>
    <t>1:701</t>
  </si>
  <si>
    <t>1:692</t>
  </si>
  <si>
    <t>1:665</t>
  </si>
  <si>
    <t>1:628</t>
  </si>
  <si>
    <t>1:619</t>
  </si>
  <si>
    <t>1:672</t>
  </si>
  <si>
    <t>1:704</t>
  </si>
  <si>
    <t>1:645</t>
  </si>
  <si>
    <t>1:673</t>
  </si>
  <si>
    <t>门头沟区</t>
  </si>
  <si>
    <t>1:706</t>
  </si>
  <si>
    <t>1:717</t>
  </si>
  <si>
    <t>1:620</t>
  </si>
  <si>
    <t>1:705</t>
  </si>
  <si>
    <t>1:713</t>
  </si>
  <si>
    <t>1:720</t>
  </si>
  <si>
    <t>1:719</t>
  </si>
  <si>
    <t>1:712</t>
  </si>
  <si>
    <t>1:784</t>
  </si>
  <si>
    <t>1:1043</t>
  </si>
  <si>
    <t>延庆区</t>
  </si>
  <si>
    <t>1:870</t>
  </si>
  <si>
    <t>1:738</t>
  </si>
  <si>
    <t>1:716</t>
  </si>
  <si>
    <t>1:664</t>
  </si>
  <si>
    <t>1:539</t>
  </si>
  <si>
    <t>1:511</t>
  </si>
  <si>
    <t>1:550</t>
  </si>
  <si>
    <t>1:658</t>
  </si>
  <si>
    <t>1:710</t>
  </si>
  <si>
    <t>大兴区</t>
  </si>
  <si>
    <t>1:775</t>
  </si>
  <si>
    <t>1:783</t>
  </si>
  <si>
    <t>房山区</t>
  </si>
  <si>
    <t>1:627</t>
  </si>
  <si>
    <t>1:637</t>
  </si>
  <si>
    <t>1:669</t>
  </si>
  <si>
    <t>1:838</t>
  </si>
  <si>
    <t>石景山区</t>
  </si>
  <si>
    <t>1:613</t>
  </si>
  <si>
    <t>1:587</t>
  </si>
  <si>
    <t>平谷区</t>
  </si>
  <si>
    <t>1:936</t>
  </si>
  <si>
    <t>1:977</t>
  </si>
  <si>
    <t>1:935</t>
  </si>
  <si>
    <t>1:1141</t>
  </si>
  <si>
    <t>1:1133</t>
  </si>
  <si>
    <t>1:1131</t>
  </si>
  <si>
    <t>1:1157</t>
  </si>
  <si>
    <t>1:892</t>
  </si>
  <si>
    <t>1:802</t>
  </si>
  <si>
    <t>1:546</t>
  </si>
  <si>
    <t>西城区</t>
  </si>
  <si>
    <t>1:845</t>
  </si>
  <si>
    <t>1:876</t>
  </si>
  <si>
    <t>1:1104</t>
  </si>
  <si>
    <t>时间</t>
  </si>
  <si>
    <t>2024-05-01</t>
  </si>
  <si>
    <t>2024-04-01</t>
  </si>
  <si>
    <t>2024-03-01</t>
  </si>
  <si>
    <t>2024-02-01</t>
  </si>
  <si>
    <t>2024-01-01</t>
  </si>
  <si>
    <t>2023-12-01</t>
  </si>
  <si>
    <t>2023-11-01</t>
  </si>
  <si>
    <t>2023-10-01</t>
  </si>
  <si>
    <t>2023-09-01</t>
  </si>
  <si>
    <t>2023-08-01</t>
  </si>
  <si>
    <t>2023-07-01</t>
  </si>
  <si>
    <t>2023-06-01</t>
  </si>
  <si>
    <t>2023-05-01</t>
  </si>
  <si>
    <t>2023-04-01</t>
  </si>
  <si>
    <t>2023-03-01</t>
  </si>
  <si>
    <t>2023-02-01</t>
  </si>
  <si>
    <t>2023-01-01</t>
  </si>
  <si>
    <t>2022-12-01</t>
  </si>
  <si>
    <t>2022-11-01</t>
  </si>
  <si>
    <t>2022-10-01</t>
  </si>
  <si>
    <t>2022-09-01</t>
  </si>
  <si>
    <t>2022-08-01</t>
  </si>
  <si>
    <t>2022-07-01</t>
  </si>
  <si>
    <t>2022-06-01</t>
  </si>
  <si>
    <t>2022-05-01</t>
  </si>
  <si>
    <t>2022-04-01</t>
  </si>
  <si>
    <t>2022-03-01</t>
  </si>
  <si>
    <t>2022-02-01</t>
  </si>
  <si>
    <t>2022-01-01</t>
  </si>
  <si>
    <t>2021-12-01</t>
  </si>
  <si>
    <t>2021-11-01</t>
  </si>
  <si>
    <t>2021-10-01</t>
  </si>
  <si>
    <t>2021-09-01</t>
  </si>
  <si>
    <t>2021-08-01</t>
  </si>
  <si>
    <t>1:633</t>
  </si>
  <si>
    <t>2021-07-01</t>
  </si>
  <si>
    <t>2021-06-01</t>
  </si>
  <si>
    <t>2021-05-01</t>
  </si>
  <si>
    <t>2021-04-01</t>
  </si>
  <si>
    <t>2021-03-01</t>
  </si>
  <si>
    <t>2021-01-01</t>
  </si>
  <si>
    <t>2020-12-01</t>
  </si>
  <si>
    <t>2020-11-01</t>
  </si>
  <si>
    <t>2020-10-01</t>
  </si>
  <si>
    <t>2020-09-01</t>
  </si>
  <si>
    <t>2020-08-01</t>
  </si>
  <si>
    <t>2020-07-01</t>
  </si>
  <si>
    <t>2020-06-01</t>
  </si>
  <si>
    <t>2020-05-01</t>
  </si>
  <si>
    <t>2020-04-01</t>
  </si>
  <si>
    <t>2020-03-01</t>
  </si>
  <si>
    <t>2020-02-01</t>
  </si>
  <si>
    <t>2020-01-01</t>
  </si>
  <si>
    <t>2019-12-01</t>
  </si>
  <si>
    <t>2019-11-01</t>
  </si>
  <si>
    <t>2019-10-01</t>
  </si>
  <si>
    <t>2019-09-01</t>
  </si>
  <si>
    <t>2019-08-01</t>
  </si>
  <si>
    <t>2019-07-01</t>
  </si>
  <si>
    <t>2019-06-01</t>
  </si>
  <si>
    <t>2019-05-01</t>
  </si>
  <si>
    <t>2019-04-01</t>
  </si>
  <si>
    <t>2019-03-01</t>
  </si>
  <si>
    <t>2019-02-01</t>
  </si>
  <si>
    <t>2019-01-01</t>
  </si>
  <si>
    <t>2018-12-01</t>
  </si>
  <si>
    <t>2018-11-01</t>
  </si>
  <si>
    <t>2018-10-01</t>
  </si>
  <si>
    <t>2018-09-01</t>
  </si>
  <si>
    <t>2018-08-01</t>
  </si>
  <si>
    <t>2018-07-01</t>
  </si>
  <si>
    <t>2018-06-01</t>
  </si>
  <si>
    <t>1:590</t>
  </si>
  <si>
    <t>2018-05-01</t>
  </si>
  <si>
    <t>1:602</t>
  </si>
  <si>
    <t>2018-04-01</t>
  </si>
  <si>
    <t>2018-03-01</t>
  </si>
  <si>
    <t>2018-02-01</t>
  </si>
  <si>
    <t>2018-01-01</t>
  </si>
  <si>
    <t>东花市</t>
    <phoneticPr fontId="134" type="noConversion"/>
  </si>
  <si>
    <t>东城区</t>
    <phoneticPr fontId="134" type="noConversion"/>
  </si>
  <si>
    <t>北京市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</si>
</sst>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9" fontId="269" fillId="0" borderId="0" applyFont="0" applyFill="0" applyBorder="0" applyAlignment="0" applyProtection="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0" borderId="0" xfId="19"/>
    <xf numFmtId="14" fontId="269" fillId="0" borderId="0" xfId="19" applyNumberFormat="1"/>
    <xf numFmtId="0" fontId="269" fillId="0" borderId="0" xfId="19"/>
    <xf numFmtId="0" fontId="270" fillId="0" borderId="0" xfId="19" applyFont="1"/>
    <xf numFmtId="10" fontId="0" fillId="0" borderId="0" xfId="20" applyNumberFormat="1" applyFont="1" applyAlignment="1"/>
    <xf numFmtId="14" fontId="269" fillId="0" borderId="0" xfId="19" applyNumberFormat="1"/>
    <xf numFmtId="0" fontId="269" fillId="5" borderId="0" xfId="19" applyFill="1"/>
    <xf numFmtId="0" fontId="270" fillId="5" borderId="0" xfId="19" applyFont="1" applyFill="1"/>
    <xf numFmtId="14" fontId="269" fillId="5" borderId="0" xfId="19" applyNumberFormat="1" applyFill="1"/>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0" fillId="0" borderId="0" xfId="0" applyAlignment="1"/>
    <xf numFmtId="14" fontId="0" fillId="0" borderId="0" xfId="0" applyNumberFormat="1" applyAlignment="1"/>
    <xf numFmtId="10" fontId="269" fillId="0" borderId="0" xfId="17" applyNumberFormat="1" applyFont="1" applyAlignment="1"/>
    <xf numFmtId="0" fontId="269" fillId="0" borderId="0" xfId="19" applyAlignment="1">
      <alignment horizontal="center"/>
    </xf>
    <xf numFmtId="0" fontId="269" fillId="0" borderId="0" xfId="19" applyAlignment="1">
      <alignment horizontal="center" vertical="center"/>
    </xf>
    <xf numFmtId="0" fontId="269" fillId="0" borderId="0" xfId="19" applyAlignment="1">
      <alignment vertical="center"/>
    </xf>
    <xf numFmtId="0" fontId="0" fillId="22" borderId="0" xfId="0" applyFill="1" applyAlignment="1"/>
    <xf numFmtId="0" fontId="269" fillId="22" borderId="0" xfId="19" applyFill="1" applyAlignment="1">
      <alignment horizontal="center" vertical="center"/>
    </xf>
  </cellXfs>
  <cellStyles count="21">
    <cellStyle name="百分比" xfId="17" builtinId="5"/>
    <cellStyle name="百分比 2" xfId="14" xr:uid="{00000000-0005-0000-0000-000001000000}"/>
    <cellStyle name="百分比 3" xfId="20" xr:uid="{DBC25DCE-71E9-47EF-B5D5-5EF92DBED374}"/>
    <cellStyle name="常规" xfId="0" builtinId="0"/>
    <cellStyle name="常规 10" xfId="19" xr:uid="{F1299D53-43D8-45D8-9E85-3CBBA6FCED91}"/>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Sheet2!$A$13</c:f>
              <c:strCache>
                <c:ptCount val="1"/>
                <c:pt idx="0">
                  <c:v>东花市</c:v>
                </c:pt>
              </c:strCache>
            </c:strRef>
          </c:tx>
          <c:spPr>
            <a:ln w="28575" cap="rnd">
              <a:solidFill>
                <a:schemeClr val="accent1"/>
              </a:solidFill>
              <a:round/>
            </a:ln>
            <a:effectLst/>
          </c:spPr>
          <c:marker>
            <c:symbol val="none"/>
          </c:marker>
          <c:cat>
            <c:numRef>
              <c:f>Sheet2!$B$12:$KW$12</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Sheet2!$B$13:$KW$13</c:f>
              <c:numCache>
                <c:formatCode>General</c:formatCode>
                <c:ptCount val="292"/>
                <c:pt idx="0">
                  <c:v>126.5</c:v>
                </c:pt>
                <c:pt idx="1">
                  <c:v>127.28</c:v>
                </c:pt>
                <c:pt idx="2">
                  <c:v>127.37</c:v>
                </c:pt>
                <c:pt idx="3">
                  <c:v>128.91999999999999</c:v>
                </c:pt>
                <c:pt idx="4">
                  <c:v>124.21</c:v>
                </c:pt>
                <c:pt idx="5">
                  <c:v>126.28</c:v>
                </c:pt>
                <c:pt idx="6">
                  <c:v>113.71</c:v>
                </c:pt>
                <c:pt idx="7">
                  <c:v>114.99</c:v>
                </c:pt>
                <c:pt idx="8">
                  <c:v>113.01</c:v>
                </c:pt>
                <c:pt idx="9">
                  <c:v>115.81</c:v>
                </c:pt>
                <c:pt idx="10">
                  <c:v>115.04</c:v>
                </c:pt>
                <c:pt idx="11">
                  <c:v>113.83</c:v>
                </c:pt>
                <c:pt idx="12">
                  <c:v>113.54</c:v>
                </c:pt>
                <c:pt idx="13">
                  <c:v>108.85</c:v>
                </c:pt>
                <c:pt idx="14">
                  <c:v>114.45</c:v>
                </c:pt>
                <c:pt idx="15">
                  <c:v>110.99</c:v>
                </c:pt>
                <c:pt idx="16">
                  <c:v>113.99</c:v>
                </c:pt>
                <c:pt idx="17">
                  <c:v>114.43</c:v>
                </c:pt>
                <c:pt idx="18">
                  <c:v>116.87</c:v>
                </c:pt>
                <c:pt idx="19">
                  <c:v>113.73</c:v>
                </c:pt>
                <c:pt idx="20">
                  <c:v>102.69</c:v>
                </c:pt>
                <c:pt idx="21">
                  <c:v>96.13</c:v>
                </c:pt>
                <c:pt idx="22">
                  <c:v>93.35</c:v>
                </c:pt>
                <c:pt idx="23">
                  <c:v>96.08</c:v>
                </c:pt>
                <c:pt idx="24">
                  <c:v>95.09</c:v>
                </c:pt>
                <c:pt idx="25">
                  <c:v>94.63</c:v>
                </c:pt>
                <c:pt idx="26">
                  <c:v>99.22</c:v>
                </c:pt>
                <c:pt idx="27">
                  <c:v>100.69</c:v>
                </c:pt>
                <c:pt idx="28">
                  <c:v>98.34</c:v>
                </c:pt>
                <c:pt idx="29">
                  <c:v>96.15</c:v>
                </c:pt>
                <c:pt idx="30">
                  <c:v>98.26</c:v>
                </c:pt>
                <c:pt idx="31">
                  <c:v>98.8</c:v>
                </c:pt>
                <c:pt idx="32">
                  <c:v>100.22</c:v>
                </c:pt>
                <c:pt idx="33">
                  <c:v>102.45</c:v>
                </c:pt>
                <c:pt idx="34">
                  <c:v>103.23</c:v>
                </c:pt>
                <c:pt idx="35">
                  <c:v>97.6</c:v>
                </c:pt>
                <c:pt idx="36">
                  <c:v>102.75</c:v>
                </c:pt>
                <c:pt idx="37">
                  <c:v>99.62</c:v>
                </c:pt>
                <c:pt idx="38">
                  <c:v>104.69</c:v>
                </c:pt>
                <c:pt idx="39">
                  <c:v>102.78</c:v>
                </c:pt>
                <c:pt idx="40">
                  <c:v>103.37</c:v>
                </c:pt>
                <c:pt idx="41">
                  <c:v>102.22</c:v>
                </c:pt>
                <c:pt idx="42">
                  <c:v>102.56</c:v>
                </c:pt>
                <c:pt idx="43">
                  <c:v>98.94</c:v>
                </c:pt>
                <c:pt idx="44">
                  <c:v>102.24</c:v>
                </c:pt>
                <c:pt idx="45">
                  <c:v>101.43</c:v>
                </c:pt>
                <c:pt idx="46">
                  <c:v>103.82</c:v>
                </c:pt>
                <c:pt idx="47">
                  <c:v>102.36</c:v>
                </c:pt>
                <c:pt idx="48">
                  <c:v>99.95</c:v>
                </c:pt>
                <c:pt idx="49">
                  <c:v>98.66</c:v>
                </c:pt>
                <c:pt idx="50">
                  <c:v>102.17</c:v>
                </c:pt>
                <c:pt idx="51">
                  <c:v>102.56</c:v>
                </c:pt>
                <c:pt idx="52">
                  <c:v>97.48</c:v>
                </c:pt>
                <c:pt idx="53">
                  <c:v>95.96</c:v>
                </c:pt>
                <c:pt idx="54">
                  <c:v>101.74</c:v>
                </c:pt>
                <c:pt idx="55">
                  <c:v>108.79</c:v>
                </c:pt>
                <c:pt idx="56">
                  <c:v>107.7</c:v>
                </c:pt>
                <c:pt idx="57">
                  <c:v>99.24</c:v>
                </c:pt>
                <c:pt idx="58">
                  <c:v>94.33</c:v>
                </c:pt>
                <c:pt idx="59">
                  <c:v>84.98</c:v>
                </c:pt>
              </c:numCache>
            </c:numRef>
          </c:val>
          <c:smooth val="0"/>
          <c:extLst>
            <c:ext xmlns:c16="http://schemas.microsoft.com/office/drawing/2014/chart" uri="{C3380CC4-5D6E-409C-BE32-E72D297353CC}">
              <c16:uniqueId val="{00000000-3C97-4EC5-90EE-1EC8F494F828}"/>
            </c:ext>
          </c:extLst>
        </c:ser>
        <c:dLbls>
          <c:showLegendKey val="0"/>
          <c:showVal val="0"/>
          <c:showCatName val="0"/>
          <c:showSerName val="0"/>
          <c:showPercent val="0"/>
          <c:showBubbleSize val="0"/>
        </c:dLbls>
        <c:smooth val="0"/>
        <c:axId val="483440047"/>
        <c:axId val="483444847"/>
      </c:lineChart>
      <c:dateAx>
        <c:axId val="483440047"/>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83444847"/>
        <c:crosses val="autoZero"/>
        <c:auto val="1"/>
        <c:lblOffset val="100"/>
        <c:baseTimeUnit val="months"/>
      </c:dateAx>
      <c:valAx>
        <c:axId val="4834448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834400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9.3136482939632559E-2"/>
          <c:y val="0.1675925925925926"/>
          <c:w val="0.89019685039370078"/>
          <c:h val="0.6077624671916011"/>
        </c:manualLayout>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Sheet2!$B$19:$KW$19</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Sheet2!$B$20:$KW$20</c:f>
              <c:numCache>
                <c:formatCode>General</c:formatCode>
                <c:ptCount val="292"/>
                <c:pt idx="0">
                  <c:v>147.16</c:v>
                </c:pt>
                <c:pt idx="1">
                  <c:v>147.86000000000001</c:v>
                </c:pt>
                <c:pt idx="2">
                  <c:v>148.24</c:v>
                </c:pt>
                <c:pt idx="3">
                  <c:v>148.91</c:v>
                </c:pt>
                <c:pt idx="4">
                  <c:v>148.97</c:v>
                </c:pt>
                <c:pt idx="5">
                  <c:v>148.66</c:v>
                </c:pt>
                <c:pt idx="6">
                  <c:v>148.44999999999999</c:v>
                </c:pt>
                <c:pt idx="7">
                  <c:v>148.82</c:v>
                </c:pt>
                <c:pt idx="8">
                  <c:v>149.1</c:v>
                </c:pt>
                <c:pt idx="9">
                  <c:v>148.94</c:v>
                </c:pt>
                <c:pt idx="10">
                  <c:v>148.57</c:v>
                </c:pt>
                <c:pt idx="11">
                  <c:v>148.30000000000001</c:v>
                </c:pt>
                <c:pt idx="12">
                  <c:v>148.84</c:v>
                </c:pt>
                <c:pt idx="13">
                  <c:v>150.69</c:v>
                </c:pt>
                <c:pt idx="14">
                  <c:v>152.96</c:v>
                </c:pt>
                <c:pt idx="15">
                  <c:v>154.54</c:v>
                </c:pt>
                <c:pt idx="16">
                  <c:v>129.68</c:v>
                </c:pt>
                <c:pt idx="17">
                  <c:v>121.52</c:v>
                </c:pt>
                <c:pt idx="18">
                  <c:v>126.87</c:v>
                </c:pt>
                <c:pt idx="19">
                  <c:v>156.72</c:v>
                </c:pt>
                <c:pt idx="20">
                  <c:v>146.19</c:v>
                </c:pt>
                <c:pt idx="21">
                  <c:v>141.4</c:v>
                </c:pt>
                <c:pt idx="22">
                  <c:v>135.47999999999999</c:v>
                </c:pt>
                <c:pt idx="23">
                  <c:v>131.5</c:v>
                </c:pt>
                <c:pt idx="24">
                  <c:v>132.55000000000001</c:v>
                </c:pt>
                <c:pt idx="25">
                  <c:v>132.69999999999999</c:v>
                </c:pt>
                <c:pt idx="26">
                  <c:v>133.54</c:v>
                </c:pt>
                <c:pt idx="27">
                  <c:v>135.85</c:v>
                </c:pt>
                <c:pt idx="28">
                  <c:v>137.74</c:v>
                </c:pt>
                <c:pt idx="29">
                  <c:v>137.91999999999999</c:v>
                </c:pt>
                <c:pt idx="30">
                  <c:v>134.22999999999999</c:v>
                </c:pt>
                <c:pt idx="31">
                  <c:v>133.55000000000001</c:v>
                </c:pt>
                <c:pt idx="32">
                  <c:v>134.74</c:v>
                </c:pt>
                <c:pt idx="33">
                  <c:v>138.5</c:v>
                </c:pt>
                <c:pt idx="34">
                  <c:v>139.85</c:v>
                </c:pt>
                <c:pt idx="35">
                  <c:v>141.58000000000001</c:v>
                </c:pt>
                <c:pt idx="36">
                  <c:v>138.82</c:v>
                </c:pt>
                <c:pt idx="37">
                  <c:v>132.06</c:v>
                </c:pt>
                <c:pt idx="38">
                  <c:v>127.3</c:v>
                </c:pt>
                <c:pt idx="39">
                  <c:v>134.13</c:v>
                </c:pt>
                <c:pt idx="40">
                  <c:v>134.04</c:v>
                </c:pt>
                <c:pt idx="41">
                  <c:v>131.88999999999999</c:v>
                </c:pt>
                <c:pt idx="42">
                  <c:v>137.38</c:v>
                </c:pt>
                <c:pt idx="43">
                  <c:v>137.15</c:v>
                </c:pt>
                <c:pt idx="44">
                  <c:v>132.33000000000001</c:v>
                </c:pt>
                <c:pt idx="45">
                  <c:v>130.01</c:v>
                </c:pt>
                <c:pt idx="46">
                  <c:v>127.41</c:v>
                </c:pt>
                <c:pt idx="47">
                  <c:v>130.13999999999999</c:v>
                </c:pt>
                <c:pt idx="48">
                  <c:v>131.91999999999999</c:v>
                </c:pt>
                <c:pt idx="49">
                  <c:v>126.76</c:v>
                </c:pt>
                <c:pt idx="50">
                  <c:v>124.97</c:v>
                </c:pt>
                <c:pt idx="51">
                  <c:v>119.79</c:v>
                </c:pt>
                <c:pt idx="52">
                  <c:v>119.75</c:v>
                </c:pt>
                <c:pt idx="53">
                  <c:v>112.98</c:v>
                </c:pt>
                <c:pt idx="54">
                  <c:v>132.12</c:v>
                </c:pt>
                <c:pt idx="55">
                  <c:v>125.59</c:v>
                </c:pt>
                <c:pt idx="56">
                  <c:v>108.6</c:v>
                </c:pt>
                <c:pt idx="57">
                  <c:v>120.09</c:v>
                </c:pt>
                <c:pt idx="58">
                  <c:v>109.26</c:v>
                </c:pt>
                <c:pt idx="59">
                  <c:v>98.98</c:v>
                </c:pt>
              </c:numCache>
            </c:numRef>
          </c:val>
          <c:smooth val="0"/>
          <c:extLst>
            <c:ext xmlns:c16="http://schemas.microsoft.com/office/drawing/2014/chart" uri="{C3380CC4-5D6E-409C-BE32-E72D297353CC}">
              <c16:uniqueId val="{00000000-0502-4309-89ED-E0D781F9EA57}"/>
            </c:ext>
          </c:extLst>
        </c:ser>
        <c:dLbls>
          <c:showLegendKey val="0"/>
          <c:showVal val="0"/>
          <c:showCatName val="0"/>
          <c:showSerName val="0"/>
          <c:showPercent val="0"/>
          <c:showBubbleSize val="0"/>
        </c:dLbls>
        <c:smooth val="0"/>
        <c:axId val="520796207"/>
        <c:axId val="520796687"/>
      </c:lineChart>
      <c:dateAx>
        <c:axId val="520796207"/>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20796687"/>
        <c:crosses val="autoZero"/>
        <c:auto val="1"/>
        <c:lblOffset val="100"/>
        <c:baseTimeUnit val="months"/>
      </c:dateAx>
      <c:valAx>
        <c:axId val="520796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207962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富贵园案例!$A$2</c:f>
              <c:strCache>
                <c:ptCount val="1"/>
                <c:pt idx="0">
                  <c:v>富贵园四区</c:v>
                </c:pt>
              </c:strCache>
            </c:strRef>
          </c:tx>
          <c:spPr>
            <a:ln w="28575" cap="rnd">
              <a:solidFill>
                <a:schemeClr val="accent1"/>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富贵园案例!$B$2:$KS$2</c:f>
              <c:numCache>
                <c:formatCode>General</c:formatCode>
                <c:ptCount val="304"/>
                <c:pt idx="0">
                  <c:v>124.73</c:v>
                </c:pt>
                <c:pt idx="1">
                  <c:v>122.5</c:v>
                </c:pt>
                <c:pt idx="2">
                  <c:v>121.16</c:v>
                </c:pt>
                <c:pt idx="3">
                  <c:v>123.85</c:v>
                </c:pt>
                <c:pt idx="4">
                  <c:v>125.55</c:v>
                </c:pt>
                <c:pt idx="5">
                  <c:v>128.91999999999999</c:v>
                </c:pt>
                <c:pt idx="6">
                  <c:v>130.93</c:v>
                </c:pt>
                <c:pt idx="7">
                  <c:v>132.58000000000001</c:v>
                </c:pt>
                <c:pt idx="8">
                  <c:v>128.91</c:v>
                </c:pt>
                <c:pt idx="9">
                  <c:v>130.22999999999999</c:v>
                </c:pt>
                <c:pt idx="10">
                  <c:v>127.24</c:v>
                </c:pt>
                <c:pt idx="11">
                  <c:v>123.53</c:v>
                </c:pt>
                <c:pt idx="12">
                  <c:v>124.29</c:v>
                </c:pt>
                <c:pt idx="13">
                  <c:v>125.68</c:v>
                </c:pt>
                <c:pt idx="14">
                  <c:v>123.43</c:v>
                </c:pt>
                <c:pt idx="15">
                  <c:v>120.62</c:v>
                </c:pt>
                <c:pt idx="16">
                  <c:v>120.64</c:v>
                </c:pt>
                <c:pt idx="17">
                  <c:v>119.72</c:v>
                </c:pt>
                <c:pt idx="18">
                  <c:v>122.01</c:v>
                </c:pt>
                <c:pt idx="19">
                  <c:v>171.02</c:v>
                </c:pt>
                <c:pt idx="20">
                  <c:v>144.47</c:v>
                </c:pt>
                <c:pt idx="21">
                  <c:v>144.19</c:v>
                </c:pt>
                <c:pt idx="22">
                  <c:v>142.41</c:v>
                </c:pt>
                <c:pt idx="23">
                  <c:v>143.88999999999999</c:v>
                </c:pt>
                <c:pt idx="24">
                  <c:v>124.21</c:v>
                </c:pt>
                <c:pt idx="25">
                  <c:v>138.63</c:v>
                </c:pt>
                <c:pt idx="26">
                  <c:v>134.72</c:v>
                </c:pt>
                <c:pt idx="27">
                  <c:v>133.04</c:v>
                </c:pt>
                <c:pt idx="28">
                  <c:v>128.91999999999999</c:v>
                </c:pt>
                <c:pt idx="29">
                  <c:v>137.07</c:v>
                </c:pt>
                <c:pt idx="30">
                  <c:v>133.66999999999999</c:v>
                </c:pt>
                <c:pt idx="31">
                  <c:v>131.66999999999999</c:v>
                </c:pt>
                <c:pt idx="32">
                  <c:v>0</c:v>
                </c:pt>
                <c:pt idx="33">
                  <c:v>0</c:v>
                </c:pt>
                <c:pt idx="34">
                  <c:v>0</c:v>
                </c:pt>
                <c:pt idx="35">
                  <c:v>0</c:v>
                </c:pt>
                <c:pt idx="36">
                  <c:v>0</c:v>
                </c:pt>
                <c:pt idx="37">
                  <c:v>0</c:v>
                </c:pt>
                <c:pt idx="38">
                  <c:v>0</c:v>
                </c:pt>
                <c:pt idx="39">
                  <c:v>0</c:v>
                </c:pt>
                <c:pt idx="40">
                  <c:v>0</c:v>
                </c:pt>
                <c:pt idx="41">
                  <c:v>0</c:v>
                </c:pt>
                <c:pt idx="42">
                  <c:v>114.69</c:v>
                </c:pt>
                <c:pt idx="43">
                  <c:v>121.02</c:v>
                </c:pt>
                <c:pt idx="44">
                  <c:v>123.9</c:v>
                </c:pt>
                <c:pt idx="45">
                  <c:v>0</c:v>
                </c:pt>
                <c:pt idx="46">
                  <c:v>136.13999999999999</c:v>
                </c:pt>
                <c:pt idx="47">
                  <c:v>116.77</c:v>
                </c:pt>
                <c:pt idx="48">
                  <c:v>104.46</c:v>
                </c:pt>
                <c:pt idx="49">
                  <c:v>111.95</c:v>
                </c:pt>
                <c:pt idx="50">
                  <c:v>106.56</c:v>
                </c:pt>
                <c:pt idx="51">
                  <c:v>0</c:v>
                </c:pt>
                <c:pt idx="52">
                  <c:v>116.33</c:v>
                </c:pt>
                <c:pt idx="53">
                  <c:v>116.37</c:v>
                </c:pt>
                <c:pt idx="54">
                  <c:v>130.69999999999999</c:v>
                </c:pt>
                <c:pt idx="55">
                  <c:v>117.56</c:v>
                </c:pt>
                <c:pt idx="56">
                  <c:v>122.49</c:v>
                </c:pt>
                <c:pt idx="57">
                  <c:v>126.8</c:v>
                </c:pt>
                <c:pt idx="58">
                  <c:v>121.48</c:v>
                </c:pt>
                <c:pt idx="59">
                  <c:v>117.38</c:v>
                </c:pt>
                <c:pt idx="60">
                  <c:v>110.95</c:v>
                </c:pt>
                <c:pt idx="61">
                  <c:v>115.7</c:v>
                </c:pt>
                <c:pt idx="62">
                  <c:v>116.38</c:v>
                </c:pt>
                <c:pt idx="63">
                  <c:v>114.78</c:v>
                </c:pt>
                <c:pt idx="64">
                  <c:v>115.63</c:v>
                </c:pt>
                <c:pt idx="65">
                  <c:v>118.2</c:v>
                </c:pt>
                <c:pt idx="66">
                  <c:v>116.06</c:v>
                </c:pt>
                <c:pt idx="67">
                  <c:v>120</c:v>
                </c:pt>
                <c:pt idx="68">
                  <c:v>119.96</c:v>
                </c:pt>
                <c:pt idx="69">
                  <c:v>112.94</c:v>
                </c:pt>
                <c:pt idx="70">
                  <c:v>0</c:v>
                </c:pt>
                <c:pt idx="71">
                  <c:v>0</c:v>
                </c:pt>
                <c:pt idx="72">
                  <c:v>177.46</c:v>
                </c:pt>
                <c:pt idx="73">
                  <c:v>0</c:v>
                </c:pt>
                <c:pt idx="74">
                  <c:v>120.39</c:v>
                </c:pt>
                <c:pt idx="75">
                  <c:v>108.01</c:v>
                </c:pt>
              </c:numCache>
            </c:numRef>
          </c:val>
          <c:smooth val="0"/>
          <c:extLst>
            <c:ext xmlns:c16="http://schemas.microsoft.com/office/drawing/2014/chart" uri="{C3380CC4-5D6E-409C-BE32-E72D297353CC}">
              <c16:uniqueId val="{00000000-4642-4FFA-8894-A813BE97CA8C}"/>
            </c:ext>
          </c:extLst>
        </c:ser>
        <c:ser>
          <c:idx val="1"/>
          <c:order val="1"/>
          <c:tx>
            <c:strRef>
              <c:f>富贵园案例!$A$3</c:f>
              <c:strCache>
                <c:ptCount val="1"/>
                <c:pt idx="0">
                  <c:v>富贵园二区</c:v>
                </c:pt>
              </c:strCache>
            </c:strRef>
          </c:tx>
          <c:spPr>
            <a:ln w="28575" cap="rnd">
              <a:solidFill>
                <a:schemeClr val="accent2"/>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富贵园案例!$B$3:$KS$3</c:f>
              <c:numCache>
                <c:formatCode>General</c:formatCode>
                <c:ptCount val="304"/>
                <c:pt idx="0">
                  <c:v>121.44</c:v>
                </c:pt>
                <c:pt idx="1">
                  <c:v>118.17</c:v>
                </c:pt>
                <c:pt idx="2">
                  <c:v>117.24</c:v>
                </c:pt>
                <c:pt idx="3">
                  <c:v>116.47</c:v>
                </c:pt>
                <c:pt idx="4">
                  <c:v>113.09</c:v>
                </c:pt>
                <c:pt idx="5">
                  <c:v>120.44</c:v>
                </c:pt>
                <c:pt idx="6">
                  <c:v>128.96</c:v>
                </c:pt>
                <c:pt idx="7">
                  <c:v>136.91</c:v>
                </c:pt>
                <c:pt idx="8">
                  <c:v>114.55</c:v>
                </c:pt>
                <c:pt idx="9">
                  <c:v>111.93</c:v>
                </c:pt>
                <c:pt idx="10">
                  <c:v>110.41</c:v>
                </c:pt>
                <c:pt idx="11">
                  <c:v>113.41</c:v>
                </c:pt>
                <c:pt idx="12">
                  <c:v>106.59</c:v>
                </c:pt>
                <c:pt idx="13">
                  <c:v>107.57</c:v>
                </c:pt>
                <c:pt idx="14">
                  <c:v>107.91</c:v>
                </c:pt>
                <c:pt idx="15">
                  <c:v>108.55</c:v>
                </c:pt>
                <c:pt idx="16">
                  <c:v>110.52</c:v>
                </c:pt>
                <c:pt idx="17">
                  <c:v>111.49</c:v>
                </c:pt>
                <c:pt idx="18">
                  <c:v>116.55</c:v>
                </c:pt>
                <c:pt idx="19">
                  <c:v>139.13</c:v>
                </c:pt>
                <c:pt idx="20">
                  <c:v>111.89</c:v>
                </c:pt>
                <c:pt idx="21">
                  <c:v>116.13</c:v>
                </c:pt>
                <c:pt idx="22">
                  <c:v>107.62</c:v>
                </c:pt>
                <c:pt idx="23">
                  <c:v>108.05</c:v>
                </c:pt>
                <c:pt idx="24">
                  <c:v>108.56</c:v>
                </c:pt>
                <c:pt idx="25">
                  <c:v>102.58</c:v>
                </c:pt>
                <c:pt idx="26">
                  <c:v>108.15</c:v>
                </c:pt>
                <c:pt idx="27">
                  <c:v>114</c:v>
                </c:pt>
                <c:pt idx="28">
                  <c:v>115.7</c:v>
                </c:pt>
                <c:pt idx="29">
                  <c:v>111.92</c:v>
                </c:pt>
                <c:pt idx="30">
                  <c:v>113.46</c:v>
                </c:pt>
                <c:pt idx="31">
                  <c:v>111.55</c:v>
                </c:pt>
                <c:pt idx="32">
                  <c:v>116.75</c:v>
                </c:pt>
                <c:pt idx="33">
                  <c:v>115.12</c:v>
                </c:pt>
                <c:pt idx="34">
                  <c:v>0</c:v>
                </c:pt>
                <c:pt idx="35">
                  <c:v>115.1</c:v>
                </c:pt>
                <c:pt idx="36">
                  <c:v>108.64</c:v>
                </c:pt>
                <c:pt idx="37">
                  <c:v>98.97</c:v>
                </c:pt>
                <c:pt idx="38">
                  <c:v>96.35</c:v>
                </c:pt>
                <c:pt idx="39">
                  <c:v>97.15</c:v>
                </c:pt>
                <c:pt idx="40">
                  <c:v>94.77</c:v>
                </c:pt>
                <c:pt idx="41">
                  <c:v>97.21</c:v>
                </c:pt>
                <c:pt idx="42">
                  <c:v>97.64</c:v>
                </c:pt>
                <c:pt idx="43">
                  <c:v>97.95</c:v>
                </c:pt>
                <c:pt idx="44">
                  <c:v>98.48</c:v>
                </c:pt>
                <c:pt idx="45">
                  <c:v>99.15</c:v>
                </c:pt>
                <c:pt idx="46">
                  <c:v>104.89</c:v>
                </c:pt>
                <c:pt idx="47">
                  <c:v>106.63</c:v>
                </c:pt>
                <c:pt idx="48">
                  <c:v>104.37</c:v>
                </c:pt>
                <c:pt idx="49">
                  <c:v>113.63</c:v>
                </c:pt>
                <c:pt idx="50">
                  <c:v>112.3</c:v>
                </c:pt>
                <c:pt idx="51">
                  <c:v>112.63</c:v>
                </c:pt>
                <c:pt idx="52">
                  <c:v>112.84</c:v>
                </c:pt>
                <c:pt idx="53">
                  <c:v>105.22</c:v>
                </c:pt>
                <c:pt idx="54">
                  <c:v>120.75</c:v>
                </c:pt>
                <c:pt idx="55">
                  <c:v>110.24</c:v>
                </c:pt>
                <c:pt idx="56">
                  <c:v>110.08</c:v>
                </c:pt>
                <c:pt idx="57">
                  <c:v>109.4</c:v>
                </c:pt>
                <c:pt idx="58">
                  <c:v>117.36</c:v>
                </c:pt>
                <c:pt idx="59">
                  <c:v>115.76</c:v>
                </c:pt>
                <c:pt idx="60">
                  <c:v>114.55</c:v>
                </c:pt>
                <c:pt idx="61">
                  <c:v>113.03</c:v>
                </c:pt>
                <c:pt idx="62">
                  <c:v>113</c:v>
                </c:pt>
                <c:pt idx="63">
                  <c:v>106.08</c:v>
                </c:pt>
                <c:pt idx="64">
                  <c:v>104.29</c:v>
                </c:pt>
                <c:pt idx="65">
                  <c:v>103.86</c:v>
                </c:pt>
                <c:pt idx="66">
                  <c:v>112.11</c:v>
                </c:pt>
                <c:pt idx="67">
                  <c:v>102.28</c:v>
                </c:pt>
                <c:pt idx="68">
                  <c:v>91.75</c:v>
                </c:pt>
                <c:pt idx="69">
                  <c:v>96.16</c:v>
                </c:pt>
                <c:pt idx="70">
                  <c:v>0</c:v>
                </c:pt>
                <c:pt idx="71">
                  <c:v>0</c:v>
                </c:pt>
                <c:pt idx="72">
                  <c:v>95.4</c:v>
                </c:pt>
                <c:pt idx="73">
                  <c:v>0</c:v>
                </c:pt>
                <c:pt idx="74">
                  <c:v>93.37</c:v>
                </c:pt>
                <c:pt idx="75">
                  <c:v>87.93</c:v>
                </c:pt>
              </c:numCache>
            </c:numRef>
          </c:val>
          <c:smooth val="0"/>
          <c:extLst>
            <c:ext xmlns:c16="http://schemas.microsoft.com/office/drawing/2014/chart" uri="{C3380CC4-5D6E-409C-BE32-E72D297353CC}">
              <c16:uniqueId val="{00000001-4642-4FFA-8894-A813BE97CA8C}"/>
            </c:ext>
          </c:extLst>
        </c:ser>
        <c:ser>
          <c:idx val="2"/>
          <c:order val="2"/>
          <c:tx>
            <c:strRef>
              <c:f>富贵园案例!$A$4</c:f>
              <c:strCache>
                <c:ptCount val="1"/>
                <c:pt idx="0">
                  <c:v>富贵园三区</c:v>
                </c:pt>
              </c:strCache>
            </c:strRef>
          </c:tx>
          <c:spPr>
            <a:ln w="28575" cap="rnd">
              <a:solidFill>
                <a:schemeClr val="accent3"/>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富贵园案例!$B$4:$KS$4</c:f>
              <c:numCache>
                <c:formatCode>General</c:formatCode>
                <c:ptCount val="304"/>
                <c:pt idx="0">
                  <c:v>127.25</c:v>
                </c:pt>
                <c:pt idx="1">
                  <c:v>125.77</c:v>
                </c:pt>
                <c:pt idx="2">
                  <c:v>123.71</c:v>
                </c:pt>
                <c:pt idx="3">
                  <c:v>124.22</c:v>
                </c:pt>
                <c:pt idx="4">
                  <c:v>120.02</c:v>
                </c:pt>
                <c:pt idx="5">
                  <c:v>116.36</c:v>
                </c:pt>
                <c:pt idx="6">
                  <c:v>119.07</c:v>
                </c:pt>
                <c:pt idx="7">
                  <c:v>121.87</c:v>
                </c:pt>
                <c:pt idx="8">
                  <c:v>116.39</c:v>
                </c:pt>
                <c:pt idx="9">
                  <c:v>113.15</c:v>
                </c:pt>
                <c:pt idx="10">
                  <c:v>106.4</c:v>
                </c:pt>
                <c:pt idx="11">
                  <c:v>107.7</c:v>
                </c:pt>
                <c:pt idx="12">
                  <c:v>107.37</c:v>
                </c:pt>
                <c:pt idx="13">
                  <c:v>108.2</c:v>
                </c:pt>
                <c:pt idx="14">
                  <c:v>107.45</c:v>
                </c:pt>
                <c:pt idx="15">
                  <c:v>108.79</c:v>
                </c:pt>
                <c:pt idx="16">
                  <c:v>112.35</c:v>
                </c:pt>
                <c:pt idx="17">
                  <c:v>112.71</c:v>
                </c:pt>
                <c:pt idx="18">
                  <c:v>116.29</c:v>
                </c:pt>
                <c:pt idx="19">
                  <c:v>118.69</c:v>
                </c:pt>
                <c:pt idx="20">
                  <c:v>120.27</c:v>
                </c:pt>
                <c:pt idx="21">
                  <c:v>116.1</c:v>
                </c:pt>
                <c:pt idx="22">
                  <c:v>113.93</c:v>
                </c:pt>
                <c:pt idx="23">
                  <c:v>112.07</c:v>
                </c:pt>
                <c:pt idx="24">
                  <c:v>112.01</c:v>
                </c:pt>
                <c:pt idx="25">
                  <c:v>139.58000000000001</c:v>
                </c:pt>
                <c:pt idx="26">
                  <c:v>122.03</c:v>
                </c:pt>
                <c:pt idx="27">
                  <c:v>112.13</c:v>
                </c:pt>
                <c:pt idx="28">
                  <c:v>115.85</c:v>
                </c:pt>
                <c:pt idx="29">
                  <c:v>116.48</c:v>
                </c:pt>
                <c:pt idx="30">
                  <c:v>115.79</c:v>
                </c:pt>
                <c:pt idx="31">
                  <c:v>114.71</c:v>
                </c:pt>
                <c:pt idx="32">
                  <c:v>106.89</c:v>
                </c:pt>
                <c:pt idx="33">
                  <c:v>0</c:v>
                </c:pt>
                <c:pt idx="34">
                  <c:v>0</c:v>
                </c:pt>
                <c:pt idx="35">
                  <c:v>106.82</c:v>
                </c:pt>
                <c:pt idx="36">
                  <c:v>0</c:v>
                </c:pt>
                <c:pt idx="37">
                  <c:v>87.48</c:v>
                </c:pt>
                <c:pt idx="38">
                  <c:v>93.09</c:v>
                </c:pt>
                <c:pt idx="39">
                  <c:v>90.07</c:v>
                </c:pt>
                <c:pt idx="40">
                  <c:v>100.18</c:v>
                </c:pt>
                <c:pt idx="41">
                  <c:v>0</c:v>
                </c:pt>
                <c:pt idx="42">
                  <c:v>98.72</c:v>
                </c:pt>
                <c:pt idx="43">
                  <c:v>97.75</c:v>
                </c:pt>
                <c:pt idx="44">
                  <c:v>105.42</c:v>
                </c:pt>
                <c:pt idx="45">
                  <c:v>98.48</c:v>
                </c:pt>
                <c:pt idx="46">
                  <c:v>109.75</c:v>
                </c:pt>
                <c:pt idx="47">
                  <c:v>106.48</c:v>
                </c:pt>
                <c:pt idx="48">
                  <c:v>109.73</c:v>
                </c:pt>
                <c:pt idx="49">
                  <c:v>110.42</c:v>
                </c:pt>
                <c:pt idx="50">
                  <c:v>116.23</c:v>
                </c:pt>
                <c:pt idx="51">
                  <c:v>0</c:v>
                </c:pt>
                <c:pt idx="52">
                  <c:v>116.38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4642-4FFA-8894-A813BE97CA8C}"/>
            </c:ext>
          </c:extLst>
        </c:ser>
        <c:ser>
          <c:idx val="3"/>
          <c:order val="3"/>
          <c:tx>
            <c:strRef>
              <c:f>富贵园案例!$A$5</c:f>
              <c:strCache>
                <c:ptCount val="1"/>
                <c:pt idx="0">
                  <c:v>富贵园一区</c:v>
                </c:pt>
              </c:strCache>
            </c:strRef>
          </c:tx>
          <c:spPr>
            <a:ln w="28575" cap="rnd">
              <a:solidFill>
                <a:schemeClr val="accent4"/>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富贵园案例!$B$5:$KS$5</c:f>
              <c:numCache>
                <c:formatCode>General</c:formatCode>
                <c:ptCount val="304"/>
                <c:pt idx="0">
                  <c:v>129.77000000000001</c:v>
                </c:pt>
                <c:pt idx="1">
                  <c:v>129.87</c:v>
                </c:pt>
                <c:pt idx="2">
                  <c:v>132.63</c:v>
                </c:pt>
                <c:pt idx="3">
                  <c:v>129.02000000000001</c:v>
                </c:pt>
                <c:pt idx="4">
                  <c:v>130.63</c:v>
                </c:pt>
                <c:pt idx="5">
                  <c:v>134.35</c:v>
                </c:pt>
                <c:pt idx="6">
                  <c:v>138.43</c:v>
                </c:pt>
                <c:pt idx="7">
                  <c:v>143.69</c:v>
                </c:pt>
                <c:pt idx="8">
                  <c:v>150.6</c:v>
                </c:pt>
                <c:pt idx="9">
                  <c:v>143.05000000000001</c:v>
                </c:pt>
                <c:pt idx="10">
                  <c:v>145.54</c:v>
                </c:pt>
                <c:pt idx="11">
                  <c:v>143.87</c:v>
                </c:pt>
                <c:pt idx="12">
                  <c:v>143.34</c:v>
                </c:pt>
                <c:pt idx="13">
                  <c:v>144.87</c:v>
                </c:pt>
                <c:pt idx="14">
                  <c:v>143.38</c:v>
                </c:pt>
                <c:pt idx="15">
                  <c:v>145.28</c:v>
                </c:pt>
                <c:pt idx="16">
                  <c:v>140.72999999999999</c:v>
                </c:pt>
                <c:pt idx="17">
                  <c:v>139.24</c:v>
                </c:pt>
                <c:pt idx="18">
                  <c:v>141.86000000000001</c:v>
                </c:pt>
                <c:pt idx="19">
                  <c:v>143.91999999999999</c:v>
                </c:pt>
                <c:pt idx="20">
                  <c:v>142.34</c:v>
                </c:pt>
                <c:pt idx="21">
                  <c:v>132.88</c:v>
                </c:pt>
                <c:pt idx="22">
                  <c:v>128.94</c:v>
                </c:pt>
                <c:pt idx="23">
                  <c:v>131.33000000000001</c:v>
                </c:pt>
                <c:pt idx="24">
                  <c:v>128.30000000000001</c:v>
                </c:pt>
                <c:pt idx="25">
                  <c:v>120.1</c:v>
                </c:pt>
                <c:pt idx="26">
                  <c:v>117.82</c:v>
                </c:pt>
                <c:pt idx="27">
                  <c:v>120.93</c:v>
                </c:pt>
                <c:pt idx="28">
                  <c:v>105.82</c:v>
                </c:pt>
                <c:pt idx="29">
                  <c:v>92.69</c:v>
                </c:pt>
                <c:pt idx="30">
                  <c:v>105.51</c:v>
                </c:pt>
                <c:pt idx="31">
                  <c:v>91.04</c:v>
                </c:pt>
                <c:pt idx="32">
                  <c:v>120.86</c:v>
                </c:pt>
                <c:pt idx="33">
                  <c:v>121.62</c:v>
                </c:pt>
                <c:pt idx="34">
                  <c:v>122.44</c:v>
                </c:pt>
                <c:pt idx="35">
                  <c:v>122.77</c:v>
                </c:pt>
                <c:pt idx="36">
                  <c:v>107.8</c:v>
                </c:pt>
                <c:pt idx="37">
                  <c:v>105.94</c:v>
                </c:pt>
                <c:pt idx="38">
                  <c:v>100.92</c:v>
                </c:pt>
                <c:pt idx="39">
                  <c:v>105.64</c:v>
                </c:pt>
                <c:pt idx="40">
                  <c:v>101.91</c:v>
                </c:pt>
                <c:pt idx="41">
                  <c:v>101.76</c:v>
                </c:pt>
                <c:pt idx="42">
                  <c:v>102.72</c:v>
                </c:pt>
                <c:pt idx="43">
                  <c:v>103.79</c:v>
                </c:pt>
                <c:pt idx="44">
                  <c:v>98.36</c:v>
                </c:pt>
                <c:pt idx="45">
                  <c:v>104.2</c:v>
                </c:pt>
                <c:pt idx="46">
                  <c:v>106.45</c:v>
                </c:pt>
                <c:pt idx="47">
                  <c:v>106.43</c:v>
                </c:pt>
                <c:pt idx="48">
                  <c:v>102.4</c:v>
                </c:pt>
                <c:pt idx="49">
                  <c:v>101.05</c:v>
                </c:pt>
                <c:pt idx="50">
                  <c:v>101.57</c:v>
                </c:pt>
                <c:pt idx="51">
                  <c:v>96.21</c:v>
                </c:pt>
                <c:pt idx="52">
                  <c:v>104.66</c:v>
                </c:pt>
                <c:pt idx="53">
                  <c:v>105.45</c:v>
                </c:pt>
                <c:pt idx="54">
                  <c:v>102.08</c:v>
                </c:pt>
                <c:pt idx="55">
                  <c:v>106.98</c:v>
                </c:pt>
                <c:pt idx="56">
                  <c:v>107.52</c:v>
                </c:pt>
                <c:pt idx="57">
                  <c:v>106.87</c:v>
                </c:pt>
                <c:pt idx="58">
                  <c:v>106.22</c:v>
                </c:pt>
                <c:pt idx="59">
                  <c:v>104.92</c:v>
                </c:pt>
                <c:pt idx="60">
                  <c:v>104.68</c:v>
                </c:pt>
                <c:pt idx="61">
                  <c:v>104.96</c:v>
                </c:pt>
                <c:pt idx="62">
                  <c:v>111.27</c:v>
                </c:pt>
                <c:pt idx="63">
                  <c:v>114.31</c:v>
                </c:pt>
                <c:pt idx="64">
                  <c:v>107.89</c:v>
                </c:pt>
                <c:pt idx="65">
                  <c:v>106.1</c:v>
                </c:pt>
                <c:pt idx="66">
                  <c:v>108.04</c:v>
                </c:pt>
                <c:pt idx="67">
                  <c:v>106.13</c:v>
                </c:pt>
                <c:pt idx="68">
                  <c:v>106.14</c:v>
                </c:pt>
                <c:pt idx="69">
                  <c:v>103.78</c:v>
                </c:pt>
                <c:pt idx="70">
                  <c:v>110.25</c:v>
                </c:pt>
                <c:pt idx="71">
                  <c:v>109.84</c:v>
                </c:pt>
                <c:pt idx="72">
                  <c:v>106.38</c:v>
                </c:pt>
                <c:pt idx="73">
                  <c:v>100.05</c:v>
                </c:pt>
                <c:pt idx="74">
                  <c:v>98.53</c:v>
                </c:pt>
                <c:pt idx="75">
                  <c:v>90.18</c:v>
                </c:pt>
              </c:numCache>
            </c:numRef>
          </c:val>
          <c:smooth val="0"/>
          <c:extLst>
            <c:ext xmlns:c16="http://schemas.microsoft.com/office/drawing/2014/chart" uri="{C3380CC4-5D6E-409C-BE32-E72D297353CC}">
              <c16:uniqueId val="{00000003-4642-4FFA-8894-A813BE97CA8C}"/>
            </c:ext>
          </c:extLst>
        </c:ser>
        <c:dLbls>
          <c:showLegendKey val="0"/>
          <c:showVal val="0"/>
          <c:showCatName val="0"/>
          <c:showSerName val="0"/>
          <c:showPercent val="0"/>
          <c:showBubbleSize val="0"/>
        </c:dLbls>
        <c:smooth val="0"/>
        <c:axId val="1508412351"/>
        <c:axId val="1508421471"/>
      </c:lineChart>
      <c:dateAx>
        <c:axId val="150841235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08421471"/>
        <c:crosses val="autoZero"/>
        <c:auto val="1"/>
        <c:lblOffset val="100"/>
        <c:baseTimeUnit val="months"/>
      </c:dateAx>
      <c:valAx>
        <c:axId val="15084214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08412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433387</xdr:colOff>
      <xdr:row>23</xdr:row>
      <xdr:rowOff>119062</xdr:rowOff>
    </xdr:from>
    <xdr:to>
      <xdr:col>24</xdr:col>
      <xdr:colOff>33337</xdr:colOff>
      <xdr:row>38</xdr:row>
      <xdr:rowOff>147637</xdr:rowOff>
    </xdr:to>
    <xdr:graphicFrame macro="">
      <xdr:nvGraphicFramePr>
        <xdr:cNvPr id="2" name="图表 1">
          <a:extLst>
            <a:ext uri="{FF2B5EF4-FFF2-40B4-BE49-F238E27FC236}">
              <a16:creationId xmlns:a16="http://schemas.microsoft.com/office/drawing/2014/main" id="{863E7D0E-E08B-5F1C-3B92-2D25C9A73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423862</xdr:colOff>
      <xdr:row>23</xdr:row>
      <xdr:rowOff>147637</xdr:rowOff>
    </xdr:from>
    <xdr:to>
      <xdr:col>31</xdr:col>
      <xdr:colOff>23812</xdr:colOff>
      <xdr:row>38</xdr:row>
      <xdr:rowOff>176212</xdr:rowOff>
    </xdr:to>
    <xdr:graphicFrame macro="">
      <xdr:nvGraphicFramePr>
        <xdr:cNvPr id="3" name="图表 2">
          <a:extLst>
            <a:ext uri="{FF2B5EF4-FFF2-40B4-BE49-F238E27FC236}">
              <a16:creationId xmlns:a16="http://schemas.microsoft.com/office/drawing/2014/main" id="{77921B4A-6C06-F1CB-6098-46717646E4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481011</xdr:colOff>
      <xdr:row>16</xdr:row>
      <xdr:rowOff>180974</xdr:rowOff>
    </xdr:from>
    <xdr:to>
      <xdr:col>14</xdr:col>
      <xdr:colOff>666750</xdr:colOff>
      <xdr:row>35</xdr:row>
      <xdr:rowOff>66675</xdr:rowOff>
    </xdr:to>
    <xdr:graphicFrame macro="">
      <xdr:nvGraphicFramePr>
        <xdr:cNvPr id="2" name="图表 1">
          <a:extLst>
            <a:ext uri="{FF2B5EF4-FFF2-40B4-BE49-F238E27FC236}">
              <a16:creationId xmlns:a16="http://schemas.microsoft.com/office/drawing/2014/main" id="{BB0C1608-7BCE-4135-A1A6-D745A9EE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4-1-0349&#19996;&#33457;&#24066;&#21335;&#37324;&#31199;&#37329;-&#26446;&#38632;&#35946;\&#23500;&#36149;&#22253;2018-2024.xlsx" TargetMode="External"/><Relationship Id="rId1" Type="http://schemas.openxmlformats.org/officeDocument/2006/relationships/externalLinkPath" Target="&#23500;&#36149;&#22253;2018-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 val="富贵园"/>
    </sheetNames>
    <sheetDataSet>
      <sheetData sheetId="0" refreshError="1"/>
      <sheetData sheetId="1" refreshError="1"/>
      <sheetData sheetId="2">
        <row r="1">
          <cell r="B1">
            <v>45383.333831018521</v>
          </cell>
          <cell r="C1">
            <v>45352.333831018521</v>
          </cell>
          <cell r="D1">
            <v>45323.333831018521</v>
          </cell>
          <cell r="E1">
            <v>45292.333831018521</v>
          </cell>
          <cell r="F1">
            <v>45261.333831018521</v>
          </cell>
          <cell r="G1">
            <v>45231.333831018521</v>
          </cell>
          <cell r="H1">
            <v>45200.333831018521</v>
          </cell>
          <cell r="I1">
            <v>45170.333831018521</v>
          </cell>
          <cell r="J1">
            <v>45139.333831018521</v>
          </cell>
          <cell r="K1">
            <v>45108.333831018521</v>
          </cell>
          <cell r="L1">
            <v>45078.333831018521</v>
          </cell>
          <cell r="M1">
            <v>45047.333831018521</v>
          </cell>
          <cell r="N1">
            <v>45017.333831018521</v>
          </cell>
          <cell r="O1">
            <v>44986.333831018521</v>
          </cell>
          <cell r="P1">
            <v>44958.333831018521</v>
          </cell>
          <cell r="Q1">
            <v>44927.333831018521</v>
          </cell>
          <cell r="R1">
            <v>44896.333831018521</v>
          </cell>
          <cell r="S1">
            <v>44866.333831018521</v>
          </cell>
          <cell r="T1">
            <v>44835.333831018521</v>
          </cell>
          <cell r="U1">
            <v>44805.333831018521</v>
          </cell>
          <cell r="V1">
            <v>44774.333831018521</v>
          </cell>
          <cell r="W1">
            <v>44743.333831018521</v>
          </cell>
          <cell r="X1">
            <v>44713.333831018521</v>
          </cell>
          <cell r="Y1">
            <v>44682.333831018521</v>
          </cell>
          <cell r="Z1">
            <v>44652.333831018521</v>
          </cell>
          <cell r="AA1">
            <v>44621.333831018521</v>
          </cell>
          <cell r="AB1">
            <v>44593.333831018521</v>
          </cell>
          <cell r="AC1">
            <v>44562.333831018521</v>
          </cell>
          <cell r="AD1">
            <v>44531.333831018521</v>
          </cell>
          <cell r="AE1">
            <v>44501.333831018521</v>
          </cell>
          <cell r="AF1">
            <v>44470.333831018521</v>
          </cell>
          <cell r="AG1">
            <v>44440.333831018521</v>
          </cell>
          <cell r="AH1">
            <v>44409.333831018521</v>
          </cell>
          <cell r="AI1">
            <v>44378.333831018521</v>
          </cell>
          <cell r="AJ1">
            <v>44348.333831018521</v>
          </cell>
          <cell r="AK1">
            <v>44317.333831018521</v>
          </cell>
          <cell r="AL1">
            <v>44287.333831018521</v>
          </cell>
          <cell r="AM1">
            <v>44256.333831018521</v>
          </cell>
          <cell r="AN1">
            <v>44228.333831018521</v>
          </cell>
          <cell r="AO1">
            <v>44197.333831018521</v>
          </cell>
          <cell r="AP1">
            <v>44166.333831018521</v>
          </cell>
          <cell r="AQ1">
            <v>44136.333831018521</v>
          </cell>
          <cell r="AR1">
            <v>44105.333831018521</v>
          </cell>
          <cell r="AS1">
            <v>44075.333831018521</v>
          </cell>
          <cell r="AT1">
            <v>44044.333831018521</v>
          </cell>
          <cell r="AU1">
            <v>44013.333831018521</v>
          </cell>
          <cell r="AV1">
            <v>43983.333831018521</v>
          </cell>
          <cell r="AW1">
            <v>43952.333831018521</v>
          </cell>
          <cell r="AX1">
            <v>43922.333831018521</v>
          </cell>
          <cell r="AY1">
            <v>43891.333831018521</v>
          </cell>
          <cell r="AZ1">
            <v>43862.333831018521</v>
          </cell>
          <cell r="BA1">
            <v>43831.333831018521</v>
          </cell>
          <cell r="BB1">
            <v>43800.333831018521</v>
          </cell>
          <cell r="BC1">
            <v>43770.333831018521</v>
          </cell>
          <cell r="BD1">
            <v>43739.333831018521</v>
          </cell>
          <cell r="BE1">
            <v>43709.333831018521</v>
          </cell>
          <cell r="BF1">
            <v>43678.333831018521</v>
          </cell>
          <cell r="BG1">
            <v>43647.333831018521</v>
          </cell>
          <cell r="BH1">
            <v>43617.333831018521</v>
          </cell>
          <cell r="BI1">
            <v>43586.333831018521</v>
          </cell>
          <cell r="BJ1">
            <v>43556.333831018521</v>
          </cell>
          <cell r="BK1">
            <v>43525.333831018521</v>
          </cell>
          <cell r="BL1">
            <v>43497.333831018521</v>
          </cell>
          <cell r="BM1">
            <v>43466.333831018521</v>
          </cell>
          <cell r="BN1">
            <v>43435.333831018521</v>
          </cell>
          <cell r="BO1">
            <v>43405.333831018521</v>
          </cell>
          <cell r="BP1">
            <v>43374.333831018521</v>
          </cell>
          <cell r="BQ1">
            <v>43344.333831018521</v>
          </cell>
          <cell r="BR1">
            <v>43313.333831018521</v>
          </cell>
          <cell r="BS1">
            <v>43282.333831018521</v>
          </cell>
          <cell r="BT1">
            <v>43252.333831018521</v>
          </cell>
          <cell r="BU1">
            <v>43221.333831018521</v>
          </cell>
          <cell r="BV1">
            <v>43191.333831018521</v>
          </cell>
          <cell r="BW1">
            <v>43160.333831018521</v>
          </cell>
          <cell r="BX1">
            <v>43132.333831018521</v>
          </cell>
          <cell r="BY1">
            <v>43101.333831018521</v>
          </cell>
        </row>
        <row r="2">
          <cell r="A2" t="str">
            <v>富贵园四区</v>
          </cell>
          <cell r="B2">
            <v>124.73</v>
          </cell>
          <cell r="C2">
            <v>122.5</v>
          </cell>
          <cell r="D2">
            <v>121.16</v>
          </cell>
          <cell r="E2">
            <v>123.85</v>
          </cell>
          <cell r="F2">
            <v>125.55</v>
          </cell>
          <cell r="G2">
            <v>128.91999999999999</v>
          </cell>
          <cell r="H2">
            <v>130.93</v>
          </cell>
          <cell r="I2">
            <v>132.58000000000001</v>
          </cell>
          <cell r="J2">
            <v>128.91</v>
          </cell>
          <cell r="K2">
            <v>130.22999999999999</v>
          </cell>
          <cell r="L2">
            <v>127.24</v>
          </cell>
          <cell r="M2">
            <v>123.53</v>
          </cell>
          <cell r="N2">
            <v>124.29</v>
          </cell>
          <cell r="O2">
            <v>125.68</v>
          </cell>
          <cell r="P2">
            <v>123.43</v>
          </cell>
          <cell r="Q2">
            <v>120.62</v>
          </cell>
          <cell r="R2">
            <v>120.64</v>
          </cell>
          <cell r="S2">
            <v>119.72</v>
          </cell>
          <cell r="T2">
            <v>122.01</v>
          </cell>
          <cell r="U2">
            <v>171.02</v>
          </cell>
          <cell r="V2">
            <v>144.47</v>
          </cell>
          <cell r="W2">
            <v>144.19</v>
          </cell>
          <cell r="X2">
            <v>142.41</v>
          </cell>
          <cell r="Y2">
            <v>143.88999999999999</v>
          </cell>
          <cell r="Z2">
            <v>124.21</v>
          </cell>
          <cell r="AA2">
            <v>138.63</v>
          </cell>
          <cell r="AB2">
            <v>134.72</v>
          </cell>
          <cell r="AC2">
            <v>133.04</v>
          </cell>
          <cell r="AD2">
            <v>128.91999999999999</v>
          </cell>
          <cell r="AE2">
            <v>137.07</v>
          </cell>
          <cell r="AF2">
            <v>133.66999999999999</v>
          </cell>
          <cell r="AG2">
            <v>131.66999999999999</v>
          </cell>
          <cell r="AH2" t="str">
            <v>--</v>
          </cell>
          <cell r="AI2" t="str">
            <v>--</v>
          </cell>
          <cell r="AJ2" t="str">
            <v>--</v>
          </cell>
          <cell r="AK2" t="str">
            <v>--</v>
          </cell>
          <cell r="AL2" t="str">
            <v>--</v>
          </cell>
          <cell r="AM2" t="str">
            <v>--</v>
          </cell>
          <cell r="AN2" t="str">
            <v>--</v>
          </cell>
          <cell r="AO2" t="str">
            <v>--</v>
          </cell>
          <cell r="AP2" t="str">
            <v>--</v>
          </cell>
          <cell r="AQ2" t="str">
            <v>--</v>
          </cell>
          <cell r="AR2">
            <v>114.69</v>
          </cell>
          <cell r="AS2">
            <v>121.02</v>
          </cell>
          <cell r="AT2">
            <v>123.9</v>
          </cell>
          <cell r="AU2" t="str">
            <v>--</v>
          </cell>
          <cell r="AV2">
            <v>136.13999999999999</v>
          </cell>
          <cell r="AW2">
            <v>116.77</v>
          </cell>
          <cell r="AX2">
            <v>104.46</v>
          </cell>
          <cell r="AY2">
            <v>111.95</v>
          </cell>
          <cell r="AZ2">
            <v>106.56</v>
          </cell>
          <cell r="BA2" t="str">
            <v>--</v>
          </cell>
          <cell r="BB2">
            <v>116.33</v>
          </cell>
          <cell r="BC2">
            <v>116.37</v>
          </cell>
          <cell r="BD2">
            <v>130.69999999999999</v>
          </cell>
          <cell r="BE2">
            <v>117.56</v>
          </cell>
          <cell r="BF2">
            <v>122.49</v>
          </cell>
          <cell r="BG2">
            <v>126.8</v>
          </cell>
          <cell r="BH2">
            <v>121.48</v>
          </cell>
          <cell r="BI2">
            <v>117.38</v>
          </cell>
          <cell r="BJ2">
            <v>110.95</v>
          </cell>
          <cell r="BK2">
            <v>115.7</v>
          </cell>
          <cell r="BL2">
            <v>116.38</v>
          </cell>
          <cell r="BM2">
            <v>114.78</v>
          </cell>
          <cell r="BN2">
            <v>115.63</v>
          </cell>
          <cell r="BO2">
            <v>118.2</v>
          </cell>
          <cell r="BP2">
            <v>116.06</v>
          </cell>
          <cell r="BQ2">
            <v>120</v>
          </cell>
          <cell r="BR2">
            <v>119.96</v>
          </cell>
          <cell r="BS2">
            <v>112.94</v>
          </cell>
          <cell r="BT2" t="str">
            <v>--</v>
          </cell>
          <cell r="BU2" t="str">
            <v>--</v>
          </cell>
          <cell r="BV2">
            <v>177.46</v>
          </cell>
          <cell r="BW2" t="str">
            <v>--</v>
          </cell>
          <cell r="BX2">
            <v>120.39</v>
          </cell>
          <cell r="BY2">
            <v>108.01</v>
          </cell>
        </row>
        <row r="3">
          <cell r="A3" t="str">
            <v>富贵园二区</v>
          </cell>
          <cell r="B3">
            <v>121.44</v>
          </cell>
          <cell r="C3">
            <v>118.17</v>
          </cell>
          <cell r="D3">
            <v>117.24</v>
          </cell>
          <cell r="E3">
            <v>116.47</v>
          </cell>
          <cell r="F3">
            <v>113.09</v>
          </cell>
          <cell r="G3">
            <v>120.44</v>
          </cell>
          <cell r="H3">
            <v>128.96</v>
          </cell>
          <cell r="I3">
            <v>136.91</v>
          </cell>
          <cell r="J3">
            <v>114.55</v>
          </cell>
          <cell r="K3">
            <v>111.93</v>
          </cell>
          <cell r="L3">
            <v>110.41</v>
          </cell>
          <cell r="M3">
            <v>113.41</v>
          </cell>
          <cell r="N3">
            <v>106.59</v>
          </cell>
          <cell r="O3">
            <v>107.57</v>
          </cell>
          <cell r="P3">
            <v>107.91</v>
          </cell>
          <cell r="Q3">
            <v>108.55</v>
          </cell>
          <cell r="R3">
            <v>110.52</v>
          </cell>
          <cell r="S3">
            <v>111.49</v>
          </cell>
          <cell r="T3">
            <v>116.55</v>
          </cell>
          <cell r="U3">
            <v>139.13</v>
          </cell>
          <cell r="V3">
            <v>111.89</v>
          </cell>
          <cell r="W3">
            <v>116.13</v>
          </cell>
          <cell r="X3">
            <v>107.62</v>
          </cell>
          <cell r="Y3">
            <v>108.05</v>
          </cell>
          <cell r="Z3">
            <v>108.56</v>
          </cell>
          <cell r="AA3">
            <v>102.58</v>
          </cell>
          <cell r="AB3">
            <v>108.15</v>
          </cell>
          <cell r="AC3">
            <v>114</v>
          </cell>
          <cell r="AD3">
            <v>115.7</v>
          </cell>
          <cell r="AE3">
            <v>111.92</v>
          </cell>
          <cell r="AF3">
            <v>113.46</v>
          </cell>
          <cell r="AG3">
            <v>111.55</v>
          </cell>
          <cell r="AH3">
            <v>116.75</v>
          </cell>
          <cell r="AI3">
            <v>115.12</v>
          </cell>
          <cell r="AJ3" t="str">
            <v>--</v>
          </cell>
          <cell r="AK3">
            <v>115.1</v>
          </cell>
          <cell r="AL3">
            <v>108.64</v>
          </cell>
          <cell r="AM3">
            <v>98.97</v>
          </cell>
          <cell r="AN3">
            <v>96.35</v>
          </cell>
          <cell r="AO3">
            <v>97.15</v>
          </cell>
          <cell r="AP3">
            <v>94.77</v>
          </cell>
          <cell r="AQ3">
            <v>97.21</v>
          </cell>
          <cell r="AR3">
            <v>97.64</v>
          </cell>
          <cell r="AS3">
            <v>97.95</v>
          </cell>
          <cell r="AT3">
            <v>98.48</v>
          </cell>
          <cell r="AU3">
            <v>99.15</v>
          </cell>
          <cell r="AV3">
            <v>104.89</v>
          </cell>
          <cell r="AW3">
            <v>106.63</v>
          </cell>
          <cell r="AX3">
            <v>104.37</v>
          </cell>
          <cell r="AY3">
            <v>113.63</v>
          </cell>
          <cell r="AZ3">
            <v>112.3</v>
          </cell>
          <cell r="BA3">
            <v>112.63</v>
          </cell>
          <cell r="BB3">
            <v>112.84</v>
          </cell>
          <cell r="BC3">
            <v>105.22</v>
          </cell>
          <cell r="BD3">
            <v>120.75</v>
          </cell>
          <cell r="BE3">
            <v>110.24</v>
          </cell>
          <cell r="BF3">
            <v>110.08</v>
          </cell>
          <cell r="BG3">
            <v>109.4</v>
          </cell>
          <cell r="BH3">
            <v>117.36</v>
          </cell>
          <cell r="BI3">
            <v>115.76</v>
          </cell>
          <cell r="BJ3">
            <v>114.55</v>
          </cell>
          <cell r="BK3">
            <v>113.03</v>
          </cell>
          <cell r="BL3">
            <v>113</v>
          </cell>
          <cell r="BM3">
            <v>106.08</v>
          </cell>
          <cell r="BN3">
            <v>104.29</v>
          </cell>
          <cell r="BO3">
            <v>103.86</v>
          </cell>
          <cell r="BP3">
            <v>112.11</v>
          </cell>
          <cell r="BQ3">
            <v>102.28</v>
          </cell>
          <cell r="BR3">
            <v>91.75</v>
          </cell>
          <cell r="BS3">
            <v>96.16</v>
          </cell>
          <cell r="BT3" t="str">
            <v>--</v>
          </cell>
          <cell r="BU3" t="str">
            <v>--</v>
          </cell>
          <cell r="BV3">
            <v>95.4</v>
          </cell>
          <cell r="BW3" t="str">
            <v>--</v>
          </cell>
          <cell r="BX3">
            <v>93.37</v>
          </cell>
          <cell r="BY3">
            <v>87.93</v>
          </cell>
        </row>
        <row r="4">
          <cell r="A4" t="str">
            <v>富贵园三区</v>
          </cell>
          <cell r="B4">
            <v>127.25</v>
          </cell>
          <cell r="C4">
            <v>125.77</v>
          </cell>
          <cell r="D4">
            <v>123.71</v>
          </cell>
          <cell r="E4">
            <v>124.22</v>
          </cell>
          <cell r="F4">
            <v>120.02</v>
          </cell>
          <cell r="G4">
            <v>116.36</v>
          </cell>
          <cell r="H4">
            <v>119.07</v>
          </cell>
          <cell r="I4">
            <v>121.87</v>
          </cell>
          <cell r="J4">
            <v>116.39</v>
          </cell>
          <cell r="K4">
            <v>113.15</v>
          </cell>
          <cell r="L4">
            <v>106.4</v>
          </cell>
          <cell r="M4">
            <v>107.7</v>
          </cell>
          <cell r="N4">
            <v>107.37</v>
          </cell>
          <cell r="O4">
            <v>108.2</v>
          </cell>
          <cell r="P4">
            <v>107.45</v>
          </cell>
          <cell r="Q4">
            <v>108.79</v>
          </cell>
          <cell r="R4">
            <v>112.35</v>
          </cell>
          <cell r="S4">
            <v>112.71</v>
          </cell>
          <cell r="T4">
            <v>116.29</v>
          </cell>
          <cell r="U4">
            <v>118.69</v>
          </cell>
          <cell r="V4">
            <v>120.27</v>
          </cell>
          <cell r="W4">
            <v>116.1</v>
          </cell>
          <cell r="X4">
            <v>113.93</v>
          </cell>
          <cell r="Y4">
            <v>112.07</v>
          </cell>
          <cell r="Z4">
            <v>112.01</v>
          </cell>
          <cell r="AA4">
            <v>139.58000000000001</v>
          </cell>
          <cell r="AB4">
            <v>122.03</v>
          </cell>
          <cell r="AC4">
            <v>112.13</v>
          </cell>
          <cell r="AD4">
            <v>115.85</v>
          </cell>
          <cell r="AE4">
            <v>116.48</v>
          </cell>
          <cell r="AF4">
            <v>115.79</v>
          </cell>
          <cell r="AG4">
            <v>114.71</v>
          </cell>
          <cell r="AH4">
            <v>106.89</v>
          </cell>
          <cell r="AI4" t="str">
            <v>--</v>
          </cell>
          <cell r="AJ4" t="str">
            <v>--</v>
          </cell>
          <cell r="AK4">
            <v>106.82</v>
          </cell>
          <cell r="AL4" t="str">
            <v>--</v>
          </cell>
          <cell r="AM4">
            <v>87.48</v>
          </cell>
          <cell r="AN4">
            <v>93.09</v>
          </cell>
          <cell r="AO4">
            <v>90.07</v>
          </cell>
          <cell r="AP4">
            <v>100.18</v>
          </cell>
          <cell r="AQ4" t="str">
            <v>--</v>
          </cell>
          <cell r="AR4">
            <v>98.72</v>
          </cell>
          <cell r="AS4">
            <v>97.75</v>
          </cell>
          <cell r="AT4">
            <v>105.42</v>
          </cell>
          <cell r="AU4">
            <v>98.48</v>
          </cell>
          <cell r="AV4">
            <v>109.75</v>
          </cell>
          <cell r="AW4">
            <v>106.48</v>
          </cell>
          <cell r="AX4">
            <v>109.73</v>
          </cell>
          <cell r="AY4">
            <v>110.42</v>
          </cell>
          <cell r="AZ4">
            <v>116.23</v>
          </cell>
          <cell r="BA4" t="str">
            <v>--</v>
          </cell>
          <cell r="BB4">
            <v>116.38</v>
          </cell>
          <cell r="BC4" t="str">
            <v>--</v>
          </cell>
          <cell r="BD4" t="str">
            <v>--</v>
          </cell>
          <cell r="BE4" t="str">
            <v>--</v>
          </cell>
          <cell r="BF4" t="str">
            <v>--</v>
          </cell>
          <cell r="BG4" t="str">
            <v>--</v>
          </cell>
          <cell r="BH4" t="str">
            <v>--</v>
          </cell>
          <cell r="BI4" t="str">
            <v>--</v>
          </cell>
          <cell r="BJ4" t="str">
            <v>--</v>
          </cell>
          <cell r="BK4" t="str">
            <v>--</v>
          </cell>
          <cell r="BL4" t="str">
            <v>--</v>
          </cell>
          <cell r="BM4" t="str">
            <v>--</v>
          </cell>
          <cell r="BN4" t="str">
            <v>--</v>
          </cell>
          <cell r="BO4" t="str">
            <v>--</v>
          </cell>
          <cell r="BP4" t="str">
            <v>--</v>
          </cell>
          <cell r="BQ4" t="str">
            <v>--</v>
          </cell>
          <cell r="BR4" t="str">
            <v>--</v>
          </cell>
          <cell r="BS4" t="str">
            <v>--</v>
          </cell>
          <cell r="BT4" t="str">
            <v>--</v>
          </cell>
          <cell r="BU4" t="str">
            <v>--</v>
          </cell>
          <cell r="BV4" t="str">
            <v>--</v>
          </cell>
          <cell r="BW4" t="str">
            <v>--</v>
          </cell>
          <cell r="BX4" t="str">
            <v>--</v>
          </cell>
          <cell r="BY4" t="str">
            <v>--</v>
          </cell>
        </row>
        <row r="5">
          <cell r="A5" t="str">
            <v>富贵园一区</v>
          </cell>
          <cell r="B5">
            <v>129.77000000000001</v>
          </cell>
          <cell r="C5">
            <v>129.87</v>
          </cell>
          <cell r="D5">
            <v>132.63</v>
          </cell>
          <cell r="E5">
            <v>129.02000000000001</v>
          </cell>
          <cell r="F5">
            <v>130.63</v>
          </cell>
          <cell r="G5">
            <v>134.35</v>
          </cell>
          <cell r="H5">
            <v>138.43</v>
          </cell>
          <cell r="I5">
            <v>143.69</v>
          </cell>
          <cell r="J5">
            <v>150.6</v>
          </cell>
          <cell r="K5">
            <v>143.05000000000001</v>
          </cell>
          <cell r="L5">
            <v>145.54</v>
          </cell>
          <cell r="M5">
            <v>143.87</v>
          </cell>
          <cell r="N5">
            <v>143.34</v>
          </cell>
          <cell r="O5">
            <v>144.87</v>
          </cell>
          <cell r="P5">
            <v>143.38</v>
          </cell>
          <cell r="Q5">
            <v>145.28</v>
          </cell>
          <cell r="R5">
            <v>140.72999999999999</v>
          </cell>
          <cell r="S5">
            <v>139.24</v>
          </cell>
          <cell r="T5">
            <v>141.86000000000001</v>
          </cell>
          <cell r="U5">
            <v>143.91999999999999</v>
          </cell>
          <cell r="V5">
            <v>142.34</v>
          </cell>
          <cell r="W5">
            <v>132.88</v>
          </cell>
          <cell r="X5">
            <v>128.94</v>
          </cell>
          <cell r="Y5">
            <v>131.33000000000001</v>
          </cell>
          <cell r="Z5">
            <v>128.30000000000001</v>
          </cell>
          <cell r="AA5">
            <v>120.1</v>
          </cell>
          <cell r="AB5">
            <v>117.82</v>
          </cell>
          <cell r="AC5">
            <v>120.93</v>
          </cell>
          <cell r="AD5">
            <v>105.82</v>
          </cell>
          <cell r="AE5">
            <v>92.69</v>
          </cell>
          <cell r="AF5">
            <v>105.51</v>
          </cell>
          <cell r="AG5">
            <v>91.04</v>
          </cell>
          <cell r="AH5">
            <v>120.86</v>
          </cell>
          <cell r="AI5">
            <v>121.62</v>
          </cell>
          <cell r="AJ5">
            <v>122.44</v>
          </cell>
          <cell r="AK5">
            <v>122.77</v>
          </cell>
          <cell r="AL5">
            <v>107.8</v>
          </cell>
          <cell r="AM5">
            <v>105.94</v>
          </cell>
          <cell r="AN5">
            <v>100.92</v>
          </cell>
          <cell r="AO5">
            <v>105.64</v>
          </cell>
          <cell r="AP5">
            <v>101.91</v>
          </cell>
          <cell r="AQ5">
            <v>101.76</v>
          </cell>
          <cell r="AR5">
            <v>102.72</v>
          </cell>
          <cell r="AS5">
            <v>103.79</v>
          </cell>
          <cell r="AT5">
            <v>98.36</v>
          </cell>
          <cell r="AU5">
            <v>104.2</v>
          </cell>
          <cell r="AV5">
            <v>106.45</v>
          </cell>
          <cell r="AW5">
            <v>106.43</v>
          </cell>
          <cell r="AX5">
            <v>102.4</v>
          </cell>
          <cell r="AY5">
            <v>101.05</v>
          </cell>
          <cell r="AZ5">
            <v>101.57</v>
          </cell>
          <cell r="BA5">
            <v>96.21</v>
          </cell>
          <cell r="BB5">
            <v>104.66</v>
          </cell>
          <cell r="BC5">
            <v>105.45</v>
          </cell>
          <cell r="BD5">
            <v>102.08</v>
          </cell>
          <cell r="BE5">
            <v>106.98</v>
          </cell>
          <cell r="BF5">
            <v>107.52</v>
          </cell>
          <cell r="BG5">
            <v>106.87</v>
          </cell>
          <cell r="BH5">
            <v>106.22</v>
          </cell>
          <cell r="BI5">
            <v>104.92</v>
          </cell>
          <cell r="BJ5">
            <v>104.68</v>
          </cell>
          <cell r="BK5">
            <v>104.96</v>
          </cell>
          <cell r="BL5">
            <v>111.27</v>
          </cell>
          <cell r="BM5">
            <v>114.31</v>
          </cell>
          <cell r="BN5">
            <v>107.89</v>
          </cell>
          <cell r="BO5">
            <v>106.1</v>
          </cell>
          <cell r="BP5">
            <v>108.04</v>
          </cell>
          <cell r="BQ5">
            <v>106.13</v>
          </cell>
          <cell r="BR5">
            <v>106.14</v>
          </cell>
          <cell r="BS5">
            <v>103.78</v>
          </cell>
          <cell r="BT5">
            <v>110.25</v>
          </cell>
          <cell r="BU5">
            <v>109.84</v>
          </cell>
          <cell r="BV5">
            <v>106.38</v>
          </cell>
          <cell r="BW5">
            <v>100.05</v>
          </cell>
          <cell r="BX5">
            <v>98.53</v>
          </cell>
          <cell r="BY5">
            <v>90.18</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估价对象为房地产，为所有。根据《国有土地使用证》[]，估价对象（分摊）出让国有建设用地使用权面积为0平方米，建筑面积为71.58平方米。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估价对象为房地产,属开发建设的，该项目尚在开发建设中。根据《国有土地使用证》[]，估价对象（分摊）出让国有建设用地使用权面积为0平方米，规划建筑面积为71.58平方米。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2022年12月1日</v>
      </c>
    </row>
    <row r="13" spans="1:2">
      <c r="A13" s="1119" t="s">
        <v>529</v>
      </c>
      <c r="B13" s="112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71.58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2"/>
      <c r="B54" s="1447" t="s">
        <v>385</v>
      </c>
      <c r="C54" s="1445" t="s">
        <v>583</v>
      </c>
    </row>
    <row r="55" spans="1:4">
      <c r="A55" s="3182"/>
      <c r="B55" s="1447" t="s">
        <v>386</v>
      </c>
      <c r="C55" s="1445" t="s">
        <v>584</v>
      </c>
    </row>
    <row r="56" spans="1:4">
      <c r="A56" s="3182"/>
      <c r="B56" s="1447" t="s">
        <v>387</v>
      </c>
      <c r="C56" s="1445" t="s">
        <v>588</v>
      </c>
    </row>
    <row r="57" spans="1:4">
      <c r="A57" s="318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183" t="s">
        <v>2583</v>
      </c>
      <c r="J2" s="3183"/>
      <c r="K2" s="3183"/>
      <c r="L2" s="3183"/>
      <c r="M2" s="3183"/>
      <c r="N2" s="3183"/>
      <c r="O2" s="3183"/>
      <c r="P2" s="3183"/>
      <c r="Q2" s="3183"/>
      <c r="R2" s="3183"/>
    </row>
    <row r="3" spans="1:18">
      <c r="A3" s="2760" t="s">
        <v>2504</v>
      </c>
      <c r="B3" s="2761">
        <f>项目基本情况!D3</f>
        <v>44896</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4.05</v>
      </c>
      <c r="D5" s="2765">
        <f>IF(ISERROR(ROUND(POWER(1+E5,A5-C5)*(POWER(1+E5,C5)-1)/(POWER(1+E5,A5)-1),3)),0,ROUND(POWER(1+E5,A5-C5)*(POWER(1+E5,C5)-1)/(POWER(1+E5,A5)-1),4))</f>
        <v>0.1855</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14.06</v>
      </c>
      <c r="D6" s="2765">
        <f>IF(ISERROR(ROUND(POWER(1+E6,A6-C6)*(POWER(1+E6,C6)-1)/(POWER(1+E6,A6)-1),3)),0,ROUND(POWER(1+E6,A6-C6)*(POWER(1+E6,C6)-1)/(POWER(1+E6,A6)-1),4))</f>
        <v>0.49330000000000002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34.07</v>
      </c>
      <c r="D7" s="2765">
        <f>IF(ISERROR(ROUND(POWER(1+E7,A7-C7)*(POWER(1+E7,C7)-1)/(POWER(1+E7,A7)-1),3)),0,ROUND(POWER(1+E7,A7-C7)*(POWER(1+E7,C7)-1)/(POWER(1+E7,A7)-1),4))</f>
        <v>0.78779999999999994</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184" t="str">
        <f>IF(B10="北京市","北京市",C10)&amp;F10&amp;IF(结果表!G1="在建","出让国有建设用地使用权及在建建筑物",IF(结果表!G1="土地","出让国有建设用地使用权",))&amp;B9&amp;"预评估"</f>
        <v>预评估</v>
      </c>
      <c r="C1" s="3185"/>
      <c r="D1" s="3185"/>
      <c r="E1" s="3185"/>
      <c r="F1" s="3185"/>
      <c r="G1" s="3185"/>
      <c r="H1" s="3185"/>
      <c r="I1" s="3186"/>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2">
        <v>45434</v>
      </c>
      <c r="C3" s="2183" t="s">
        <v>2171</v>
      </c>
      <c r="D3" s="2182">
        <v>44896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3382</v>
      </c>
      <c r="C8" s="2198"/>
      <c r="D8" s="3187" t="s">
        <v>2177</v>
      </c>
      <c r="E8" s="2199"/>
      <c r="F8" s="2200"/>
      <c r="G8" s="2439"/>
      <c r="H8" s="2439"/>
      <c r="I8" s="2439"/>
      <c r="J8" s="2242"/>
      <c r="K8" s="2397"/>
      <c r="L8" s="2396"/>
      <c r="M8" s="2396"/>
      <c r="N8" s="2242"/>
      <c r="O8" s="1670"/>
      <c r="P8" s="2242"/>
      <c r="Q8" s="2242"/>
      <c r="R8" s="2242"/>
    </row>
    <row r="9" spans="1:30" ht="13.5" thickBot="1">
      <c r="A9" s="2201" t="s">
        <v>2178</v>
      </c>
      <c r="B9" s="2202"/>
      <c r="C9" s="2203"/>
      <c r="D9" s="3188"/>
      <c r="E9" s="2202"/>
      <c r="F9" s="2204"/>
      <c r="G9" s="2440"/>
      <c r="H9" s="2440"/>
      <c r="I9" s="2440"/>
      <c r="J9" s="2242"/>
      <c r="K9" s="2399"/>
      <c r="L9" s="2396"/>
      <c r="M9" s="2396"/>
      <c r="N9" s="2242"/>
      <c r="O9" s="1670"/>
      <c r="P9" s="2242"/>
      <c r="Q9" s="2242"/>
      <c r="R9" s="2242"/>
    </row>
    <row r="10" spans="1:30" ht="13.5" thickTop="1">
      <c r="A10" s="2205" t="s">
        <v>2179</v>
      </c>
      <c r="B10" s="2206"/>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70"/>
      <c r="O12" s="2242"/>
      <c r="P12" s="2242"/>
      <c r="Q12" s="2242"/>
      <c r="AD12" s="1618"/>
    </row>
    <row r="13" spans="1:30">
      <c r="A13" s="3119" t="s">
        <v>3335</v>
      </c>
      <c r="B13" s="2215" t="s">
        <v>2190</v>
      </c>
      <c r="C13" s="803"/>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194"/>
      <c r="C16" s="3195"/>
      <c r="D16" s="3196"/>
      <c r="E16" s="2219" t="s">
        <v>2194</v>
      </c>
      <c r="F16" s="3197"/>
      <c r="G16" s="3198"/>
      <c r="H16" s="3198"/>
      <c r="I16" s="3199"/>
      <c r="J16" s="2242"/>
      <c r="K16" s="2400"/>
      <c r="L16" s="1670"/>
      <c r="M16" s="1670"/>
      <c r="N16" s="2242"/>
      <c r="O16" s="1670"/>
      <c r="P16" s="2242"/>
      <c r="Q16" s="2242"/>
      <c r="R16" s="2242"/>
    </row>
    <row r="17" spans="1:28">
      <c r="A17" s="305" t="s">
        <v>2195</v>
      </c>
      <c r="B17" s="294" t="s">
        <v>2196</v>
      </c>
      <c r="C17" s="8">
        <f>'数据-汇总表'!E3</f>
        <v>71.58</v>
      </c>
      <c r="D17" s="1256" t="s">
        <v>2197</v>
      </c>
      <c r="E17" s="3200" t="s">
        <v>2198</v>
      </c>
      <c r="F17" s="3201"/>
      <c r="G17" s="3201"/>
      <c r="H17" s="3201"/>
      <c r="I17" s="3202"/>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03" t="s">
        <v>2202</v>
      </c>
      <c r="F18" s="3204"/>
      <c r="G18" s="3204"/>
      <c r="H18" s="3204"/>
      <c r="I18" s="3205"/>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190" t="s">
        <v>2206</v>
      </c>
      <c r="C20" s="3191"/>
      <c r="D20" s="3192" t="s">
        <v>2207</v>
      </c>
      <c r="E20" s="3193"/>
      <c r="F20" s="2427" t="s">
        <v>1056</v>
      </c>
      <c r="G20" s="2439"/>
      <c r="H20" s="2439"/>
      <c r="I20" s="2439"/>
      <c r="J20" s="2242"/>
      <c r="K20" s="318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18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18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07"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07"/>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07"/>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08"/>
      <c r="B30" s="294" t="s">
        <v>2218</v>
      </c>
      <c r="C30" s="3209"/>
      <c r="D30" s="3210"/>
      <c r="E30" s="2439"/>
      <c r="F30" s="2439"/>
      <c r="G30" s="2439"/>
      <c r="H30" s="2439"/>
      <c r="I30" s="2439"/>
      <c r="J30" s="2242"/>
      <c r="K30" s="2399"/>
      <c r="L30" s="2396"/>
      <c r="M30" s="2396"/>
      <c r="N30" s="2242"/>
      <c r="O30" s="1670"/>
      <c r="P30" s="2242"/>
      <c r="Q30" s="2242"/>
      <c r="R30" s="2242"/>
      <c r="S30" s="2242"/>
      <c r="T30" s="2242"/>
      <c r="U30" s="2242"/>
      <c r="V30" s="2242"/>
    </row>
    <row r="31" spans="1:28">
      <c r="A31" s="3211"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12"/>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12"/>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2"/>
      <c r="V34" s="2242"/>
    </row>
    <row r="35" spans="1:30">
      <c r="A35" s="2233"/>
      <c r="B35" s="3206" t="s">
        <v>2229</v>
      </c>
      <c r="C35" s="3206"/>
      <c r="D35" s="3206"/>
      <c r="E35" s="3206"/>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71.58</v>
      </c>
      <c r="H5" s="13">
        <f t="shared" ref="H5:AT5" si="0">SUM(H13:H656)</f>
        <v>71.58</v>
      </c>
      <c r="I5" s="13">
        <f t="shared" si="0"/>
        <v>71.58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71.58</v>
      </c>
      <c r="BA5" s="15">
        <f t="shared" si="1"/>
        <v>71.58</v>
      </c>
      <c r="BB5" s="15">
        <f t="shared" si="1"/>
        <v>71.58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71.58</v>
      </c>
      <c r="H13" s="17">
        <f>SUMIF(I$12:AB$12,"总值",I13:AB13)</f>
        <v>71.58</v>
      </c>
      <c r="I13" s="1514">
        <v>71.58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71.58</v>
      </c>
      <c r="BA13" s="13">
        <f>SUM(BB13:BK13)</f>
        <v>71.58</v>
      </c>
      <c r="BB13" s="13">
        <f>IF($D13="是",I13-J13,0)</f>
        <v>71.58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2" t="s">
        <v>1131</v>
      </c>
      <c r="B2" s="3222"/>
      <c r="C2" s="3222"/>
      <c r="D2" s="748" t="s">
        <v>1107</v>
      </c>
      <c r="E2" s="1523" t="s">
        <v>1108</v>
      </c>
      <c r="F2" s="2436"/>
      <c r="G2" s="2429"/>
      <c r="H2" s="2430"/>
      <c r="I2" s="2143" t="s">
        <v>1132</v>
      </c>
      <c r="J2" s="2436"/>
      <c r="K2" s="2436"/>
      <c r="L2" s="2436"/>
      <c r="M2" s="2436"/>
      <c r="N2" s="2437"/>
      <c r="O2" s="2436"/>
      <c r="P2" s="2436"/>
    </row>
    <row r="3" spans="1:16" ht="15.75" thickBot="1">
      <c r="A3" s="3223" t="s">
        <v>1105</v>
      </c>
      <c r="B3" s="3223"/>
      <c r="C3" s="3223"/>
      <c r="D3" s="41">
        <f>'数据-基础表'!AY6</f>
        <v>0</v>
      </c>
      <c r="E3" s="41">
        <f>'数据-基础表'!AZ5</f>
        <v>71.58</v>
      </c>
      <c r="F3" s="2436"/>
      <c r="G3" s="42"/>
      <c r="H3" s="43" t="s">
        <v>1106</v>
      </c>
      <c r="I3" s="802" t="e">
        <f>ROUND('数据-基础表'!B3/'数据-基础表'!A3,2)</f>
        <v>#DIV/0!</v>
      </c>
      <c r="J3" s="2436"/>
      <c r="K3" s="2436"/>
      <c r="L3" s="2436"/>
      <c r="M3" s="2436"/>
      <c r="N3" s="2437"/>
      <c r="O3" s="2436"/>
      <c r="P3" s="2436"/>
    </row>
    <row r="4" spans="1:16" ht="15">
      <c r="A4" s="3224"/>
      <c r="B4" s="3225"/>
      <c r="C4" s="3226"/>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27" t="s">
        <v>1110</v>
      </c>
      <c r="C5" s="3227"/>
      <c r="D5" s="43">
        <f>ROUND($D$3*E5/$E$3,2)</f>
        <v>0</v>
      </c>
      <c r="E5" s="44">
        <f>SUMIF('数据-基础表'!$11:$11,"住宅",'数据-基础表'!$5:$5)</f>
        <v>71.58</v>
      </c>
      <c r="F5" s="2436"/>
      <c r="G5" s="42"/>
      <c r="H5" s="43" t="s">
        <v>1106</v>
      </c>
      <c r="I5" s="802" t="e">
        <f>ROUND(E31/D31,2)</f>
        <v>#DIV/0!</v>
      </c>
      <c r="J5" s="2436"/>
      <c r="K5" s="2436"/>
      <c r="L5" s="2436"/>
      <c r="M5" s="2436"/>
      <c r="N5" s="2436"/>
      <c r="O5" s="2436"/>
      <c r="P5" s="2436"/>
    </row>
    <row r="6" spans="1:16" ht="15" thickBot="1">
      <c r="A6" s="1527"/>
      <c r="B6" s="3227" t="s">
        <v>1111</v>
      </c>
      <c r="C6" s="3227"/>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19"/>
      <c r="B7" s="3220"/>
      <c r="C7" s="3221"/>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71.58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71.58</v>
      </c>
      <c r="F16" s="2436"/>
      <c r="G16" s="2436"/>
      <c r="H16" s="1531" t="s">
        <v>1135</v>
      </c>
      <c r="I16" s="1532"/>
      <c r="J16" s="1071"/>
      <c r="K16" s="3216" t="s">
        <v>1135</v>
      </c>
      <c r="L16" s="3217"/>
      <c r="M16" s="3217"/>
      <c r="N16" s="3217"/>
      <c r="O16" s="3217"/>
      <c r="P16" s="3218"/>
    </row>
    <row r="17" spans="1:19" ht="15">
      <c r="A17" s="1533" t="s">
        <v>1136</v>
      </c>
      <c r="B17" s="1534" t="s">
        <v>1137</v>
      </c>
      <c r="C17" s="1535" t="s">
        <v>1138</v>
      </c>
      <c r="D17" s="1536" t="s">
        <v>1126</v>
      </c>
      <c r="E17" s="1537" t="s">
        <v>1127</v>
      </c>
      <c r="F17" s="1538"/>
      <c r="G17" s="1539"/>
      <c r="H17" s="1540" t="s">
        <v>1139</v>
      </c>
      <c r="I17" s="1541" t="s">
        <v>1124</v>
      </c>
      <c r="J17" s="1071"/>
      <c r="K17" s="3213" t="s">
        <v>1140</v>
      </c>
      <c r="L17" s="3214"/>
      <c r="M17" s="3215"/>
      <c r="N17" s="3213" t="s">
        <v>1141</v>
      </c>
      <c r="O17" s="3214"/>
      <c r="P17" s="321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3387</v>
      </c>
      <c r="D19" s="43">
        <f>ROUND($D$3*E19/$E$3,2)</f>
        <v>0</v>
      </c>
      <c r="E19" s="51">
        <f t="shared" ref="E19:E26" si="1">SUM(F19:G19)</f>
        <v>71.58</v>
      </c>
      <c r="F19" s="2555">
        <f>'数据-基础表'!I13</f>
        <v>71.58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71.58</v>
      </c>
      <c r="F27" s="1072">
        <f>IF(SUM(F19:F26)=E8,SUM(F19:F26),"地上面积有误")</f>
        <v>71.58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71.58</v>
      </c>
      <c r="F31" s="644">
        <f>F27+F30</f>
        <v>71.58</v>
      </c>
      <c r="G31" s="645">
        <f>G27+G30</f>
        <v>0</v>
      </c>
      <c r="H31" s="2436"/>
      <c r="I31" s="2436"/>
      <c r="J31" s="2436"/>
      <c r="K31" s="2436"/>
      <c r="L31" s="2436"/>
      <c r="M31" s="2436"/>
      <c r="N31" s="2436"/>
      <c r="O31" s="2436"/>
      <c r="P31" s="2436"/>
    </row>
    <row r="32" spans="1:19">
      <c r="A32" s="1526"/>
      <c r="B32" s="1526" t="s">
        <v>1159</v>
      </c>
      <c r="C32" s="1526"/>
      <c r="D32" s="1526"/>
      <c r="E32" s="990">
        <f>SUMIF(C19:C26,"*住宅*",E19:E26)</f>
        <v>71.58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44896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3385</v>
      </c>
      <c r="D6" s="805">
        <f>SUMIF(项目基本情况!C$12:I$12,C6,项目基本情况!C$14:I$14)</f>
        <v>70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0.04</v>
      </c>
      <c r="I6" s="691">
        <v>4.4999999999999998E-2</v>
      </c>
      <c r="J6" s="63">
        <v>0.05</v>
      </c>
      <c r="K6" s="970">
        <f>SUMIF('数据-汇总表'!C$19:C$33,A6,'数据-汇总表'!E$19:E$33)</f>
        <v>71.58</v>
      </c>
      <c r="L6" s="692">
        <v>3500</v>
      </c>
      <c r="M6" s="64">
        <f t="shared" ref="M6:M14" si="0">ROUND(K6*L6/10000,0)</f>
        <v>25</v>
      </c>
      <c r="N6" s="690">
        <f>L22</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'比较法-住宅'!C48</f>
        <v>114.6</v>
      </c>
      <c r="V6" s="67">
        <v>0.03</v>
      </c>
      <c r="W6" s="67">
        <v>0.05</v>
      </c>
      <c r="X6" s="979"/>
      <c r="Y6" s="68">
        <f>N6</f>
        <v>0.74</v>
      </c>
      <c r="Z6" s="69"/>
      <c r="AA6" s="63"/>
      <c r="AB6" s="63"/>
      <c r="AC6" s="979"/>
      <c r="AD6" s="70"/>
      <c r="AE6" s="980">
        <f ca="1">IF(AN6="",0,SUMIF(INDIRECT("'"&amp;AN6&amp;"'"&amp;"!E:E"),$AE$5,INDIRECT("'"&amp;AN6&amp;"'"&amp;"!F:F")))</f>
        <v>41</v>
      </c>
      <c r="AF6" s="74"/>
      <c r="AG6" s="130">
        <f>IF(AF6="",0,AE6-AF6)</f>
        <v>0</v>
      </c>
      <c r="AH6" s="71"/>
      <c r="AI6" s="73">
        <v>12</v>
      </c>
      <c r="AJ6" s="74"/>
      <c r="AK6" s="75">
        <v>0.01</v>
      </c>
      <c r="AL6" s="76">
        <v>1E-3</v>
      </c>
      <c r="AM6" s="77">
        <v>0.01</v>
      </c>
      <c r="AN6" s="1589" t="s">
        <v>3390</v>
      </c>
      <c r="AO6" s="50">
        <f ca="1">SUMIF(INDIRECT("'"&amp;AN6&amp;"'"&amp;"!A:A"),"总价",INDIRECT("'"&amp;AN6&amp;"'"&amp;"!B:B"))</f>
        <v>217.67619999999999</v>
      </c>
      <c r="AP6" s="1590">
        <f>IF(C6="住宅",K6*L6,0)</f>
        <v>250530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0.04</v>
      </c>
      <c r="I16" s="85"/>
      <c r="J16" s="85"/>
      <c r="K16" s="86">
        <f>SUM(K6:K15)</f>
        <v>71.58</v>
      </c>
      <c r="L16" s="87">
        <f>ROUND(M16*10000/SUM(K6:K14),0)</f>
        <v>3493</v>
      </c>
      <c r="M16" s="87">
        <f>SUM(M6:M14)</f>
        <v>25</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v>2003</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2305</v>
      </c>
      <c r="D19" s="2449"/>
      <c r="E19" s="2436"/>
      <c r="F19" s="2436"/>
      <c r="G19" s="2436"/>
      <c r="H19" s="2436"/>
      <c r="I19" s="2436"/>
      <c r="J19" s="2436"/>
      <c r="K19" s="2447"/>
      <c r="L19" s="2447">
        <v>2022</v>
      </c>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2303</v>
      </c>
      <c r="D20" s="2449"/>
      <c r="E20" s="2436"/>
      <c r="F20" s="2436"/>
      <c r="G20" s="2436"/>
      <c r="H20" s="2436"/>
      <c r="I20" s="2436"/>
      <c r="J20" s="2436"/>
      <c r="K20" s="2447"/>
      <c r="L20" s="2447">
        <f>ROUND(1-(L19-L18)/60,2)</f>
        <v>0.68</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v>0.8</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f>AVERAGE(L20:L21)</f>
        <v>0.74</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0.01</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3389</v>
      </c>
      <c r="B40" s="1015">
        <f ca="1">IF(A40="利息：取LPR",存贷款利率!G1,存贷款利率!G1+C40)</f>
        <v>4.7500000000000001E-2</v>
      </c>
      <c r="C40" s="2570">
        <v>1.0999999999999999E-2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28" t="s">
        <v>2286</v>
      </c>
      <c r="B1" s="3229"/>
      <c r="C1" s="3229"/>
      <c r="D1" s="3229"/>
      <c r="E1" s="3229"/>
      <c r="F1" s="3229"/>
      <c r="G1" s="322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44896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787.38</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71.58</v>
      </c>
      <c r="C14" s="2303"/>
      <c r="D14" s="2303">
        <f>ROUND(B14*E14/10000,4)</f>
        <v>787.38</v>
      </c>
      <c r="E14" s="2303">
        <v>110000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7" t="str">
        <f>项目基本情况!S2</f>
        <v>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4" t="s">
        <v>1265</v>
      </c>
      <c r="B4" s="1625" t="s">
        <v>1266</v>
      </c>
      <c r="C4" s="1626"/>
      <c r="D4" s="1626"/>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45" t="s">
        <v>1268</v>
      </c>
      <c r="B5" s="3300">
        <v>25</v>
      </c>
      <c r="C5" s="3303"/>
      <c r="D5" s="3291"/>
      <c r="E5" s="123" t="s">
        <v>1269</v>
      </c>
      <c r="F5" s="1627"/>
      <c r="G5" s="1627"/>
      <c r="H5" s="1627"/>
      <c r="I5" s="1281"/>
    </row>
    <row r="6" spans="1:12" ht="12.75">
      <c r="A6" s="3245"/>
      <c r="B6" s="3300"/>
      <c r="C6" s="3305"/>
      <c r="D6" s="3291"/>
      <c r="E6" s="123" t="s">
        <v>1270</v>
      </c>
      <c r="F6" s="1627"/>
      <c r="G6" s="1627"/>
      <c r="H6" s="1627"/>
      <c r="I6" s="1281"/>
    </row>
    <row r="7" spans="1:12" ht="12.75">
      <c r="A7" s="3245"/>
      <c r="B7" s="3300"/>
      <c r="C7" s="3304"/>
      <c r="D7" s="3291"/>
      <c r="E7" s="123" t="s">
        <v>1271</v>
      </c>
      <c r="F7" s="1627"/>
      <c r="G7" s="1627"/>
      <c r="H7" s="1627"/>
      <c r="I7" s="1281"/>
    </row>
    <row r="8" spans="1:12" ht="12.75">
      <c r="A8" s="3245" t="s">
        <v>1272</v>
      </c>
      <c r="B8" s="3300">
        <v>15</v>
      </c>
      <c r="C8" s="3303"/>
      <c r="D8" s="3291"/>
      <c r="E8" s="123" t="s">
        <v>1273</v>
      </c>
      <c r="F8" s="1627"/>
      <c r="G8" s="1627"/>
      <c r="H8" s="1627"/>
      <c r="I8" s="1281"/>
    </row>
    <row r="9" spans="1:12" ht="12.75">
      <c r="A9" s="3245"/>
      <c r="B9" s="3300"/>
      <c r="C9" s="3304"/>
      <c r="D9" s="3291"/>
      <c r="E9" s="123" t="s">
        <v>1274</v>
      </c>
      <c r="F9" s="1627"/>
      <c r="G9" s="1627"/>
      <c r="H9" s="1627"/>
      <c r="I9" s="1281"/>
    </row>
    <row r="10" spans="1:12" ht="12.75">
      <c r="A10" s="3245" t="s">
        <v>1275</v>
      </c>
      <c r="B10" s="3300">
        <v>15</v>
      </c>
      <c r="C10" s="3303"/>
      <c r="D10" s="3291"/>
      <c r="E10" s="123" t="s">
        <v>1276</v>
      </c>
      <c r="F10" s="1627"/>
      <c r="G10" s="1627"/>
      <c r="H10" s="1627"/>
      <c r="I10" s="1281"/>
    </row>
    <row r="11" spans="1:12" ht="12.75">
      <c r="A11" s="3245"/>
      <c r="B11" s="3300"/>
      <c r="C11" s="3304"/>
      <c r="D11" s="3291"/>
      <c r="E11" s="123" t="s">
        <v>1277</v>
      </c>
      <c r="F11" s="1627"/>
      <c r="G11" s="1627"/>
      <c r="H11" s="1627"/>
      <c r="I11" s="1281"/>
    </row>
    <row r="12" spans="1:12" ht="12.75">
      <c r="A12" s="3245" t="s">
        <v>1278</v>
      </c>
      <c r="B12" s="3300">
        <v>15</v>
      </c>
      <c r="C12" s="3303"/>
      <c r="D12" s="3291"/>
      <c r="E12" s="123" t="s">
        <v>1279</v>
      </c>
      <c r="F12" s="1627"/>
      <c r="G12" s="1627"/>
      <c r="H12" s="1627"/>
      <c r="I12" s="1281"/>
    </row>
    <row r="13" spans="1:12" ht="12.75">
      <c r="A13" s="3245"/>
      <c r="B13" s="3300"/>
      <c r="C13" s="3304"/>
      <c r="D13" s="3291"/>
      <c r="E13" s="123" t="s">
        <v>1280</v>
      </c>
      <c r="F13" s="1627"/>
      <c r="G13" s="1627"/>
      <c r="H13" s="1627"/>
      <c r="I13" s="1281"/>
    </row>
    <row r="14" spans="1:12" ht="12.75">
      <c r="A14" s="3245" t="s">
        <v>1281</v>
      </c>
      <c r="B14" s="3300">
        <v>30</v>
      </c>
      <c r="C14" s="3303"/>
      <c r="D14" s="3291"/>
      <c r="E14" s="123" t="s">
        <v>1282</v>
      </c>
      <c r="F14" s="1627"/>
      <c r="G14" s="1627"/>
      <c r="H14" s="1627"/>
      <c r="I14" s="1281"/>
    </row>
    <row r="15" spans="1:12" ht="12.75">
      <c r="A15" s="3245"/>
      <c r="B15" s="3300"/>
      <c r="C15" s="3305"/>
      <c r="D15" s="3291"/>
      <c r="E15" s="123" t="s">
        <v>1283</v>
      </c>
      <c r="F15" s="1627"/>
      <c r="G15" s="1627"/>
      <c r="H15" s="1627"/>
      <c r="I15" s="1281"/>
    </row>
    <row r="16" spans="1:12" ht="12.75">
      <c r="A16" s="3245"/>
      <c r="B16" s="3300"/>
      <c r="C16" s="3304"/>
      <c r="D16" s="329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2" t="s">
        <v>2131</v>
      </c>
      <c r="F18" s="3323"/>
      <c r="G18" s="3323"/>
      <c r="H18" s="3323"/>
      <c r="I18" s="3323"/>
      <c r="K18" s="294" t="s">
        <v>1289</v>
      </c>
      <c r="L18" s="294">
        <f>IF(C1="",'数据-汇总表'!E3,SUMIF(项目类型,C1,'数据-汇总表'!E17:E26)+SUMIF(项目类型,C1,'数据-汇总表'!I17:I26))</f>
        <v>71.58</v>
      </c>
      <c r="M18" s="294">
        <f>IF(C1="",'数据-汇总表'!E3,SUMIF(项目类型,C1,'数据-汇总表'!E17:E26))</f>
        <v>71.58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5" t="s">
        <v>1299</v>
      </c>
      <c r="B24" s="1631" t="s">
        <v>1291</v>
      </c>
      <c r="C24" s="128">
        <f>IF(B30=0,0,D30)</f>
        <v>0</v>
      </c>
      <c r="D24" s="1637"/>
      <c r="E24" s="121"/>
      <c r="F24" s="121"/>
      <c r="G24" s="121"/>
      <c r="H24" s="121"/>
      <c r="I24" s="121"/>
    </row>
    <row r="25" spans="1:36" ht="14.25">
      <c r="A25" s="331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2" t="s">
        <v>1312</v>
      </c>
      <c r="B36" s="1652" t="s">
        <v>1313</v>
      </c>
      <c r="C36" s="137"/>
      <c r="D36" s="1653"/>
      <c r="E36" s="1567"/>
      <c r="F36" s="1654"/>
      <c r="G36" s="121"/>
      <c r="H36" s="121"/>
      <c r="I36" s="121"/>
    </row>
    <row r="37" spans="1:15" ht="15.75" thickBot="1">
      <c r="A37" s="3293"/>
      <c r="B37" s="1555" t="s">
        <v>1314</v>
      </c>
      <c r="C37" s="139"/>
      <c r="D37" s="1071"/>
      <c r="E37" s="1071"/>
      <c r="F37" s="1654"/>
      <c r="G37" s="121"/>
      <c r="H37" s="121"/>
      <c r="I37" s="121"/>
    </row>
    <row r="38" spans="1:15" ht="15.75" thickBot="1">
      <c r="A38" s="329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2" t="s">
        <v>1326</v>
      </c>
      <c r="B45" s="3313"/>
      <c r="C45" s="3314"/>
      <c r="D45" s="147" t="e">
        <f ca="1">ROUND(H101*F45,0)</f>
        <v>#REF!</v>
      </c>
      <c r="E45" s="148" t="s">
        <v>1327</v>
      </c>
      <c r="F45" s="149">
        <v>1</v>
      </c>
      <c r="G45" s="150" t="s">
        <v>1328</v>
      </c>
      <c r="H45" s="121"/>
      <c r="I45" s="121"/>
      <c r="J45" s="3232" t="s">
        <v>1329</v>
      </c>
      <c r="K45" s="3232"/>
      <c r="L45" s="3232"/>
      <c r="M45" s="3232"/>
      <c r="N45" s="3232"/>
      <c r="O45" s="3232"/>
    </row>
    <row r="46" spans="1:15" ht="14.25" customHeight="1">
      <c r="A46" s="3309" t="s">
        <v>1330</v>
      </c>
      <c r="B46" s="3310"/>
      <c r="C46" s="3310"/>
      <c r="D46" s="3310"/>
      <c r="E46" s="3310"/>
      <c r="F46" s="3310"/>
      <c r="G46" s="3311"/>
      <c r="H46" s="1668"/>
      <c r="I46" s="151"/>
      <c r="J46" s="2307">
        <v>1</v>
      </c>
      <c r="K46" s="3233" t="s">
        <v>1331</v>
      </c>
      <c r="L46" s="3233"/>
      <c r="M46" s="3234"/>
      <c r="N46" s="3234"/>
      <c r="O46" s="3234"/>
    </row>
    <row r="47" spans="1:15" ht="12" customHeight="1">
      <c r="A47" s="152" t="s">
        <v>1332</v>
      </c>
      <c r="B47" s="153"/>
      <c r="C47" s="154"/>
      <c r="D47" s="1024" t="s">
        <v>1333</v>
      </c>
      <c r="E47" s="294" t="s">
        <v>1334</v>
      </c>
      <c r="F47" s="155" t="s">
        <v>1335</v>
      </c>
      <c r="G47" s="2330" t="s">
        <v>1336</v>
      </c>
      <c r="H47" s="2331"/>
      <c r="I47" s="151"/>
      <c r="J47" s="2307">
        <v>2</v>
      </c>
      <c r="K47" s="3233" t="s">
        <v>1337</v>
      </c>
      <c r="L47" s="3233"/>
      <c r="M47" s="3235">
        <f>'数据-取费表'!B2</f>
        <v>44896</v>
      </c>
      <c r="N47" s="3235"/>
      <c r="O47" s="3235"/>
    </row>
    <row r="48" spans="1:15" ht="25.5">
      <c r="A48" s="3295" t="s">
        <v>1338</v>
      </c>
      <c r="B48" s="3296"/>
      <c r="C48" s="3296"/>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33" t="s">
        <v>1340</v>
      </c>
      <c r="L48" s="3233"/>
      <c r="M48" s="3236" t="e">
        <f ca="1">H101</f>
        <v>#REF!</v>
      </c>
      <c r="N48" s="3236"/>
      <c r="O48" s="3236"/>
    </row>
    <row r="49" spans="1:35" ht="25.5" customHeight="1">
      <c r="A49" s="2149" t="s">
        <v>1341</v>
      </c>
      <c r="B49" s="3281" t="s">
        <v>1342</v>
      </c>
      <c r="C49" s="3281"/>
      <c r="D49" s="1478">
        <v>0</v>
      </c>
      <c r="E49" s="316" t="s">
        <v>1343</v>
      </c>
      <c r="F49" s="2230" t="s">
        <v>28</v>
      </c>
      <c r="G49" s="3264"/>
      <c r="H49" s="2131" t="s">
        <v>2134</v>
      </c>
      <c r="I49" s="2132"/>
      <c r="J49" s="2307">
        <v>4</v>
      </c>
      <c r="K49" s="3233" t="str">
        <f>IF(项目基本情况!E8="房地产抵押价值","房地产抵押价值","抵押担保权已注销时的房地产抵押价值")</f>
        <v>抵押担保权已注销时的房地产抵押价值</v>
      </c>
      <c r="L49" s="3233"/>
      <c r="M49" s="3236" t="str">
        <f>IF(项目基本情况!E8="房地产抵押价值",H107,H109)</f>
        <v>——</v>
      </c>
      <c r="N49" s="3236"/>
      <c r="O49" s="3236"/>
    </row>
    <row r="50" spans="1:35" ht="25.5" customHeight="1">
      <c r="A50" s="2335"/>
      <c r="B50" s="3281" t="s">
        <v>1344</v>
      </c>
      <c r="C50" s="3281"/>
      <c r="D50" s="2186"/>
      <c r="E50" s="323"/>
      <c r="F50" s="2230"/>
      <c r="G50" s="3265"/>
      <c r="H50" s="2133" t="s">
        <v>2135</v>
      </c>
      <c r="I50" s="2132"/>
      <c r="J50" s="3232" t="s">
        <v>1345</v>
      </c>
      <c r="K50" s="3232"/>
      <c r="L50" s="3232"/>
      <c r="M50" s="3232"/>
      <c r="N50" s="3232"/>
      <c r="O50" s="3232"/>
    </row>
    <row r="51" spans="1:35" ht="20.45" customHeight="1">
      <c r="A51" s="2336"/>
      <c r="B51" s="3281" t="s">
        <v>1346</v>
      </c>
      <c r="C51" s="3281"/>
      <c r="D51" s="1024"/>
      <c r="E51" s="319"/>
      <c r="F51" s="2230"/>
      <c r="G51" s="3266"/>
      <c r="H51" s="2133" t="s">
        <v>2136</v>
      </c>
      <c r="I51" s="2132"/>
      <c r="J51" s="2308" t="s">
        <v>1347</v>
      </c>
      <c r="K51" s="3233" t="s">
        <v>1348</v>
      </c>
      <c r="L51" s="3233"/>
      <c r="M51" s="2308" t="s">
        <v>1349</v>
      </c>
      <c r="N51" s="2308" t="s">
        <v>1350</v>
      </c>
      <c r="O51" s="2308" t="s">
        <v>1351</v>
      </c>
    </row>
    <row r="52" spans="1:35" ht="24" customHeight="1">
      <c r="A52" s="2150" t="s">
        <v>1352</v>
      </c>
      <c r="B52" s="3281" t="s">
        <v>1353</v>
      </c>
      <c r="C52" s="3281"/>
      <c r="D52" s="1024" t="e">
        <f ca="1">ROUND(D45*'数据-取费表'!B41/(1+'数据-取费表'!C42),0)</f>
        <v>#REF!</v>
      </c>
      <c r="E52" s="1256" t="s">
        <v>1354</v>
      </c>
      <c r="F52" s="2337">
        <f>'数据-取费表'!B41</f>
        <v>5.6000000000000001E-2</v>
      </c>
      <c r="G52" s="2338"/>
      <c r="H52" s="2328"/>
      <c r="I52" s="1669"/>
      <c r="J52" s="2307">
        <v>1</v>
      </c>
      <c r="K52" s="3258" t="s">
        <v>1355</v>
      </c>
      <c r="L52" s="3258"/>
      <c r="M52" s="2309" t="b">
        <f>D48</f>
        <v>0</v>
      </c>
      <c r="N52" s="2307" t="str">
        <f>E48</f>
        <v>销售额×税（费）率</v>
      </c>
      <c r="O52" s="2310">
        <f>F48</f>
        <v>5.6000000000000001E-2</v>
      </c>
    </row>
    <row r="53" spans="1:35" ht="12" customHeight="1">
      <c r="A53" s="2150" t="s">
        <v>1356</v>
      </c>
      <c r="B53" s="3282" t="s">
        <v>2291</v>
      </c>
      <c r="C53" s="3283"/>
      <c r="D53" s="1024" t="e">
        <f ca="1">ROUND(D45*'数据-取费表'!B41/(1+'数据-取费表'!C42),0)</f>
        <v>#REF!</v>
      </c>
      <c r="E53" s="1256" t="s">
        <v>1354</v>
      </c>
      <c r="F53" s="2337">
        <f>'数据-取费表'!B41</f>
        <v>5.6000000000000001E-2</v>
      </c>
      <c r="G53" s="2338"/>
      <c r="H53" s="2328"/>
      <c r="I53" s="1669"/>
      <c r="J53" s="2307">
        <v>2</v>
      </c>
      <c r="K53" s="3258" t="s">
        <v>1357</v>
      </c>
      <c r="L53" s="3258"/>
      <c r="M53" s="2309" t="e">
        <f t="shared" ref="M53:O54" ca="1" si="0">D55</f>
        <v>#REF!</v>
      </c>
      <c r="N53" s="2307" t="str">
        <f t="shared" si="0"/>
        <v>销售额×税（费）率</v>
      </c>
      <c r="O53" s="2310" t="str">
        <f t="shared" si="0"/>
        <v>免征</v>
      </c>
    </row>
    <row r="54" spans="1:35" ht="12" customHeight="1">
      <c r="A54" s="2150" t="s">
        <v>1358</v>
      </c>
      <c r="B54" s="3282" t="s">
        <v>2292</v>
      </c>
      <c r="C54" s="3283"/>
      <c r="D54" s="1024" t="e">
        <f ca="1">C68</f>
        <v>#REF!</v>
      </c>
      <c r="E54" s="319" t="s">
        <v>1359</v>
      </c>
      <c r="F54" s="2337">
        <f>'数据-取费表'!B41</f>
        <v>5.6000000000000001E-2</v>
      </c>
      <c r="G54" s="2338"/>
      <c r="H54" s="2339"/>
      <c r="I54" s="1669"/>
      <c r="J54" s="2307">
        <v>3</v>
      </c>
      <c r="K54" s="3258" t="s">
        <v>1360</v>
      </c>
      <c r="L54" s="3258"/>
      <c r="M54" s="2309" t="e">
        <f t="shared" ca="1" si="0"/>
        <v>#REF!</v>
      </c>
      <c r="N54" s="2307" t="str">
        <f t="shared" si="0"/>
        <v>增值额×税（费）率</v>
      </c>
      <c r="O54" s="2311" t="str">
        <f t="shared" si="0"/>
        <v>免征</v>
      </c>
    </row>
    <row r="55" spans="1:35" ht="24" customHeight="1">
      <c r="A55" s="3318" t="s">
        <v>1361</v>
      </c>
      <c r="B55" s="3296"/>
      <c r="C55" s="3296"/>
      <c r="D55" s="12" t="e">
        <f ca="1">IF(H55="个人住宅",0,ROUND(D45*I55,0))</f>
        <v>#REF!</v>
      </c>
      <c r="E55" s="1256" t="s">
        <v>1362</v>
      </c>
      <c r="F55" s="2337" t="str">
        <f>IF(H55="正常",I55,"免征")</f>
        <v>免征</v>
      </c>
      <c r="G55" s="2338"/>
      <c r="H55" s="2334"/>
      <c r="I55" s="157">
        <f>'数据-取费表'!B49</f>
        <v>5.0000000000000001E-4</v>
      </c>
      <c r="J55" s="2307">
        <f>IF(H59="非个人房产","",4)</f>
        <v>4</v>
      </c>
      <c r="K55" s="3258" t="str">
        <f>IF(H59="非个人房产","——","个人所得税")</f>
        <v>个人所得税</v>
      </c>
      <c r="L55" s="3258"/>
      <c r="M55" s="2312" t="e">
        <f ca="1">D59</f>
        <v>#REF!</v>
      </c>
      <c r="N55" s="1880" t="str">
        <f>E59</f>
        <v>差额计税</v>
      </c>
      <c r="O55" s="2313">
        <f>F59</f>
        <v>0.01</v>
      </c>
    </row>
    <row r="56" spans="1:35" ht="24.75">
      <c r="A56" s="3318" t="s">
        <v>1363</v>
      </c>
      <c r="B56" s="3296"/>
      <c r="C56" s="3296"/>
      <c r="D56" s="12" t="e">
        <f ca="1">IF(H56="个人住宅",D57,D58)</f>
        <v>#REF!</v>
      </c>
      <c r="E56" s="1256" t="s">
        <v>1364</v>
      </c>
      <c r="F56" s="2337" t="str">
        <f>IF(H56="正常",F58,"免征")</f>
        <v>免征</v>
      </c>
      <c r="G56" s="2340" t="s">
        <v>1365</v>
      </c>
      <c r="H56" s="2341"/>
      <c r="I56" s="1670"/>
      <c r="J56" s="2307" t="str">
        <f>IF(项目基本情况!K6="上海银行",IF(J55="",4,J55+1),"")</f>
        <v/>
      </c>
      <c r="K56" s="3239" t="str">
        <f>IF(项目基本情况!K6="上海银行","其他处置费用","")</f>
        <v/>
      </c>
      <c r="L56" s="3240"/>
      <c r="M56" s="2309" t="str">
        <f>IF(项目基本情况!K6="上海银行",M69,"")</f>
        <v/>
      </c>
      <c r="N56" s="3239" t="str">
        <f>IF(项目基本情况!K6="上海银行","包含处置中涉及的律师、诉讼、拍卖、评估等费用","")</f>
        <v/>
      </c>
      <c r="O56" s="3242"/>
    </row>
    <row r="57" spans="1:35" ht="12.75">
      <c r="A57" s="2150" t="s">
        <v>1341</v>
      </c>
      <c r="B57" s="3282" t="s">
        <v>1366</v>
      </c>
      <c r="C57" s="3283"/>
      <c r="D57" s="1478">
        <v>0</v>
      </c>
      <c r="E57" s="316" t="s">
        <v>1343</v>
      </c>
      <c r="F57" s="294"/>
      <c r="G57" s="2338"/>
      <c r="H57" s="2342"/>
      <c r="I57" s="1670"/>
      <c r="J57" s="3258">
        <f>IF(AND(J55="",J56=""),4,IF(项目基本情况!K6="上海银行",结果表!J56+1,结果表!J55+1))</f>
        <v>5</v>
      </c>
      <c r="K57" s="3258" t="s">
        <v>1367</v>
      </c>
      <c r="L57" s="2314" t="s">
        <v>1368</v>
      </c>
      <c r="M57" s="2315"/>
      <c r="N57" s="2316">
        <f ca="1">SUMIF(M52:M56,"&lt;9e307")</f>
        <v>0</v>
      </c>
      <c r="O57" s="2317"/>
      <c r="P57" s="2462" t="e">
        <f ca="1">N57/M49</f>
        <v>#VALUE!</v>
      </c>
    </row>
    <row r="58" spans="1:35" ht="24.75">
      <c r="A58" s="2150" t="s">
        <v>1352</v>
      </c>
      <c r="B58" s="3282" t="s">
        <v>1369</v>
      </c>
      <c r="C58" s="3281"/>
      <c r="D58" s="12" t="e">
        <f ca="1">IF(H58="转让取得",C81,C97)</f>
        <v>#REF!</v>
      </c>
      <c r="E58" s="1256" t="s">
        <v>1364</v>
      </c>
      <c r="F58" s="294" t="s">
        <v>28</v>
      </c>
      <c r="G58" s="2338"/>
      <c r="H58" s="2341"/>
      <c r="I58" s="1670"/>
      <c r="J58" s="3258"/>
      <c r="K58" s="3258"/>
      <c r="L58" s="2314" t="s">
        <v>1370</v>
      </c>
      <c r="M58" s="2318"/>
      <c r="N58" s="2319" t="str">
        <f ca="1">NUMBERSTRING(INT(N57*10000),2)&amp;"元整"</f>
        <v>零元整</v>
      </c>
      <c r="O58" s="2320"/>
    </row>
    <row r="59" spans="1:35" ht="24.75" thickBot="1">
      <c r="A59" s="3262" t="s">
        <v>1371</v>
      </c>
      <c r="B59" s="3263"/>
      <c r="C59" s="3263"/>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260">
        <f>J57+1</f>
        <v>6</v>
      </c>
      <c r="K59" s="3258" t="s">
        <v>1372</v>
      </c>
      <c r="L59" s="2307" t="s">
        <v>1368</v>
      </c>
      <c r="M59" s="2321"/>
      <c r="N59" s="2322" t="e">
        <f ca="1">M49-N57</f>
        <v>#VALUE!</v>
      </c>
      <c r="O59" s="2323"/>
    </row>
    <row r="60" spans="1:35" ht="12" customHeight="1">
      <c r="A60" s="1671"/>
      <c r="B60" s="646"/>
      <c r="C60" s="646"/>
      <c r="D60" s="646"/>
      <c r="E60" s="1466"/>
      <c r="F60" s="1670"/>
      <c r="G60" s="1670"/>
      <c r="H60" s="151"/>
      <c r="I60" s="121"/>
      <c r="J60" s="3261"/>
      <c r="K60" s="3258"/>
      <c r="L60" s="2314" t="s">
        <v>1370</v>
      </c>
      <c r="M60" s="2318"/>
      <c r="N60" s="2319" t="e">
        <f ca="1">NUMBERSTRING(INT(N59*10000),2)&amp;"元整"</f>
        <v>#VALUE!</v>
      </c>
      <c r="O60" s="2320"/>
    </row>
    <row r="61" spans="1:35" ht="13.5" thickBot="1">
      <c r="A61" s="3317" t="s">
        <v>1373</v>
      </c>
      <c r="B61" s="3317"/>
      <c r="C61" s="3317"/>
      <c r="D61" s="3317"/>
      <c r="E61" s="3317"/>
      <c r="F61" s="1670"/>
      <c r="G61" s="1670"/>
      <c r="H61" s="151"/>
      <c r="I61" s="121"/>
      <c r="J61" s="2307">
        <f>J59+1</f>
        <v>7</v>
      </c>
      <c r="K61" s="3258" t="s">
        <v>1374</v>
      </c>
      <c r="L61" s="3258"/>
      <c r="M61" s="2324"/>
      <c r="N61" s="2325" t="e">
        <f ca="1">ROUND(N59*10000/'数据-汇总表'!E3,0)</f>
        <v>#VALUE!</v>
      </c>
      <c r="O61" s="2326"/>
    </row>
    <row r="62" spans="1:35" ht="12.75">
      <c r="A62" s="3277" t="s">
        <v>1375</v>
      </c>
      <c r="B62" s="3278"/>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41"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4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41"/>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41"/>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4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41"/>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41"/>
      <c r="K69" s="1245" t="s">
        <v>1393</v>
      </c>
      <c r="L69" s="1245"/>
      <c r="M69" s="294" t="e">
        <f>ROUND(SUM(M63:M68),0)</f>
        <v>#VALUE!</v>
      </c>
      <c r="N69" s="2329" t="e">
        <f>M69/M49</f>
        <v>#VALUE!</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7" t="s">
        <v>1375</v>
      </c>
      <c r="B71" s="3278"/>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282" t="s">
        <v>1402</v>
      </c>
      <c r="F76" s="3281"/>
      <c r="G76" s="3281"/>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274" t="s">
        <v>1406</v>
      </c>
      <c r="F78" s="3275"/>
      <c r="G78" s="3275"/>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7" t="s">
        <v>1375</v>
      </c>
      <c r="B84" s="3278"/>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243" t="s">
        <v>2129</v>
      </c>
      <c r="H90" s="3244"/>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74" t="s">
        <v>1422</v>
      </c>
      <c r="F92" s="3275"/>
      <c r="G92" s="3275"/>
      <c r="H92" s="3276"/>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274" t="s">
        <v>1406</v>
      </c>
      <c r="F93" s="3275"/>
      <c r="G93" s="3275"/>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19" t="s">
        <v>1426</v>
      </c>
      <c r="F94" s="3320"/>
      <c r="G94" s="3320"/>
      <c r="H94" s="332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4" t="s">
        <v>1428</v>
      </c>
      <c r="B100" s="3225"/>
      <c r="C100" s="3225"/>
      <c r="D100" s="3259"/>
      <c r="E100" s="3225" t="s">
        <v>1429</v>
      </c>
      <c r="F100" s="3225"/>
      <c r="G100" s="3225"/>
      <c r="H100" s="3259"/>
      <c r="I100" s="121"/>
    </row>
    <row r="101" spans="1:35" ht="18.75" customHeight="1">
      <c r="A101" s="3267" t="s">
        <v>1430</v>
      </c>
      <c r="B101" s="3268"/>
      <c r="C101" s="2368">
        <f>C4</f>
        <v>0</v>
      </c>
      <c r="D101" s="2369">
        <f>D4</f>
        <v>0</v>
      </c>
      <c r="E101" s="3237" t="s">
        <v>1431</v>
      </c>
      <c r="F101" s="3238"/>
      <c r="G101" s="1687" t="s">
        <v>1432</v>
      </c>
      <c r="H101" s="2378" t="e">
        <f ca="1">H118</f>
        <v>#REF!</v>
      </c>
      <c r="I101" s="121"/>
    </row>
    <row r="102" spans="1:35" ht="18.75" customHeight="1">
      <c r="A102" s="3269" t="s">
        <v>1433</v>
      </c>
      <c r="B102" s="2367" t="s">
        <v>1432</v>
      </c>
      <c r="C102" s="2368" t="e">
        <f ca="1">IF(D32="楼面单价",ROUND(C19,0),C19)</f>
        <v>#REF!</v>
      </c>
      <c r="D102" s="2369" t="e">
        <f ca="1">IF(D32="楼面单价",ROUND(D19,0),D19)</f>
        <v>#REF!</v>
      </c>
      <c r="E102" s="3237"/>
      <c r="F102" s="3238"/>
      <c r="G102" s="1687" t="s">
        <v>1434</v>
      </c>
      <c r="H102" s="2338" t="e">
        <f ca="1">I118</f>
        <v>#REF!</v>
      </c>
      <c r="I102" s="121"/>
    </row>
    <row r="103" spans="1:35" ht="42.75" customHeight="1">
      <c r="A103" s="3269"/>
      <c r="B103" s="2367" t="s">
        <v>1434</v>
      </c>
      <c r="C103" s="2370" t="e">
        <f ca="1">C20</f>
        <v>#REF!</v>
      </c>
      <c r="D103" s="2371" t="e">
        <f ca="1">D20</f>
        <v>#REF!</v>
      </c>
      <c r="E103" s="3230" t="s">
        <v>1435</v>
      </c>
      <c r="F103" s="3231"/>
      <c r="G103" s="1688" t="s">
        <v>1436</v>
      </c>
      <c r="H103" s="2378">
        <f>IF(D36="正常操作",H104+H105+H106,H105+H106)</f>
        <v>0</v>
      </c>
      <c r="I103" s="121"/>
    </row>
    <row r="104" spans="1:35" ht="18.75" customHeight="1">
      <c r="A104" s="3269"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279"/>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70" t="str">
        <f>IF(项目基本情况!E8="已注销","——","3.房地产抵押价值")</f>
        <v>3.房地产抵押价值</v>
      </c>
      <c r="F107" s="3238"/>
      <c r="G107" s="1687" t="s">
        <v>1432</v>
      </c>
      <c r="H107" s="2378" t="e">
        <f ca="1">IF(E107="——","——",H101-H103)</f>
        <v>#REF!</v>
      </c>
      <c r="I107" s="121"/>
    </row>
    <row r="108" spans="1:35" ht="18.75" customHeight="1">
      <c r="A108" s="121"/>
      <c r="B108" s="121"/>
      <c r="C108" s="121"/>
      <c r="D108" s="121"/>
      <c r="E108" s="3270"/>
      <c r="F108" s="3238"/>
      <c r="G108" s="1687" t="s">
        <v>1434</v>
      </c>
      <c r="H108" s="2338">
        <f ca="1">IF(H107=H101,H102,ROUND(H107*10000/'数据-汇总表'!E3,0))</f>
        <v>0</v>
      </c>
      <c r="I108" s="121"/>
    </row>
    <row r="109" spans="1:35" ht="18.75" customHeight="1">
      <c r="A109" s="121"/>
      <c r="B109" s="121"/>
      <c r="C109" s="121"/>
      <c r="D109" s="121"/>
      <c r="E109" s="3270" t="str">
        <f>IF(项目基本情况!E8="已注销及未注销","4.抵押担保权已注销时的房地产抵押价值",IF(项目基本情况!E8="已注销","3.抵押担保权已注销时的房地产抵押价值","——"))</f>
        <v>——</v>
      </c>
      <c r="F109" s="3238"/>
      <c r="G109" s="1687" t="s">
        <v>1432</v>
      </c>
      <c r="H109" s="2381" t="str">
        <f>IF(E109="——","——",H101-H105-H106)</f>
        <v>——</v>
      </c>
      <c r="I109" s="121"/>
    </row>
    <row r="110" spans="1:35" ht="18.75" customHeight="1">
      <c r="A110" s="121"/>
      <c r="B110" s="121"/>
      <c r="C110" s="121"/>
      <c r="D110" s="121"/>
      <c r="E110" s="3270"/>
      <c r="F110" s="3238"/>
      <c r="G110" s="1687" t="s">
        <v>1434</v>
      </c>
      <c r="H110" s="2338" t="str">
        <f>IF(H109="——","——",ROUND(H109*10000/'数据-汇总表'!E3,0))</f>
        <v>——</v>
      </c>
      <c r="I110" s="121"/>
    </row>
    <row r="111" spans="1:35" ht="18.75" customHeight="1">
      <c r="A111" s="121"/>
      <c r="B111" s="121"/>
      <c r="C111" s="121"/>
      <c r="D111" s="121"/>
      <c r="E111" s="3271" t="str">
        <f>IF(项目基本情况!E9="抵押净值",IF(OR(项目基本情况!E8="已注销",项目基本情况!E8="房地产抵押价值"),"4.抵押净值","5.抵押净值"),"——")</f>
        <v>——</v>
      </c>
      <c r="F111" s="3257"/>
      <c r="G111" s="1687" t="s">
        <v>1432</v>
      </c>
      <c r="H111" s="2378" t="str">
        <f>IF(E111="——","——",N59)</f>
        <v>——</v>
      </c>
      <c r="I111" s="121"/>
    </row>
    <row r="112" spans="1:35" ht="18.75" customHeight="1" thickBot="1">
      <c r="A112" s="121"/>
      <c r="B112" s="121"/>
      <c r="C112" s="121"/>
      <c r="D112" s="121"/>
      <c r="E112" s="3272"/>
      <c r="F112" s="3273"/>
      <c r="G112" s="1690" t="s">
        <v>1434</v>
      </c>
      <c r="H112" s="2382" t="str">
        <f>IF(E111="——","——",N61)</f>
        <v>——</v>
      </c>
      <c r="I112" s="121"/>
    </row>
    <row r="113" spans="1:27" ht="18.75" customHeight="1">
      <c r="A113" s="121"/>
      <c r="B113" s="121"/>
      <c r="C113" s="121"/>
      <c r="D113" s="121"/>
      <c r="E113" s="3280" t="s">
        <v>1440</v>
      </c>
      <c r="F113" s="3280"/>
      <c r="G113" s="3280"/>
      <c r="H113" s="3280"/>
      <c r="I113" s="121"/>
    </row>
    <row r="114" spans="1:27" ht="3.75" customHeight="1">
      <c r="A114" s="646"/>
      <c r="B114" s="646"/>
      <c r="C114" s="646"/>
      <c r="D114" s="646"/>
      <c r="E114" s="1671"/>
      <c r="F114" s="1671"/>
      <c r="G114" s="1671"/>
      <c r="H114" s="1671"/>
      <c r="I114" s="646"/>
    </row>
    <row r="115" spans="1:27" ht="18.75" customHeight="1">
      <c r="A115" s="3288" t="s">
        <v>1442</v>
      </c>
      <c r="B115" s="3289"/>
      <c r="C115" s="3289"/>
      <c r="D115" s="3289"/>
      <c r="E115" s="3289"/>
      <c r="F115" s="3289"/>
      <c r="G115" s="3289"/>
      <c r="H115" s="3289"/>
      <c r="I115" s="3290"/>
    </row>
    <row r="116" spans="1:27" ht="27" customHeight="1">
      <c r="A116" s="3245" t="s">
        <v>1443</v>
      </c>
      <c r="B116" s="3249" t="s">
        <v>1444</v>
      </c>
      <c r="C116" s="3249" t="s">
        <v>1445</v>
      </c>
      <c r="D116" s="3255" t="s">
        <v>1446</v>
      </c>
      <c r="E116" s="3256"/>
      <c r="F116" s="3287" t="s">
        <v>1447</v>
      </c>
      <c r="G116" s="3287"/>
      <c r="H116" s="3245" t="s">
        <v>1448</v>
      </c>
      <c r="I116" s="3245"/>
    </row>
    <row r="117" spans="1:27" ht="18.75" customHeight="1">
      <c r="A117" s="3245"/>
      <c r="B117" s="3250"/>
      <c r="C117" s="3250"/>
      <c r="D117" s="2147" t="s">
        <v>1449</v>
      </c>
      <c r="E117" s="2147" t="s">
        <v>1450</v>
      </c>
      <c r="F117" s="2147" t="s">
        <v>1449</v>
      </c>
      <c r="G117" s="2147" t="s">
        <v>1451</v>
      </c>
      <c r="H117" s="2147" t="s">
        <v>1449</v>
      </c>
      <c r="I117" s="2147" t="s">
        <v>1451</v>
      </c>
    </row>
    <row r="118" spans="1:27" ht="24.75" customHeight="1">
      <c r="A118" s="2383" t="str">
        <f>项目基本情况!S2</f>
        <v>房地产</v>
      </c>
      <c r="B118" s="2147">
        <f>M18</f>
        <v>71.58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45" t="s">
        <v>1452</v>
      </c>
      <c r="B119" s="3245"/>
      <c r="C119" s="3245"/>
      <c r="D119" s="3251" t="e">
        <f ca="1">NUMBERSTRING(INT(D118*10000),2)&amp;"元整"</f>
        <v>#REF!</v>
      </c>
      <c r="E119" s="3252"/>
      <c r="F119" s="3251" t="e">
        <f ca="1">NUMBERSTRING(INT(F118*10000),2)&amp;"元整"</f>
        <v>#REF!</v>
      </c>
      <c r="G119" s="3252"/>
      <c r="H119" s="3251" t="e">
        <f ca="1">NUMBERSTRING(INT(H118*10000),2)&amp;"元整"</f>
        <v>#REF!</v>
      </c>
      <c r="I119" s="3252"/>
    </row>
    <row r="120" spans="1:27" ht="18.75" customHeight="1">
      <c r="A120" s="3246" t="str">
        <f>IF(项目基本情况!B9="房地产市场价值","",MID(E103,3,LEN(E103)-2))</f>
        <v>估价师知悉的法定优先受偿款</v>
      </c>
      <c r="B120" s="3247"/>
      <c r="C120" s="3248"/>
      <c r="D120" s="3246">
        <f>H103</f>
        <v>0</v>
      </c>
      <c r="E120" s="3247"/>
      <c r="F120" s="3247"/>
      <c r="G120" s="3247"/>
      <c r="H120" s="3247"/>
      <c r="I120" s="32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1" t="s">
        <v>1452</v>
      </c>
      <c r="B121" s="3253"/>
      <c r="C121" s="3252"/>
      <c r="D121" s="3251" t="str">
        <f>IF(D120=0,"零元整",NUMBERSTRING(INT(D120*10000),2)&amp;"元整")</f>
        <v>零元整</v>
      </c>
      <c r="E121" s="3253"/>
      <c r="F121" s="3253"/>
      <c r="G121" s="3253"/>
      <c r="H121" s="3253"/>
      <c r="I121" s="3252"/>
      <c r="AA121" s="684"/>
    </row>
    <row r="122" spans="1:27" ht="18.75" customHeight="1">
      <c r="A122" s="3257" t="str">
        <f>IF(项目基本情况!B9="房地产市场价值","",MID(E107,3,LEN(E107)-2))</f>
        <v>房地产抵押价值</v>
      </c>
      <c r="B122" s="3257"/>
      <c r="C122" s="3257"/>
      <c r="D122" s="3246" t="e">
        <f ca="1">H107</f>
        <v>#REF!</v>
      </c>
      <c r="E122" s="3247"/>
      <c r="F122" s="3247"/>
      <c r="G122" s="3247"/>
      <c r="H122" s="3247"/>
      <c r="I122" s="3248"/>
      <c r="AA122" s="684"/>
    </row>
    <row r="123" spans="1:27" ht="18.75" customHeight="1">
      <c r="A123" s="3245" t="s">
        <v>1452</v>
      </c>
      <c r="B123" s="3245"/>
      <c r="C123" s="3245"/>
      <c r="D123" s="3251" t="e">
        <f ca="1">NUMBERSTRING(INT(D122*10000),2)&amp;"元整"</f>
        <v>#REF!</v>
      </c>
      <c r="E123" s="3253"/>
      <c r="F123" s="3253"/>
      <c r="G123" s="3253"/>
      <c r="H123" s="3253"/>
      <c r="I123" s="3252"/>
      <c r="AA123" s="684"/>
    </row>
    <row r="124" spans="1:27" ht="18.75" customHeight="1">
      <c r="A124" s="3257" t="str">
        <f>IF(项目基本情况!B9="房地产市场价值","",MID(E109,3,LEN(E109)-2))</f>
        <v/>
      </c>
      <c r="B124" s="3257"/>
      <c r="C124" s="3257"/>
      <c r="D124" s="3246" t="str">
        <f>H109</f>
        <v>——</v>
      </c>
      <c r="E124" s="3247"/>
      <c r="F124" s="3247"/>
      <c r="G124" s="3247"/>
      <c r="H124" s="3247"/>
      <c r="I124" s="3248"/>
      <c r="AA124" s="684"/>
    </row>
    <row r="125" spans="1:27" ht="18.75" customHeight="1">
      <c r="A125" s="3245" t="s">
        <v>1452</v>
      </c>
      <c r="B125" s="3245"/>
      <c r="C125" s="3245"/>
      <c r="D125" s="3251" t="e">
        <f>NUMBERSTRING(INT(D124*10000),2)&amp;"元整"</f>
        <v>#VALUE!</v>
      </c>
      <c r="E125" s="3253"/>
      <c r="F125" s="3253"/>
      <c r="G125" s="3253"/>
      <c r="H125" s="3253"/>
      <c r="I125" s="3252"/>
      <c r="AA125" s="684"/>
    </row>
    <row r="126" spans="1:27" ht="18.75" customHeight="1">
      <c r="A126" s="3257" t="str">
        <f>IF(项目基本情况!B9="房地产市场价值","",MID(E111,3,LEN(E111)-2))</f>
        <v/>
      </c>
      <c r="B126" s="3257"/>
      <c r="C126" s="3257"/>
      <c r="D126" s="3246" t="str">
        <f>H111</f>
        <v>——</v>
      </c>
      <c r="E126" s="3247"/>
      <c r="F126" s="3247"/>
      <c r="G126" s="3247"/>
      <c r="H126" s="3247"/>
      <c r="I126" s="3248"/>
      <c r="AA126" s="684"/>
    </row>
    <row r="127" spans="1:27" ht="18.75" customHeight="1">
      <c r="A127" s="3245" t="s">
        <v>1452</v>
      </c>
      <c r="B127" s="3245"/>
      <c r="C127" s="3245"/>
      <c r="D127" s="3251" t="e">
        <f>NUMBERSTRING(INT(D126*10000),2)&amp;"元整"</f>
        <v>#VALUE!</v>
      </c>
      <c r="E127" s="3253"/>
      <c r="F127" s="3253"/>
      <c r="G127" s="3253"/>
      <c r="H127" s="3253"/>
      <c r="I127" s="3252"/>
      <c r="AA127" s="684"/>
    </row>
    <row r="128" spans="1:27" ht="21.75" customHeight="1">
      <c r="A128" s="3254" t="s">
        <v>1453</v>
      </c>
      <c r="B128" s="3254"/>
      <c r="C128" s="3254"/>
      <c r="D128" s="3254"/>
      <c r="E128" s="3254"/>
      <c r="F128" s="3254"/>
      <c r="G128" s="3254"/>
      <c r="H128" s="3254"/>
      <c r="I128" s="325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71.58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71.58</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71.58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24" t="s">
        <v>1544</v>
      </c>
    </row>
    <row r="43" spans="1:7" ht="13.5" customHeight="1">
      <c r="A43" s="734" t="s">
        <v>347</v>
      </c>
      <c r="B43" s="207" t="s">
        <v>1545</v>
      </c>
      <c r="C43" s="230">
        <f ca="1">ROUND(IF('数据-取费表'!B22&lt;=1,C39*F22*'数据-取费表'!B21/2,C39*(POWER((1+F22),'数据-取费表'!B21/2)-1)),0)</f>
        <v>0</v>
      </c>
      <c r="D43" s="230"/>
      <c r="E43" s="230"/>
      <c r="F43" s="231"/>
      <c r="G43" s="3325"/>
    </row>
    <row r="44" spans="1:7" ht="13.5" customHeight="1">
      <c r="A44" s="734" t="s">
        <v>348</v>
      </c>
      <c r="B44" s="207" t="s">
        <v>1546</v>
      </c>
      <c r="C44" s="230">
        <f ca="1">ROUND(IF('数据-取费表'!B22&lt;=1,C40*F22*'数据-取费表'!B21/2,C40*(POWER((1+F22),'数据-取费表'!B21/2)-1)),4)</f>
        <v>5.0000000000000001E-4</v>
      </c>
      <c r="D44" s="230"/>
      <c r="E44" s="230"/>
      <c r="F44" s="231"/>
      <c r="G44" s="3326"/>
    </row>
    <row r="45" spans="1:7" s="206" customFormat="1" ht="13.5" customHeight="1">
      <c r="A45" s="247" t="s">
        <v>1547</v>
      </c>
      <c r="B45" s="236" t="s">
        <v>1513</v>
      </c>
      <c r="C45" s="237">
        <f ca="1">C46</f>
        <v>4</v>
      </c>
      <c r="D45" s="227">
        <f ca="1">C47</f>
        <v>1.5E-3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35</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26</v>
      </c>
      <c r="D51" s="224"/>
      <c r="E51" s="224"/>
      <c r="F51" s="256"/>
      <c r="G51" s="226" t="s">
        <v>1560</v>
      </c>
    </row>
    <row r="52" spans="1:7" s="200" customFormat="1" ht="16.5" thickBot="1">
      <c r="A52" s="257" t="s">
        <v>1561</v>
      </c>
      <c r="B52" s="258"/>
      <c r="C52" s="259">
        <f ca="1">C31+C51</f>
        <v>27</v>
      </c>
      <c r="D52" s="258"/>
      <c r="E52" s="258"/>
      <c r="F52" s="258"/>
      <c r="G52" s="260"/>
    </row>
    <row r="55" spans="1:7" ht="15">
      <c r="B55" s="262" t="s">
        <v>1562</v>
      </c>
      <c r="C55" s="263"/>
    </row>
    <row r="56" spans="1:7">
      <c r="B56" s="265" t="s">
        <v>802</v>
      </c>
      <c r="C56" s="267">
        <f ca="1">1-C57</f>
        <v>3.7000000000000033E-2</v>
      </c>
    </row>
    <row r="57" spans="1:7">
      <c r="B57" s="265" t="s">
        <v>803</v>
      </c>
      <c r="C57" s="266">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2" t="str">
        <f>项目基本情况!B1</f>
        <v>预评估</v>
      </c>
      <c r="C37" s="3142"/>
      <c r="D37" s="3142"/>
      <c r="E37" s="3142"/>
      <c r="F37" s="3142"/>
      <c r="G37" s="3142"/>
      <c r="H37" s="3142"/>
      <c r="I37" s="314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31.110700000000001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11453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11453</v>
      </c>
      <c r="D8" s="214"/>
      <c r="E8" s="212"/>
      <c r="F8" s="213"/>
      <c r="G8" s="1714"/>
    </row>
    <row r="9" spans="1:8" s="206" customFormat="1" ht="13.5" customHeight="1">
      <c r="A9" s="733" t="s">
        <v>355</v>
      </c>
      <c r="B9" s="216" t="s">
        <v>1478</v>
      </c>
      <c r="C9" s="217">
        <f ca="1">ROUND(D9*E9,0)</f>
        <v>11453</v>
      </c>
      <c r="D9" s="795">
        <f ca="1">IF(B1="",'数据-汇总表'!E5,IF(INDIRECT("'数据-取费表'!c"&amp;$G$1)="住宅",INDIRECT("'数据-取费表'!k"&amp;$G$1),0))</f>
        <v>71.58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14316</v>
      </c>
      <c r="D19" s="204">
        <f ca="1">D9+D10</f>
        <v>71.58</v>
      </c>
      <c r="E19" s="203">
        <f>'数据-取费表'!B31</f>
        <v>200</v>
      </c>
      <c r="F19" s="223"/>
      <c r="G19" s="1714"/>
    </row>
    <row r="20" spans="1:7" s="206" customFormat="1" ht="13.5" customHeight="1">
      <c r="A20" s="247" t="s">
        <v>1574</v>
      </c>
      <c r="B20" s="202" t="s">
        <v>1575</v>
      </c>
      <c r="C20" s="224">
        <f ca="1">ROUND((C5+C19)*F20,0)</f>
        <v>258</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2518</v>
      </c>
      <c r="D22" s="227">
        <f ca="1">C26</f>
        <v>5.0000000000000001E-4</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1392</v>
      </c>
      <c r="D24" s="230"/>
      <c r="E24" s="230"/>
      <c r="F24" s="231"/>
      <c r="G24" s="232" t="s">
        <v>1586</v>
      </c>
    </row>
    <row r="25" spans="1:7" s="206" customFormat="1" ht="24">
      <c r="A25" s="734" t="s">
        <v>1476</v>
      </c>
      <c r="B25" s="207" t="s">
        <v>1587</v>
      </c>
      <c r="C25" s="230">
        <f ca="1">ROUND(IF('数据-取费表'!B22&lt;=1,C20*F22*'数据-取费表'!B22/2,C20*(POWER((1+F22),'数据-取费表'!B22/2)-1)),0)</f>
        <v>12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3904</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3904</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34716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288647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250530</v>
      </c>
      <c r="D34" s="209"/>
      <c r="E34" s="212"/>
      <c r="F34" s="249"/>
      <c r="G34" s="211"/>
    </row>
    <row r="35" spans="1:7" ht="13.5" customHeight="1">
      <c r="A35" s="734" t="s">
        <v>351</v>
      </c>
      <c r="B35" s="207" t="s">
        <v>1527</v>
      </c>
      <c r="C35" s="212">
        <f ca="1">ROUND(C34*F35,0)</f>
        <v>7516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12527</v>
      </c>
      <c r="D36" s="212"/>
      <c r="E36" s="212"/>
      <c r="F36" s="251">
        <f>'数据-取费表'!B34</f>
        <v>0.05</v>
      </c>
      <c r="G36" s="252" t="s">
        <v>1530</v>
      </c>
    </row>
    <row r="37" spans="1:7" s="250" customFormat="1" ht="13.5" customHeight="1">
      <c r="A37" s="734" t="s">
        <v>353</v>
      </c>
      <c r="B37" s="207" t="s">
        <v>1531</v>
      </c>
      <c r="C37" s="241">
        <f ca="1">ROUND(E37*D37,0)</f>
        <v>14316</v>
      </c>
      <c r="D37" s="209">
        <f ca="1">D19</f>
        <v>71.58</v>
      </c>
      <c r="E37" s="241">
        <f>'数据-取费表'!B35</f>
        <v>200</v>
      </c>
      <c r="F37" s="251"/>
      <c r="G37" s="253"/>
    </row>
    <row r="38" spans="1:7" ht="13.5" customHeight="1">
      <c r="A38" s="734" t="s">
        <v>354</v>
      </c>
      <c r="B38" s="207" t="s">
        <v>1533</v>
      </c>
      <c r="C38" s="212">
        <f ca="1">ROUND(C34*F38,0)</f>
        <v>3758</v>
      </c>
      <c r="D38" s="212"/>
      <c r="E38" s="212"/>
      <c r="F38" s="251">
        <f>'数据-取费表'!B36</f>
        <v>1.4999999999999999E-2</v>
      </c>
      <c r="G38" s="211" t="s">
        <v>1528</v>
      </c>
    </row>
    <row r="39" spans="1:7" s="206" customFormat="1" ht="13.5" customHeight="1">
      <c r="A39" s="247" t="s">
        <v>1534</v>
      </c>
      <c r="B39" s="202" t="s">
        <v>1535</v>
      </c>
      <c r="C39" s="224">
        <f ca="1">ROUND(C33*F20,0)</f>
        <v>2886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13848</v>
      </c>
      <c r="D41" s="227">
        <f ca="1">C44</f>
        <v>5.0000000000000001E-4</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13711</v>
      </c>
      <c r="D42" s="230"/>
      <c r="E42" s="230"/>
      <c r="F42" s="231"/>
      <c r="G42" s="3324" t="s">
        <v>1591</v>
      </c>
    </row>
    <row r="43" spans="1:7" ht="13.5" customHeight="1">
      <c r="A43" s="734" t="s">
        <v>347</v>
      </c>
      <c r="B43" s="207" t="s">
        <v>1545</v>
      </c>
      <c r="C43" s="230">
        <f ca="1">ROUND(IF('数据-取费表'!B22&lt;=1,C39*F22*'数据-取费表'!B20/2,C39*(POWER((1+F22),'数据-取费表'!B20/2)-1)),0)</f>
        <v>137</v>
      </c>
      <c r="D43" s="230"/>
      <c r="E43" s="230"/>
      <c r="F43" s="231"/>
      <c r="G43" s="3325"/>
    </row>
    <row r="44" spans="1:7" ht="13.5" customHeight="1">
      <c r="A44" s="734" t="s">
        <v>348</v>
      </c>
      <c r="B44" s="207" t="s">
        <v>1546</v>
      </c>
      <c r="C44" s="230">
        <f ca="1">ROUND(IF('数据-取费表'!B22&lt;=1,C40*F22*'数据-取费表'!B20/2,C40*(POWER((1+F22),'数据-取费表'!B20/2)-1)),4)</f>
        <v>5.0000000000000001E-4</v>
      </c>
      <c r="D44" s="230"/>
      <c r="E44" s="230"/>
      <c r="F44" s="231"/>
      <c r="G44" s="3326"/>
    </row>
    <row r="45" spans="1:7" s="206" customFormat="1" ht="13.5" customHeight="1">
      <c r="A45" s="247" t="s">
        <v>1547</v>
      </c>
      <c r="B45" s="236" t="s">
        <v>1513</v>
      </c>
      <c r="C45" s="237">
        <f ca="1">C46</f>
        <v>43730</v>
      </c>
      <c r="D45" s="227">
        <f ca="1">C47</f>
        <v>1.5E-3</v>
      </c>
      <c r="E45" s="228" t="s">
        <v>1539</v>
      </c>
      <c r="F45" s="238">
        <f ca="1">F27</f>
        <v>0.15</v>
      </c>
      <c r="G45" s="239" t="s">
        <v>1548</v>
      </c>
    </row>
    <row r="46" spans="1:7" s="206" customFormat="1" ht="13.5" customHeight="1">
      <c r="A46" s="734" t="s">
        <v>346</v>
      </c>
      <c r="B46" s="240" t="s">
        <v>1549</v>
      </c>
      <c r="C46" s="241">
        <f ca="1">ROUND((C33+C39)*F27,0)</f>
        <v>43730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373501</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276391</v>
      </c>
      <c r="D51" s="224"/>
      <c r="E51" s="224"/>
      <c r="F51" s="256"/>
      <c r="G51" s="226" t="s">
        <v>1560</v>
      </c>
    </row>
    <row r="52" spans="1:7" s="200" customFormat="1" ht="16.5" thickBot="1">
      <c r="A52" s="257" t="s">
        <v>1561</v>
      </c>
      <c r="B52" s="258"/>
      <c r="C52" s="259">
        <f ca="1">C31+C51</f>
        <v>311107</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-140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71.58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29" t="s">
        <v>694</v>
      </c>
      <c r="C6" s="1011">
        <f ca="1">ROUND(F6*F8*F7*(1-F9)/10000,0)</f>
        <v>0</v>
      </c>
      <c r="D6" s="147" t="s">
        <v>2109</v>
      </c>
      <c r="E6" s="294" t="s">
        <v>696</v>
      </c>
      <c r="F6" s="295">
        <f ca="1">INDIRECT("'数据-取费表'!u"&amp;$G$1)</f>
        <v>0</v>
      </c>
      <c r="G6" s="1292"/>
      <c r="H6" s="1006" t="s">
        <v>398</v>
      </c>
      <c r="I6" s="3329" t="s">
        <v>694</v>
      </c>
      <c r="J6" s="293">
        <f ca="1">ROUND(M6*M8*M7*(1-M9)/10000,0)</f>
        <v>0</v>
      </c>
      <c r="K6" s="147" t="s">
        <v>2108</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0</v>
      </c>
      <c r="G7" s="1292"/>
      <c r="H7" s="296"/>
      <c r="I7" s="3330"/>
      <c r="J7" s="298"/>
      <c r="K7" s="299"/>
      <c r="L7" s="294" t="s">
        <v>697</v>
      </c>
      <c r="M7" s="295">
        <f ca="1">F7</f>
        <v>0</v>
      </c>
    </row>
    <row r="8" spans="1:37" ht="18" customHeight="1">
      <c r="A8" s="296"/>
      <c r="B8" s="3330"/>
      <c r="C8" s="298"/>
      <c r="D8" s="299"/>
      <c r="E8" s="294" t="s">
        <v>698</v>
      </c>
      <c r="F8" s="295">
        <f ca="1">INDIRECT("'数据-取费表'!ai"&amp;$G$1)</f>
        <v>0</v>
      </c>
      <c r="G8" s="1292"/>
      <c r="H8" s="296"/>
      <c r="I8" s="3330"/>
      <c r="J8" s="298"/>
      <c r="K8" s="299"/>
      <c r="L8" s="294" t="s">
        <v>698</v>
      </c>
      <c r="M8" s="295">
        <f ca="1">INDIRECT("'数据-取费表'!ai"&amp;$G$1)</f>
        <v>0</v>
      </c>
    </row>
    <row r="9" spans="1:37" ht="18" customHeight="1">
      <c r="A9" s="296"/>
      <c r="B9" s="3331"/>
      <c r="C9" s="298"/>
      <c r="D9" s="299"/>
      <c r="E9" s="294" t="s">
        <v>699</v>
      </c>
      <c r="F9" s="304">
        <f ca="1">INDIRECT("'数据-取费表'!w"&amp;$G$1)</f>
        <v>0</v>
      </c>
      <c r="G9" s="1292"/>
      <c r="H9" s="296"/>
      <c r="I9" s="333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2310</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27" t="s">
        <v>837</v>
      </c>
      <c r="L53" s="332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3385</v>
      </c>
      <c r="D1" s="1271" t="s">
        <v>43</v>
      </c>
      <c r="E1" s="1272" t="s">
        <v>678</v>
      </c>
      <c r="F1" s="999">
        <f ca="1">J53</f>
        <v>41</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217.67619999999999</v>
      </c>
      <c r="C2" s="1289" t="s">
        <v>879</v>
      </c>
      <c r="D2" s="1375">
        <f ca="1">C40+J29+L46</f>
        <v>2176762</v>
      </c>
      <c r="E2" s="1295" t="s">
        <v>880</v>
      </c>
      <c r="F2" s="1296"/>
      <c r="G2" s="2476"/>
      <c r="H2" s="2466"/>
      <c r="I2" s="2466"/>
      <c r="J2" s="2466"/>
      <c r="K2" s="2467"/>
      <c r="L2" s="2466"/>
      <c r="M2" s="2466"/>
    </row>
    <row r="3" spans="1:37" ht="18" customHeight="1" thickBot="1">
      <c r="A3" s="1297" t="s">
        <v>881</v>
      </c>
      <c r="B3" s="1298">
        <f ca="1">IF(ISERROR(D2/F43),0,ROUND(D2/F43,0))</f>
        <v>30410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93632</v>
      </c>
      <c r="D5" s="1273" t="s">
        <v>889</v>
      </c>
      <c r="E5" s="1008"/>
      <c r="F5" s="1009"/>
      <c r="G5" s="1292"/>
      <c r="H5" s="291">
        <v>1</v>
      </c>
      <c r="I5" s="292" t="s">
        <v>888</v>
      </c>
      <c r="J5" s="1007">
        <f ca="1">J6+J10+J12</f>
        <v>0</v>
      </c>
      <c r="K5" s="1273" t="s">
        <v>889</v>
      </c>
      <c r="L5" s="1008"/>
      <c r="M5" s="1009"/>
    </row>
    <row r="6" spans="1:37" ht="18" customHeight="1">
      <c r="A6" s="1006" t="s">
        <v>398</v>
      </c>
      <c r="B6" s="3329" t="s">
        <v>694</v>
      </c>
      <c r="C6" s="1011">
        <f ca="1">ROUND(F6*F8*F7*(1-F9),0)</f>
        <v>93515</v>
      </c>
      <c r="D6" s="147" t="s">
        <v>2106</v>
      </c>
      <c r="E6" s="294" t="s">
        <v>696</v>
      </c>
      <c r="F6" s="295">
        <f ca="1">INDIRECT("'数据-取费表'!u"&amp;$G$1)</f>
        <v>114.6</v>
      </c>
      <c r="G6" s="1292"/>
      <c r="H6" s="1006" t="s">
        <v>398</v>
      </c>
      <c r="I6" s="3329" t="s">
        <v>694</v>
      </c>
      <c r="J6" s="293">
        <f ca="1">ROUND(M6*M8*M7*(1-M9),0)</f>
        <v>0</v>
      </c>
      <c r="K6" s="1284" t="s">
        <v>2107</v>
      </c>
      <c r="L6" s="294" t="s">
        <v>696</v>
      </c>
      <c r="M6" s="295">
        <f ca="1">INDIRECT("'数据-取费表'!z"&amp;$G$1)</f>
        <v>0</v>
      </c>
    </row>
    <row r="7" spans="1:37" ht="18" customHeight="1">
      <c r="A7" s="1010"/>
      <c r="B7" s="3330"/>
      <c r="C7" s="1012"/>
      <c r="D7" s="299"/>
      <c r="E7" s="1013" t="s">
        <v>697</v>
      </c>
      <c r="F7" s="295">
        <f ca="1">IF(INDIRECT("'数据-取费表'!ah"&amp;$G$1)="",INDIRECT("'数据-取费表'!k"&amp;$G$1),INDIRECT("'数据-取费表'!ah"&amp;$G$1))</f>
        <v>71.58</v>
      </c>
      <c r="G7" s="1292"/>
      <c r="H7" s="296"/>
      <c r="I7" s="3330"/>
      <c r="J7" s="298"/>
      <c r="K7" s="299"/>
      <c r="L7" s="294" t="s">
        <v>697</v>
      </c>
      <c r="M7" s="295">
        <f ca="1">F7</f>
        <v>71.58</v>
      </c>
    </row>
    <row r="8" spans="1:37" ht="18" customHeight="1">
      <c r="A8" s="296"/>
      <c r="B8" s="3330"/>
      <c r="C8" s="298"/>
      <c r="D8" s="299"/>
      <c r="E8" s="294" t="s">
        <v>698</v>
      </c>
      <c r="F8" s="295">
        <f ca="1">INDIRECT("'数据-取费表'!ai"&amp;$G$1)</f>
        <v>12</v>
      </c>
      <c r="G8" s="1292"/>
      <c r="H8" s="296"/>
      <c r="I8" s="3330"/>
      <c r="J8" s="298"/>
      <c r="K8" s="299"/>
      <c r="L8" s="294" t="s">
        <v>698</v>
      </c>
      <c r="M8" s="295">
        <f ca="1">INDIRECT("'数据-取费表'!ai"&amp;$G$1)</f>
        <v>12</v>
      </c>
    </row>
    <row r="9" spans="1:37" ht="18" customHeight="1">
      <c r="A9" s="296"/>
      <c r="B9" s="3331"/>
      <c r="C9" s="298"/>
      <c r="D9" s="299"/>
      <c r="E9" s="294" t="s">
        <v>699</v>
      </c>
      <c r="F9" s="304">
        <f ca="1">INDIRECT("'数据-取费表'!w"&amp;$G$1)</f>
        <v>0.05</v>
      </c>
      <c r="G9" s="1292"/>
      <c r="H9" s="296"/>
      <c r="I9" s="3331"/>
      <c r="J9" s="298"/>
      <c r="K9" s="299"/>
      <c r="L9" s="305" t="s">
        <v>699</v>
      </c>
      <c r="M9" s="306">
        <f ca="1">INDIRECT("'数据-取费表'!ab"&amp;$G$1)</f>
        <v>0</v>
      </c>
    </row>
    <row r="10" spans="1:37" ht="18" customHeight="1">
      <c r="A10" s="1006" t="s">
        <v>402</v>
      </c>
      <c r="B10" s="1274" t="s">
        <v>700</v>
      </c>
      <c r="C10" s="308">
        <f ca="1">ROUND(IF(F10="押一",C6/12*F11,IF(F10="押二",C6/12*2*F11,IF(F10="押三",C6/12*3*F11,C11*F11))),0)</f>
        <v>117</v>
      </c>
      <c r="D10" s="150" t="s">
        <v>2116</v>
      </c>
      <c r="E10" s="305" t="s">
        <v>701</v>
      </c>
      <c r="F10" s="1053" t="s">
        <v>3694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276391</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250530</v>
      </c>
      <c r="D14" s="1257" t="s">
        <v>708</v>
      </c>
      <c r="E14" s="1255"/>
      <c r="F14" s="311"/>
      <c r="G14" s="1292"/>
      <c r="H14" s="928" t="s">
        <v>398</v>
      </c>
      <c r="I14" s="294" t="s">
        <v>709</v>
      </c>
      <c r="J14" s="21">
        <f ca="1">C29</f>
        <v>373501</v>
      </c>
      <c r="K14" s="12"/>
      <c r="L14" s="759"/>
      <c r="M14" s="760"/>
    </row>
    <row r="15" spans="1:37" s="1304" customFormat="1" ht="18" customHeight="1" thickBot="1">
      <c r="A15" s="928" t="s">
        <v>399</v>
      </c>
      <c r="B15" s="294" t="s">
        <v>710</v>
      </c>
      <c r="C15" s="21">
        <f ca="1">ROUND(C14*F15,0)</f>
        <v>7516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12527</v>
      </c>
      <c r="D16" s="294" t="s">
        <v>711</v>
      </c>
      <c r="E16" s="294" t="s">
        <v>712</v>
      </c>
      <c r="F16" s="314">
        <f ca="1">IF(INDIRECT("'数据-取费表'!c"&amp;$G$1)="住宅",'数据-取费表'!B34,0)</f>
        <v>0.05</v>
      </c>
      <c r="G16" s="1292"/>
      <c r="H16" s="1016" t="s">
        <v>393</v>
      </c>
      <c r="I16" s="1017" t="s">
        <v>714</v>
      </c>
      <c r="J16" s="302">
        <f ca="1">ROUND(J17+J22+J23+J24,0)</f>
        <v>3735</v>
      </c>
      <c r="K16" s="1024" t="s">
        <v>715</v>
      </c>
      <c r="L16" s="1025"/>
      <c r="M16" s="1009"/>
    </row>
    <row r="17" spans="1:37" s="1304" customFormat="1" ht="18" customHeight="1">
      <c r="A17" s="928" t="s">
        <v>681</v>
      </c>
      <c r="B17" s="294" t="s">
        <v>716</v>
      </c>
      <c r="C17" s="21">
        <f ca="1">ROUND(F17*(F43+INDIRECT("'数据-取费表'!S"&amp;$G$1)),0)</f>
        <v>14316</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3758</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288647</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2886</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3735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13848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-3735</v>
      </c>
      <c r="K25" s="1032" t="s">
        <v>753</v>
      </c>
      <c r="L25" s="1033"/>
      <c r="M25" s="1034"/>
    </row>
    <row r="26" spans="1:37" ht="18" customHeight="1">
      <c r="A26" s="928" t="s">
        <v>397</v>
      </c>
      <c r="B26" s="294" t="s">
        <v>754</v>
      </c>
      <c r="C26" s="21">
        <f ca="1">ROUND((C19+C20)*F26,0)</f>
        <v>43730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1.5E-3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373501</v>
      </c>
      <c r="D29" s="1029"/>
      <c r="E29" s="1027"/>
      <c r="F29" s="1030"/>
      <c r="G29" s="1303"/>
      <c r="H29" s="325" t="s">
        <v>396</v>
      </c>
      <c r="I29" s="326" t="s">
        <v>768</v>
      </c>
      <c r="J29" s="327">
        <f ca="1">ROUND(J26/(1+F40)^F41,0)</f>
        <v>0</v>
      </c>
      <c r="K29" s="328" t="s">
        <v>769</v>
      </c>
      <c r="L29" s="329"/>
      <c r="M29" s="330">
        <f ca="1">INDIRECT("'数据-取费表'!k"&amp;$G$1)</f>
        <v>71.58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20621</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15674</v>
      </c>
      <c r="D31" s="1257" t="s">
        <v>720</v>
      </c>
      <c r="E31" s="1256" t="s">
        <v>770</v>
      </c>
      <c r="F31" s="2136">
        <f ca="1">IF(项目基本情况!B11="企业","——",IF(M47="住宅",IF(F6*F7*F8/12/(1+'数据-取费表'!F30)&gt;100000,4%,2.5%),IF(F6*F7*F8/12/(1+'数据-取费表'!F30)&gt;100000,12%,7%)))</f>
        <v>2.5000000000000001E-2</v>
      </c>
      <c r="G31" s="1292"/>
      <c r="H31" s="2567" t="s">
        <v>2310</v>
      </c>
      <c r="I31" s="1305"/>
      <c r="J31" s="1306"/>
      <c r="K31" s="121"/>
      <c r="L31" s="2469"/>
      <c r="M31" s="2470"/>
    </row>
    <row r="32" spans="1:37" ht="18" customHeight="1">
      <c r="A32" s="928" t="s">
        <v>397</v>
      </c>
      <c r="B32" s="294" t="s">
        <v>723</v>
      </c>
      <c r="C32" s="21">
        <f ca="1">IF(项目基本情况!B11="自然人","——",ROUND(C6*F32/(1+'数据-取费表'!C42),0))</f>
        <v>4987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10687</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3735</v>
      </c>
      <c r="D36" s="1256" t="s">
        <v>771</v>
      </c>
      <c r="E36" s="294" t="s">
        <v>712</v>
      </c>
      <c r="F36" s="320">
        <f ca="1">INDIRECT("'数据-取费表'!Ak"&amp;$G$1)</f>
        <v>0.01</v>
      </c>
      <c r="G36" s="1292"/>
      <c r="H36" s="2471"/>
      <c r="I36" s="1305"/>
      <c r="J36" s="1306"/>
      <c r="K36" s="2328"/>
      <c r="L36" s="2471"/>
      <c r="M36" s="2471"/>
    </row>
    <row r="37" spans="1:18" ht="18" customHeight="1">
      <c r="A37" s="928" t="s">
        <v>437</v>
      </c>
      <c r="B37" s="294" t="s">
        <v>742</v>
      </c>
      <c r="C37" s="21">
        <f ca="1">ROUND(C13*F37,0)</f>
        <v>276</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936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73011</v>
      </c>
      <c r="D39" s="1032" t="s">
        <v>773</v>
      </c>
      <c r="E39" s="1033"/>
      <c r="F39" s="1034"/>
      <c r="G39" s="1292"/>
      <c r="H39" s="2471"/>
      <c r="I39" s="1305"/>
      <c r="J39" s="1306"/>
      <c r="K39" s="2469"/>
      <c r="L39" s="2471"/>
      <c r="M39" s="2471"/>
    </row>
    <row r="40" spans="1:18" ht="18" customHeight="1">
      <c r="A40" s="291" t="s">
        <v>395</v>
      </c>
      <c r="B40" s="292" t="s">
        <v>774</v>
      </c>
      <c r="C40" s="293">
        <f ca="1">ROUND(C39*(1-((1+F42)/(1+F40))^F41)/(F40-F42),0)</f>
        <v>2176762</v>
      </c>
      <c r="D40" s="316" t="s">
        <v>758</v>
      </c>
      <c r="E40" s="294" t="s">
        <v>759</v>
      </c>
      <c r="F40" s="304">
        <f ca="1">INDIRECT("'数据-取费表'!I"&amp;$G$1)</f>
        <v>4.4999999999999998E-2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41</v>
      </c>
      <c r="G41" s="1292"/>
      <c r="H41" s="121"/>
      <c r="I41" s="1305"/>
      <c r="J41" s="1306"/>
      <c r="K41" s="2328"/>
      <c r="L41" s="121"/>
      <c r="M41" s="121"/>
    </row>
    <row r="42" spans="1:18" ht="18" customHeight="1">
      <c r="A42" s="300"/>
      <c r="B42" s="301"/>
      <c r="C42" s="302"/>
      <c r="D42" s="319"/>
      <c r="E42" s="294" t="s">
        <v>766</v>
      </c>
      <c r="F42" s="304">
        <f ca="1">INDIRECT("'数据-取费表'!v"&amp;$G$1)</f>
        <v>0.03</v>
      </c>
      <c r="G42" s="1292"/>
      <c r="H42" s="121"/>
      <c r="I42" s="1305"/>
      <c r="J42" s="1306"/>
      <c r="K42" s="2328"/>
      <c r="L42" s="121"/>
      <c r="M42" s="121"/>
    </row>
    <row r="43" spans="1:18" ht="18" customHeight="1" thickBot="1">
      <c r="A43" s="325" t="s">
        <v>396</v>
      </c>
      <c r="B43" s="326" t="s">
        <v>776</v>
      </c>
      <c r="C43" s="327">
        <f ca="1">ROUND(C40/F43,0)</f>
        <v>30410</v>
      </c>
      <c r="D43" s="328" t="s">
        <v>777</v>
      </c>
      <c r="E43" s="329" t="s">
        <v>778</v>
      </c>
      <c r="F43" s="330">
        <f ca="1">INDIRECT("'数据-取费表'!k"&amp;$G$1)</f>
        <v>71.58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3355</v>
      </c>
      <c r="B45" s="1307"/>
      <c r="C45" s="1376">
        <f ca="1">ROUND((C68-C40)/10000,4)</f>
        <v>-225.12309999999999</v>
      </c>
      <c r="D45" s="3128" t="s">
        <v>3356</v>
      </c>
      <c r="E45" s="1307"/>
      <c r="F45" s="1307"/>
      <c r="O45" s="1310" t="s">
        <v>808</v>
      </c>
      <c r="P45" s="1366"/>
      <c r="Q45" s="1366"/>
      <c r="R45" s="1366"/>
    </row>
    <row r="46" spans="1:18" s="1292" customFormat="1" ht="13.5" thickBot="1">
      <c r="A46" s="1311" t="s">
        <v>809</v>
      </c>
      <c r="C46" s="1312">
        <f ca="1">ROUND(C45,0)</f>
        <v>-225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3683</v>
      </c>
      <c r="K47" s="1323" t="s">
        <v>816</v>
      </c>
      <c r="L47" s="1324">
        <f ca="1">INDIRECT("'数据-取费表'!d"&amp;$G$1)</f>
        <v>70</v>
      </c>
      <c r="M47" s="1288" t="str">
        <f>IF(ISNUMBER(FIND("住宅",C1)),"住宅","非住宅")</f>
        <v>住宅</v>
      </c>
      <c r="O47" s="1325" t="s">
        <v>403</v>
      </c>
      <c r="P47" s="1326" t="s">
        <v>817</v>
      </c>
      <c r="Q47" s="1327">
        <f ca="1">C40+J29</f>
        <v>2176762</v>
      </c>
      <c r="R47" s="1327" t="s">
        <v>818</v>
      </c>
    </row>
    <row r="48" spans="1:18" s="1292" customFormat="1" ht="28.5" thickBot="1">
      <c r="A48" s="1047" t="s">
        <v>438</v>
      </c>
      <c r="B48" s="292" t="s">
        <v>692</v>
      </c>
      <c r="C48" s="1268">
        <f ca="1">C49+C53+C55</f>
        <v>0</v>
      </c>
      <c r="D48" s="1049"/>
      <c r="E48" s="1050"/>
      <c r="F48" s="908"/>
      <c r="G48" s="681"/>
      <c r="H48" s="682"/>
      <c r="I48" s="1328" t="s">
        <v>819</v>
      </c>
      <c r="J48" s="1329" t="s">
        <v>3695</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373501</v>
      </c>
      <c r="R49" s="1327" t="s">
        <v>818</v>
      </c>
    </row>
    <row r="50" spans="1:18" s="1292" customFormat="1" ht="13.5" thickBot="1">
      <c r="A50" s="922"/>
      <c r="B50" s="925"/>
      <c r="C50" s="926"/>
      <c r="D50" s="899"/>
      <c r="E50" s="993" t="s">
        <v>697</v>
      </c>
      <c r="F50" s="994">
        <f ca="1">F7</f>
        <v>71.58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1183418</v>
      </c>
      <c r="M51" s="1341"/>
      <c r="O51" s="1334" t="s">
        <v>407</v>
      </c>
      <c r="P51" s="1326" t="s">
        <v>831</v>
      </c>
      <c r="Q51" s="1337">
        <f ca="1">J52</f>
        <v>5.5E-2</v>
      </c>
      <c r="R51" s="1327"/>
    </row>
    <row r="52" spans="1:18" s="1292" customFormat="1" ht="13.5" thickBot="1">
      <c r="A52" s="923"/>
      <c r="B52" s="925"/>
      <c r="C52" s="926"/>
      <c r="D52" s="899"/>
      <c r="E52" s="927" t="s">
        <v>699</v>
      </c>
      <c r="F52" s="991"/>
      <c r="I52" s="1342" t="s">
        <v>832</v>
      </c>
      <c r="J52" s="1343">
        <f ca="1">F40+0.01</f>
        <v>5.5E-2</v>
      </c>
      <c r="K52" s="1342" t="s">
        <v>833</v>
      </c>
      <c r="L52" s="1343"/>
      <c r="O52" s="1334" t="s">
        <v>408</v>
      </c>
      <c r="P52" s="1326" t="s">
        <v>834</v>
      </c>
      <c r="Q52" s="1327">
        <f ca="1">J53</f>
        <v>41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41</v>
      </c>
      <c r="K53" s="3327" t="s">
        <v>837</v>
      </c>
      <c r="L53" s="3328"/>
      <c r="O53" s="1325" t="s">
        <v>409</v>
      </c>
      <c r="P53" s="1326" t="s">
        <v>838</v>
      </c>
      <c r="Q53" s="1327">
        <f ca="1">Q47+Q48</f>
        <v>2176762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276391</v>
      </c>
      <c r="D56" s="1352"/>
      <c r="E56" s="1353"/>
      <c r="F56" s="1345"/>
      <c r="I56" s="1354" t="s">
        <v>842</v>
      </c>
      <c r="J56" s="1355" t="s">
        <v>3696</v>
      </c>
      <c r="K56" s="1328" t="s">
        <v>843</v>
      </c>
      <c r="L56" s="1331" t="str">
        <f ca="1">IF(L48&lt;J51,"——",L48-J51)</f>
        <v>——</v>
      </c>
      <c r="O56" s="1325" t="s">
        <v>403</v>
      </c>
      <c r="P56" s="1326" t="s">
        <v>817</v>
      </c>
      <c r="Q56" s="1327">
        <f ca="1">C40+J29</f>
        <v>2176762</v>
      </c>
      <c r="R56" s="1327" t="s">
        <v>818</v>
      </c>
    </row>
    <row r="57" spans="1:18" s="1292" customFormat="1" ht="24.75" thickBot="1">
      <c r="A57" s="1356"/>
      <c r="B57" s="896" t="s">
        <v>767</v>
      </c>
      <c r="C57" s="230">
        <f ca="1">C29</f>
        <v>373501</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4011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2176762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3735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276</v>
      </c>
      <c r="D65" s="910" t="s">
        <v>743</v>
      </c>
      <c r="E65" s="896" t="s">
        <v>744</v>
      </c>
      <c r="F65" s="321">
        <f t="shared" ca="1" si="0"/>
        <v>1E-3</v>
      </c>
      <c r="I65" s="1367" t="s">
        <v>867</v>
      </c>
      <c r="J65" s="610">
        <v>40</v>
      </c>
      <c r="K65" s="610">
        <v>30</v>
      </c>
      <c r="L65" s="610">
        <v>50</v>
      </c>
      <c r="M65" s="1369">
        <v>0.02</v>
      </c>
      <c r="O65" s="1325" t="s">
        <v>403</v>
      </c>
      <c r="P65" s="1326" t="s">
        <v>868</v>
      </c>
      <c r="Q65" s="1327">
        <f ca="1">C40+J29</f>
        <v>2176762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-4011</v>
      </c>
      <c r="D67" s="909" t="s">
        <v>753</v>
      </c>
      <c r="E67" s="914"/>
      <c r="F67" s="915"/>
      <c r="O67" s="1334" t="s">
        <v>405</v>
      </c>
      <c r="P67" s="1326" t="s">
        <v>850</v>
      </c>
      <c r="Q67" s="1370">
        <f ca="1">L51</f>
        <v>1183418</v>
      </c>
      <c r="R67" s="1327" t="s">
        <v>870</v>
      </c>
    </row>
    <row r="68" spans="1:18" s="1292" customFormat="1" ht="16.5" thickBot="1">
      <c r="A68" s="893" t="s">
        <v>395</v>
      </c>
      <c r="B68" s="894" t="s">
        <v>774</v>
      </c>
      <c r="C68" s="293">
        <f ca="1">ROUND(C67*(1-((1+F70)/(1+F68))^F69)/(F68-F70),0)</f>
        <v>-74469</v>
      </c>
      <c r="D68" s="911" t="s">
        <v>758</v>
      </c>
      <c r="E68" s="896" t="s">
        <v>759</v>
      </c>
      <c r="F68" s="304">
        <f ca="1">F40</f>
        <v>4.4999999999999998E-2</v>
      </c>
      <c r="O68" s="1334" t="s">
        <v>406</v>
      </c>
      <c r="P68" s="1371" t="s">
        <v>871</v>
      </c>
      <c r="Q68" s="1327">
        <f ca="1">ROUND(Q69-Q70*Q71,0)</f>
        <v>59191</v>
      </c>
      <c r="R68" s="1327" t="s">
        <v>414</v>
      </c>
    </row>
    <row r="69" spans="1:18" s="1292" customFormat="1" ht="13.5" thickBot="1">
      <c r="A69" s="897"/>
      <c r="B69" s="898"/>
      <c r="C69" s="298"/>
      <c r="D69" s="916" t="s">
        <v>762</v>
      </c>
      <c r="E69" s="896" t="s">
        <v>763</v>
      </c>
      <c r="F69" s="324">
        <f ca="1">F41</f>
        <v>41</v>
      </c>
      <c r="O69" s="1334" t="s">
        <v>411</v>
      </c>
      <c r="P69" s="1371" t="s">
        <v>872</v>
      </c>
      <c r="Q69" s="1327">
        <f ca="1">C39</f>
        <v>73011</v>
      </c>
      <c r="R69" s="1327" t="s">
        <v>818</v>
      </c>
    </row>
    <row r="70" spans="1:18" s="1292" customFormat="1" ht="13.5" thickBot="1">
      <c r="A70" s="900"/>
      <c r="B70" s="901"/>
      <c r="C70" s="302"/>
      <c r="D70" s="912"/>
      <c r="E70" s="896" t="s">
        <v>766</v>
      </c>
      <c r="F70" s="991"/>
      <c r="O70" s="1334" t="s">
        <v>412</v>
      </c>
      <c r="P70" s="1371" t="s">
        <v>873</v>
      </c>
      <c r="Q70" s="1327">
        <f ca="1">C13</f>
        <v>276391</v>
      </c>
      <c r="R70" s="1327" t="s">
        <v>818</v>
      </c>
    </row>
    <row r="71" spans="1:18" s="1292" customFormat="1" ht="13.5" thickBot="1">
      <c r="A71" s="917" t="s">
        <v>396</v>
      </c>
      <c r="B71" s="918" t="s">
        <v>776</v>
      </c>
      <c r="C71" s="327">
        <f ca="1">ROUND(C68/F71,0)</f>
        <v>-1040</v>
      </c>
      <c r="D71" s="919" t="s">
        <v>777</v>
      </c>
      <c r="E71" s="920" t="s">
        <v>778</v>
      </c>
      <c r="F71" s="330">
        <f ca="1">F43</f>
        <v>71.58</v>
      </c>
      <c r="O71" s="1334" t="s">
        <v>413</v>
      </c>
      <c r="P71" s="1371" t="s">
        <v>874</v>
      </c>
      <c r="Q71" s="1337">
        <f ca="1">C76</f>
        <v>0.05</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13820</v>
      </c>
      <c r="D75" s="1292"/>
      <c r="E75" s="1292"/>
      <c r="F75" s="1292"/>
      <c r="K75" s="1309"/>
      <c r="L75" s="1292"/>
      <c r="O75" s="1325" t="s">
        <v>409</v>
      </c>
      <c r="P75" s="1326" t="s">
        <v>838</v>
      </c>
      <c r="Q75" s="1327">
        <f ca="1">Q65+Q66</f>
        <v>2176762</v>
      </c>
      <c r="R75" s="1327" t="s">
        <v>410</v>
      </c>
    </row>
    <row r="76" spans="1:18">
      <c r="B76" s="333" t="s">
        <v>796</v>
      </c>
      <c r="C76" s="334">
        <f ca="1">INDIRECT("'数据-取费表'!j"&amp;$G$1)</f>
        <v>0.05</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0.81099999999999994</v>
      </c>
    </row>
    <row r="80" spans="1:18">
      <c r="B80" s="331" t="s">
        <v>800</v>
      </c>
      <c r="C80" s="266">
        <f ca="1">ROUND(C75/C39,3)</f>
        <v>0.189</v>
      </c>
    </row>
    <row r="81" spans="2:3">
      <c r="B81" s="262" t="s">
        <v>801</v>
      </c>
      <c r="C81" s="230"/>
    </row>
    <row r="82" spans="2:3">
      <c r="B82" s="265" t="s">
        <v>802</v>
      </c>
      <c r="C82" s="267">
        <f ca="1">1-C83</f>
        <v>0.873</v>
      </c>
    </row>
    <row r="83" spans="2:3">
      <c r="B83" s="265" t="s">
        <v>803</v>
      </c>
      <c r="C83" s="266">
        <f ca="1">ROUND(C13/C40,3)</f>
        <v>0.127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3362</v>
      </c>
      <c r="E2" s="3137"/>
      <c r="F2" s="2595"/>
      <c r="G2" s="2596"/>
      <c r="H2" s="2597"/>
      <c r="I2" s="2598"/>
      <c r="J2" s="3332" t="s">
        <v>2320</v>
      </c>
      <c r="K2" s="3333"/>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34" t="s">
        <v>2330</v>
      </c>
      <c r="K3" s="3335"/>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34" t="s">
        <v>2332</v>
      </c>
      <c r="K4" s="3335"/>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36" t="s">
        <v>2336</v>
      </c>
      <c r="B6" s="3337"/>
      <c r="C6" s="3338"/>
      <c r="D6" s="2619"/>
      <c r="E6" s="2620"/>
      <c r="F6" s="2621"/>
      <c r="G6" s="2622"/>
      <c r="H6" s="2597"/>
      <c r="I6" s="2598"/>
      <c r="J6" s="3339">
        <v>1</v>
      </c>
      <c r="K6" s="3340"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39"/>
      <c r="K7" s="3341"/>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43" t="s">
        <v>2350</v>
      </c>
      <c r="C8" s="3344"/>
      <c r="D8" s="2638" t="s">
        <v>2351</v>
      </c>
      <c r="E8" s="2639" t="s">
        <v>2352</v>
      </c>
      <c r="F8" s="2640" t="s">
        <v>2353</v>
      </c>
      <c r="G8" s="2641"/>
      <c r="H8" s="2597"/>
      <c r="I8" s="2598"/>
      <c r="J8" s="3339"/>
      <c r="K8" s="3341"/>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43" t="s">
        <v>2356</v>
      </c>
      <c r="C9" s="3344"/>
      <c r="D9" s="2638">
        <f>ROUND(D6*E9,0)</f>
        <v>0</v>
      </c>
      <c r="E9" s="2642"/>
      <c r="F9" s="2643" t="s">
        <v>2357</v>
      </c>
      <c r="G9" s="2622"/>
      <c r="H9" s="2597"/>
      <c r="I9" s="2598"/>
      <c r="J9" s="3339"/>
      <c r="K9" s="3341"/>
      <c r="L9" s="2632" t="s">
        <v>2358</v>
      </c>
      <c r="M9" s="2633"/>
      <c r="N9" s="2609"/>
      <c r="O9" s="2634"/>
      <c r="P9" s="2634"/>
      <c r="Q9" s="2635">
        <v>365</v>
      </c>
      <c r="R9" s="2636">
        <f t="shared" si="0"/>
        <v>0</v>
      </c>
      <c r="S9" s="2590"/>
      <c r="T9" s="2590"/>
      <c r="U9" s="2590"/>
      <c r="V9" s="2598"/>
    </row>
    <row r="10" spans="1:22" s="2602" customFormat="1" ht="13.15" customHeight="1">
      <c r="A10" s="2637">
        <v>2</v>
      </c>
      <c r="B10" s="3343" t="s">
        <v>2359</v>
      </c>
      <c r="C10" s="3344"/>
      <c r="D10" s="2638">
        <f>ROUND(D6*E10,0)</f>
        <v>0</v>
      </c>
      <c r="E10" s="2642"/>
      <c r="F10" s="2643" t="s">
        <v>2360</v>
      </c>
      <c r="G10" s="2622"/>
      <c r="H10" s="2597"/>
      <c r="I10" s="2598"/>
      <c r="J10" s="3339"/>
      <c r="K10" s="3341"/>
      <c r="L10" s="2632" t="s">
        <v>2361</v>
      </c>
      <c r="M10" s="2633"/>
      <c r="N10" s="2609"/>
      <c r="O10" s="2634"/>
      <c r="P10" s="2634"/>
      <c r="Q10" s="2635">
        <v>365</v>
      </c>
      <c r="R10" s="2636">
        <f t="shared" si="0"/>
        <v>0</v>
      </c>
      <c r="S10" s="2590"/>
      <c r="T10" s="2590"/>
      <c r="U10" s="2590"/>
      <c r="V10" s="2598"/>
    </row>
    <row r="11" spans="1:22" s="2602" customFormat="1" ht="13.15" customHeight="1">
      <c r="A11" s="2637">
        <v>3</v>
      </c>
      <c r="B11" s="3343" t="s">
        <v>2362</v>
      </c>
      <c r="C11" s="3344"/>
      <c r="D11" s="2638">
        <f>D12+D14+D15+D16</f>
        <v>0</v>
      </c>
      <c r="E11" s="2644" t="e">
        <f>D11/D6</f>
        <v>#DIV/0!</v>
      </c>
      <c r="F11" s="2640"/>
      <c r="G11" s="2641"/>
      <c r="H11" s="2597"/>
      <c r="I11" s="2598"/>
      <c r="J11" s="3339"/>
      <c r="K11" s="3341"/>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45" t="s">
        <v>2365</v>
      </c>
      <c r="C12" s="3346"/>
      <c r="D12" s="2646">
        <f>ROUND(D13*1.2%*(1-30%),0)</f>
        <v>0</v>
      </c>
      <c r="E12" s="2647">
        <v>1.2E-2</v>
      </c>
      <c r="F12" s="2640" t="s">
        <v>2366</v>
      </c>
      <c r="G12" s="2641"/>
      <c r="H12" s="2597"/>
      <c r="I12" s="2598"/>
      <c r="J12" s="3339"/>
      <c r="K12" s="3341"/>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39"/>
      <c r="K13" s="3341"/>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45" t="s">
        <v>2371</v>
      </c>
      <c r="C14" s="3346"/>
      <c r="D14" s="2646">
        <f>ROUND(E14*B5/10000,0)</f>
        <v>0</v>
      </c>
      <c r="E14" s="2635"/>
      <c r="F14" s="2640" t="s">
        <v>2372</v>
      </c>
      <c r="G14" s="2641"/>
      <c r="H14" s="2597"/>
      <c r="I14" s="2598"/>
      <c r="J14" s="3339"/>
      <c r="K14" s="3342"/>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45" t="s">
        <v>2375</v>
      </c>
      <c r="C15" s="3346"/>
      <c r="D15" s="2646">
        <f>ROUND(D6*E15,0)</f>
        <v>0</v>
      </c>
      <c r="E15" s="2647">
        <v>5.5E-2</v>
      </c>
      <c r="F15" s="2640" t="s">
        <v>2376</v>
      </c>
      <c r="G15" s="2622"/>
      <c r="H15" s="2597"/>
      <c r="I15" s="2598"/>
      <c r="J15" s="3339">
        <v>2</v>
      </c>
      <c r="K15" s="3340"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45" t="s">
        <v>2384</v>
      </c>
      <c r="C16" s="3346"/>
      <c r="D16" s="2657">
        <f>D6*E16</f>
        <v>0</v>
      </c>
      <c r="E16" s="2658"/>
      <c r="F16" s="2643" t="s">
        <v>2385</v>
      </c>
      <c r="G16" s="2622"/>
      <c r="H16" s="2597"/>
      <c r="I16" s="2598"/>
      <c r="J16" s="3339"/>
      <c r="K16" s="3341"/>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47" t="s">
        <v>2387</v>
      </c>
      <c r="C17" s="3348"/>
      <c r="D17" s="2660">
        <f>ROUND(D6*E17,0)</f>
        <v>0</v>
      </c>
      <c r="E17" s="2661"/>
      <c r="F17" s="2662" t="s">
        <v>2388</v>
      </c>
      <c r="G17" s="2622"/>
      <c r="H17" s="2597"/>
      <c r="I17" s="2598"/>
      <c r="J17" s="3339"/>
      <c r="K17" s="3341"/>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39"/>
      <c r="K18" s="3341"/>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39"/>
      <c r="K19" s="3342"/>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39">
        <v>3</v>
      </c>
      <c r="K20" s="3340"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39"/>
      <c r="K21" s="3341"/>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39"/>
      <c r="K22" s="3341"/>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39"/>
      <c r="K23" s="3341"/>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39"/>
      <c r="K24" s="3342"/>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49">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50"/>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32" t="s">
        <v>2320</v>
      </c>
      <c r="K32" s="3333"/>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34" t="s">
        <v>2330</v>
      </c>
      <c r="K33" s="3335"/>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34" t="s">
        <v>2332</v>
      </c>
      <c r="K34" s="3335"/>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39">
        <v>1</v>
      </c>
      <c r="K36" s="3340"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39"/>
      <c r="K37" s="3341"/>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39"/>
      <c r="K38" s="3341"/>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39"/>
      <c r="K39" s="3341"/>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39"/>
      <c r="K40" s="3342"/>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49">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50"/>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217.67619999999999</v>
      </c>
      <c r="C2" s="1729" t="s">
        <v>1651</v>
      </c>
      <c r="D2" s="1730" t="s">
        <v>1652</v>
      </c>
      <c r="E2" s="2390">
        <f>SUM(E6:E13)</f>
        <v>71.58</v>
      </c>
      <c r="F2" s="2477"/>
      <c r="G2" s="459"/>
      <c r="H2" s="459"/>
      <c r="I2" s="459"/>
      <c r="J2" s="459"/>
      <c r="K2" s="459"/>
      <c r="L2" s="459"/>
      <c r="M2" s="459"/>
      <c r="N2" s="459"/>
      <c r="O2" s="459"/>
      <c r="P2" s="459"/>
      <c r="Q2" s="459"/>
      <c r="R2" s="459"/>
      <c r="S2" s="459"/>
    </row>
    <row r="3" spans="1:22" ht="15.75">
      <c r="A3" s="1728" t="s">
        <v>686</v>
      </c>
      <c r="B3" s="2384">
        <f ca="1">ROUND(B2*10000/E2,0)</f>
        <v>30410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51" t="s">
        <v>1654</v>
      </c>
      <c r="C5" s="3352"/>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217.67619999999999</v>
      </c>
      <c r="C6" s="1729" t="s">
        <v>1651</v>
      </c>
      <c r="D6" s="2477"/>
      <c r="E6" s="2389">
        <f>IF(OR(A6=0,F6="否"),0,'数据-取费表'!K6+'数据-取费表'!S6)</f>
        <v>71.58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7" zoomScale="90" zoomScaleNormal="60" zoomScaleSheetLayoutView="90" workbookViewId="0">
      <selection activeCell="R48" sqref="R48:S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3385</v>
      </c>
      <c r="E1" s="3122"/>
      <c r="F1" s="1735" t="s">
        <v>3391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114.6</v>
      </c>
      <c r="C3" s="344" t="s">
        <v>1665</v>
      </c>
      <c r="D3" s="343">
        <f>IF(D1="",'数据-汇总表'!E3,SUMIF('数据-汇总表'!$C19:$C33,D1,'数据-汇总表'!$E19:$E33))</f>
        <v>71.58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71" t="s">
        <v>1667</v>
      </c>
      <c r="D4" s="3372"/>
      <c r="E4" s="3373" t="s">
        <v>1668</v>
      </c>
      <c r="F4" s="3374"/>
      <c r="G4" s="3371" t="s">
        <v>1669</v>
      </c>
      <c r="H4" s="3372"/>
      <c r="I4" s="3371" t="s">
        <v>1670</v>
      </c>
      <c r="J4" s="3372"/>
      <c r="K4" s="1744" t="s">
        <v>1671</v>
      </c>
      <c r="L4" s="2484"/>
      <c r="M4" s="2485"/>
      <c r="N4" s="2485"/>
      <c r="O4" s="2485"/>
      <c r="P4" s="3375" t="s">
        <v>1672</v>
      </c>
      <c r="Q4" s="3376"/>
      <c r="R4" s="3358" t="s">
        <v>1668</v>
      </c>
      <c r="S4" s="3359"/>
      <c r="T4" s="3358" t="s">
        <v>1669</v>
      </c>
      <c r="U4" s="3359"/>
      <c r="V4" s="3383" t="s">
        <v>1670</v>
      </c>
      <c r="W4" s="3383"/>
      <c r="X4" s="1265"/>
      <c r="Y4" s="3358" t="s">
        <v>1672</v>
      </c>
      <c r="Z4" s="3359"/>
      <c r="AA4" s="3353" t="s">
        <v>1668</v>
      </c>
      <c r="AB4" s="3353" t="s">
        <v>1669</v>
      </c>
      <c r="AC4" s="3353" t="s">
        <v>1670</v>
      </c>
    </row>
    <row r="5" spans="1:29" ht="15">
      <c r="A5" s="348"/>
      <c r="B5" s="349"/>
      <c r="C5" s="3486" t="s">
        <v>3676</v>
      </c>
      <c r="D5" s="3365"/>
      <c r="E5" s="3487" t="s">
        <v>3677</v>
      </c>
      <c r="F5" s="3363"/>
      <c r="G5" s="3486" t="s">
        <v>3676</v>
      </c>
      <c r="H5" s="3365"/>
      <c r="I5" s="3486" t="s">
        <v>3678</v>
      </c>
      <c r="J5" s="3365"/>
      <c r="K5" s="1745"/>
      <c r="L5" s="2484"/>
      <c r="M5" s="2485"/>
      <c r="N5" s="2485"/>
      <c r="O5" s="2485"/>
      <c r="P5" s="3377"/>
      <c r="Q5" s="3378"/>
      <c r="R5" s="3360"/>
      <c r="S5" s="3361"/>
      <c r="T5" s="3360"/>
      <c r="U5" s="3361"/>
      <c r="V5" s="3383"/>
      <c r="W5" s="3383"/>
      <c r="X5" s="1265"/>
      <c r="Y5" s="3360"/>
      <c r="Z5" s="3361"/>
      <c r="AA5" s="3354"/>
      <c r="AB5" s="3354"/>
      <c r="AC5" s="3354"/>
    </row>
    <row r="6" spans="1:29" ht="15.75" thickBot="1">
      <c r="A6" s="350"/>
      <c r="B6" s="351"/>
      <c r="C6" s="3366" t="s">
        <v>1677</v>
      </c>
      <c r="D6" s="3367"/>
      <c r="E6" s="3368" t="s">
        <v>1677</v>
      </c>
      <c r="F6" s="3369"/>
      <c r="G6" s="3366" t="s">
        <v>1677</v>
      </c>
      <c r="H6" s="3367"/>
      <c r="I6" s="3366" t="s">
        <v>1677</v>
      </c>
      <c r="J6" s="3367"/>
      <c r="K6" s="1745" t="s">
        <v>1678</v>
      </c>
      <c r="L6" s="2484"/>
      <c r="M6" s="2485"/>
      <c r="N6" s="2485"/>
      <c r="O6" s="2485"/>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v>44866</v>
      </c>
      <c r="F7" s="357">
        <f>SUMIF(58:58,YEAR(E7)&amp;"-"&amp;MONTH(E7),59:59)</f>
        <v>100</v>
      </c>
      <c r="G7" s="356">
        <v>44866</v>
      </c>
      <c r="H7" s="355">
        <f>SUMIF(58:58,YEAR(G7)&amp;"-"&amp;MONTH(G7),59:59)</f>
        <v>100</v>
      </c>
      <c r="I7" s="356">
        <v>44866</v>
      </c>
      <c r="J7" s="355">
        <f>SUMIF(58:58,YEAR(I7)&amp;"-"&amp;MONTH(I7),59:59)</f>
        <v>100</v>
      </c>
      <c r="K7" s="1746"/>
      <c r="L7" s="2486"/>
      <c r="M7" s="2437"/>
      <c r="N7" s="2437"/>
      <c r="O7" s="2437"/>
      <c r="P7" s="3356" t="s">
        <v>1680</v>
      </c>
      <c r="Q7" s="3384"/>
      <c r="R7" s="664" t="s">
        <v>20</v>
      </c>
      <c r="S7" s="665">
        <f t="shared" ref="S7:S15" si="0">F7</f>
        <v>100</v>
      </c>
      <c r="T7" s="664" t="s">
        <v>20</v>
      </c>
      <c r="U7" s="665">
        <f t="shared" ref="U7:U15" si="1">H7</f>
        <v>100</v>
      </c>
      <c r="V7" s="664" t="s">
        <v>20</v>
      </c>
      <c r="W7" s="665">
        <f t="shared" ref="W7:W15" si="2">J7</f>
        <v>100</v>
      </c>
      <c r="X7" s="666"/>
      <c r="Y7" s="3356" t="s">
        <v>1680</v>
      </c>
      <c r="Z7" s="3357"/>
      <c r="AA7" s="50">
        <f>D7/F7</f>
        <v>1</v>
      </c>
      <c r="AB7" s="50">
        <f>D7/H7</f>
        <v>1</v>
      </c>
      <c r="AC7" s="50">
        <f>D7/J7</f>
        <v>1</v>
      </c>
    </row>
    <row r="8" spans="1:29" s="102" customFormat="1" ht="15.75" thickBot="1">
      <c r="A8" s="352" t="s">
        <v>1681</v>
      </c>
      <c r="B8" s="353"/>
      <c r="C8" s="1759" t="s">
        <v>3692</v>
      </c>
      <c r="D8" s="355">
        <v>100</v>
      </c>
      <c r="E8" s="1759" t="s">
        <v>3692</v>
      </c>
      <c r="F8" s="357">
        <f>SUMIF(61:61,E8,62:62)-SUMIF(61:61,C8,62:62)+100</f>
        <v>100</v>
      </c>
      <c r="G8" s="1759" t="s">
        <v>3692</v>
      </c>
      <c r="H8" s="355">
        <f>SUMIF(61:61,G8,62:62)-SUMIF(61:61,C8,62:62)+100</f>
        <v>100</v>
      </c>
      <c r="I8" s="1759" t="s">
        <v>3692</v>
      </c>
      <c r="J8" s="355">
        <f>SUMIF(61:61,I8,62:62)-SUMIF(61:61,C8,62:62)+100</f>
        <v>100</v>
      </c>
      <c r="K8" s="1746"/>
      <c r="L8" s="2486"/>
      <c r="M8" s="2437"/>
      <c r="N8" s="2437"/>
      <c r="O8" s="2437"/>
      <c r="P8" s="3356" t="s">
        <v>1683</v>
      </c>
      <c r="Q8" s="3357"/>
      <c r="R8" s="664" t="s">
        <v>20</v>
      </c>
      <c r="S8" s="665">
        <f t="shared" si="0"/>
        <v>100</v>
      </c>
      <c r="T8" s="664" t="s">
        <v>20</v>
      </c>
      <c r="U8" s="665">
        <f t="shared" si="1"/>
        <v>100</v>
      </c>
      <c r="V8" s="664" t="s">
        <v>20</v>
      </c>
      <c r="W8" s="665">
        <f t="shared" si="2"/>
        <v>100</v>
      </c>
      <c r="X8" s="666"/>
      <c r="Y8" s="3356" t="s">
        <v>1683</v>
      </c>
      <c r="Z8" s="3357"/>
      <c r="AA8" s="50">
        <f t="shared" ref="AA8:AA19" si="3">D8/F8</f>
        <v>1</v>
      </c>
      <c r="AB8" s="50">
        <f t="shared" ref="AB8:AB19" si="4">D8/H8</f>
        <v>1</v>
      </c>
      <c r="AC8" s="50">
        <f t="shared" ref="AC8:AC19" si="5">D8/J8</f>
        <v>1</v>
      </c>
    </row>
    <row r="9" spans="1:29" s="102" customFormat="1" ht="15">
      <c r="A9" s="359" t="s">
        <v>1684</v>
      </c>
      <c r="B9" s="60" t="s">
        <v>1685</v>
      </c>
      <c r="C9" s="3490" t="s">
        <v>3693</v>
      </c>
      <c r="D9" s="59">
        <v>100</v>
      </c>
      <c r="E9" s="361" t="s">
        <v>3385</v>
      </c>
      <c r="F9" s="60">
        <f>SUMIF(63:63,E9,64:64)-SUMIF(63:63,C9,64:64)+100</f>
        <v>100</v>
      </c>
      <c r="G9" s="361" t="s">
        <v>3385</v>
      </c>
      <c r="H9" s="59">
        <f>SUMIF(63:63,G9,64:64)-SUMIF(63:63,C9,64:64)+100</f>
        <v>100</v>
      </c>
      <c r="I9" s="361" t="s">
        <v>3385</v>
      </c>
      <c r="J9" s="59">
        <f>SUMIF(63:63,I9,64:64)-SUMIF(63:63,C9,64:64)+100</f>
        <v>100</v>
      </c>
      <c r="K9" s="1746"/>
      <c r="L9" s="2486"/>
      <c r="M9" s="2437"/>
      <c r="N9" s="2437"/>
      <c r="O9" s="2437"/>
      <c r="P9" s="3370"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0"/>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70"/>
      <c r="Q11" s="530" t="str">
        <f t="shared" si="6"/>
        <v>容积率</v>
      </c>
      <c r="R11" s="664" t="s">
        <v>18</v>
      </c>
      <c r="S11" s="665">
        <f t="shared" si="0"/>
        <v>100</v>
      </c>
      <c r="T11" s="664" t="s">
        <v>18</v>
      </c>
      <c r="U11" s="665">
        <f t="shared" si="1"/>
        <v>100</v>
      </c>
      <c r="V11" s="664" t="s">
        <v>18</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70"/>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70"/>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70"/>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36.75"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t="s">
        <v>3679</v>
      </c>
      <c r="D16" s="387"/>
      <c r="E16" s="386" t="s">
        <v>3679</v>
      </c>
      <c r="F16" s="387"/>
      <c r="G16" s="386" t="s">
        <v>3679</v>
      </c>
      <c r="H16" s="389"/>
      <c r="I16" s="386" t="s">
        <v>3679</v>
      </c>
      <c r="J16" s="387"/>
      <c r="K16" s="1752"/>
      <c r="L16" s="2490"/>
      <c r="M16" s="2485"/>
      <c r="N16" s="2485"/>
      <c r="O16" s="2485"/>
      <c r="P16" s="3397"/>
      <c r="Q16" s="1263"/>
      <c r="R16" s="667"/>
      <c r="S16" s="668"/>
      <c r="T16" s="667"/>
      <c r="U16" s="668"/>
      <c r="V16" s="667"/>
      <c r="W16" s="668"/>
      <c r="X16" s="1265"/>
      <c r="Y16" s="3390"/>
      <c r="Z16" s="1264"/>
      <c r="AA16" s="1264">
        <v>1</v>
      </c>
      <c r="AB16" s="1264">
        <v>1</v>
      </c>
      <c r="AC16" s="1264">
        <v>1</v>
      </c>
    </row>
    <row r="17" spans="1:29" ht="42.7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4" t="s">
        <v>3679</v>
      </c>
      <c r="D18" s="389"/>
      <c r="E18" s="386" t="s">
        <v>3679</v>
      </c>
      <c r="F18" s="389"/>
      <c r="G18" s="386" t="s">
        <v>3679</v>
      </c>
      <c r="H18" s="387"/>
      <c r="I18" s="386" t="s">
        <v>3679</v>
      </c>
      <c r="J18" s="387"/>
      <c r="K18" s="1752"/>
      <c r="L18" s="2490"/>
      <c r="M18" s="2485"/>
      <c r="N18" s="2485"/>
      <c r="O18" s="2485"/>
      <c r="P18" s="3397"/>
      <c r="Q18" s="1263"/>
      <c r="R18" s="667"/>
      <c r="S18" s="668"/>
      <c r="T18" s="667"/>
      <c r="U18" s="668"/>
      <c r="V18" s="667"/>
      <c r="W18" s="668"/>
      <c r="X18" s="1265"/>
      <c r="Y18" s="3390"/>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t="s">
        <v>3679</v>
      </c>
      <c r="D20" s="387"/>
      <c r="E20" s="386" t="s">
        <v>3679</v>
      </c>
      <c r="F20" s="387"/>
      <c r="G20" s="386" t="s">
        <v>3679</v>
      </c>
      <c r="H20" s="387"/>
      <c r="I20" s="386" t="s">
        <v>3679</v>
      </c>
      <c r="J20" s="387"/>
      <c r="K20" s="1752"/>
      <c r="L20" s="2490"/>
      <c r="M20" s="2485"/>
      <c r="N20" s="2485"/>
      <c r="O20" s="2485"/>
      <c r="P20" s="3397"/>
      <c r="Q20" s="1263"/>
      <c r="R20" s="667"/>
      <c r="S20" s="668"/>
      <c r="T20" s="667"/>
      <c r="U20" s="668"/>
      <c r="V20" s="667"/>
      <c r="W20" s="668"/>
      <c r="X20" s="1265"/>
      <c r="Y20" s="3390"/>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t="s">
        <v>3680</v>
      </c>
      <c r="D22" s="387"/>
      <c r="E22" s="1754" t="s">
        <v>3680</v>
      </c>
      <c r="F22" s="387"/>
      <c r="G22" s="1754" t="s">
        <v>3680</v>
      </c>
      <c r="H22" s="387"/>
      <c r="I22" s="1754" t="s">
        <v>3680</v>
      </c>
      <c r="J22" s="387"/>
      <c r="K22" s="1758"/>
      <c r="L22" s="2490"/>
      <c r="M22" s="2485"/>
      <c r="N22" s="2485"/>
      <c r="O22" s="2485"/>
      <c r="P22" s="3397"/>
      <c r="Q22" s="1263"/>
      <c r="R22" s="667"/>
      <c r="S22" s="668"/>
      <c r="T22" s="667"/>
      <c r="U22" s="668"/>
      <c r="V22" s="667"/>
      <c r="W22" s="668"/>
      <c r="X22" s="1265"/>
      <c r="Y22" s="3390"/>
      <c r="Z22" s="1264"/>
      <c r="AA22" s="1264">
        <v>1</v>
      </c>
      <c r="AB22" s="1264">
        <v>1</v>
      </c>
      <c r="AC22" s="1264">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t="s">
        <v>3679</v>
      </c>
      <c r="D24" s="387"/>
      <c r="E24" s="386" t="s">
        <v>3679</v>
      </c>
      <c r="F24" s="387"/>
      <c r="G24" s="386" t="s">
        <v>3679</v>
      </c>
      <c r="H24" s="387"/>
      <c r="I24" s="386" t="s">
        <v>3679</v>
      </c>
      <c r="J24" s="387"/>
      <c r="K24" s="1752"/>
      <c r="L24" s="2490"/>
      <c r="M24" s="2485"/>
      <c r="N24" s="2485"/>
      <c r="O24" s="2485"/>
      <c r="P24" s="3397"/>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7"/>
      <c r="N27" s="2437"/>
      <c r="O27" s="2437"/>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3" t="s">
        <v>3681</v>
      </c>
      <c r="D32" s="405">
        <v>100</v>
      </c>
      <c r="E32" s="1763" t="s">
        <v>3681</v>
      </c>
      <c r="F32" s="400">
        <f>SUMIF(100:100,E32,101:101)-SUMIF(100:100,C32,101:101)+100</f>
        <v>100</v>
      </c>
      <c r="G32" s="1763" t="s">
        <v>3681</v>
      </c>
      <c r="H32" s="405">
        <f>SUMIF(100:100,G32,101:101)-SUMIF(100:100,C32,101:101)+100</f>
        <v>100</v>
      </c>
      <c r="I32" s="1763" t="s">
        <v>3681</v>
      </c>
      <c r="J32" s="374">
        <f>SUMIF(100:100,I32,101:101)-SUMIF(100:100,C32,101:101)+100</f>
        <v>100</v>
      </c>
      <c r="K32" s="365"/>
      <c r="L32" s="2490"/>
      <c r="M32" s="2485"/>
      <c r="N32" s="2485"/>
      <c r="O32" s="2485"/>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9"/>
      <c r="M33" s="2491"/>
      <c r="N33" s="2491"/>
      <c r="O33" s="2491"/>
      <c r="P33" s="3392"/>
      <c r="Q33" s="531" t="str">
        <f t="shared" si="11"/>
        <v>项目建筑规模</v>
      </c>
      <c r="R33" s="669" t="s">
        <v>18</v>
      </c>
      <c r="S33" s="670">
        <f t="shared" si="12"/>
        <v>100</v>
      </c>
      <c r="T33" s="669" t="s">
        <v>18</v>
      </c>
      <c r="U33" s="670">
        <f t="shared" si="13"/>
        <v>100</v>
      </c>
      <c r="V33" s="669" t="s">
        <v>18</v>
      </c>
      <c r="W33" s="670">
        <f t="shared" si="14"/>
        <v>100</v>
      </c>
      <c r="X33" s="671"/>
      <c r="Y33" s="3394"/>
      <c r="Z33" s="672" t="str">
        <f t="shared" si="18"/>
        <v>项目建筑规模</v>
      </c>
      <c r="AA33" s="1264">
        <f t="shared" si="15"/>
        <v>1</v>
      </c>
      <c r="AB33" s="1264">
        <f t="shared" si="16"/>
        <v>1</v>
      </c>
      <c r="AC33" s="1264">
        <f t="shared" si="17"/>
        <v>1</v>
      </c>
    </row>
    <row r="34" spans="1:29" ht="15">
      <c r="A34" s="409"/>
      <c r="B34" s="364" t="s">
        <v>1698</v>
      </c>
      <c r="C34" s="399" t="s">
        <v>3683</v>
      </c>
      <c r="D34" s="374">
        <v>100</v>
      </c>
      <c r="E34" s="399" t="s">
        <v>3683</v>
      </c>
      <c r="F34" s="400">
        <f>SUMIF(105:105,E34,106:106)-SUMIF(105:105,C34,106:106)+100</f>
        <v>100</v>
      </c>
      <c r="G34" s="399" t="s">
        <v>3683</v>
      </c>
      <c r="H34" s="374">
        <f>SUMIF(105:105,G34,106:106)-SUMIF(105:105,C34,106:106)+100</f>
        <v>100</v>
      </c>
      <c r="I34" s="399" t="s">
        <v>3683</v>
      </c>
      <c r="J34" s="374">
        <f>SUMIF(105:105,I34,106:106)-SUMIF(105:105,C34,106:106)+100</f>
        <v>100</v>
      </c>
      <c r="K34" s="365"/>
      <c r="L34" s="2490"/>
      <c r="M34" s="2485"/>
      <c r="N34" s="2485"/>
      <c r="O34" s="2485"/>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90"/>
      <c r="M35" s="2485"/>
      <c r="N35" s="2485"/>
      <c r="O35" s="2485"/>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59" t="s">
        <v>3686</v>
      </c>
      <c r="D36" s="374">
        <v>100</v>
      </c>
      <c r="E36" s="1759" t="s">
        <v>3686</v>
      </c>
      <c r="F36" s="400">
        <f>SUMIF(109:109,E36,110:110)-SUMIF(109:109,C36,110:110)+100</f>
        <v>100</v>
      </c>
      <c r="G36" s="1759" t="s">
        <v>3686</v>
      </c>
      <c r="H36" s="374">
        <f>SUMIF(109:109,G36,110:110)-SUMIF(109:109,C36,110:110)+100</f>
        <v>100</v>
      </c>
      <c r="I36" s="1759" t="s">
        <v>3686</v>
      </c>
      <c r="J36" s="374">
        <f>SUMIF(109:109,I36,110:110)-SUMIF(109:109,C36,110:110)+100</f>
        <v>100</v>
      </c>
      <c r="K36" s="365"/>
      <c r="L36" s="2490"/>
      <c r="M36" s="2485"/>
      <c r="N36" s="2485"/>
      <c r="O36" s="2485"/>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392"/>
      <c r="Q37" s="530" t="str">
        <f t="shared" si="11"/>
        <v>成新度</v>
      </c>
      <c r="R37" s="664" t="s">
        <v>18</v>
      </c>
      <c r="S37" s="665">
        <f t="shared" si="12"/>
        <v>100</v>
      </c>
      <c r="T37" s="664" t="s">
        <v>18</v>
      </c>
      <c r="U37" s="665">
        <f t="shared" si="13"/>
        <v>100</v>
      </c>
      <c r="V37" s="664" t="s">
        <v>18</v>
      </c>
      <c r="W37" s="665">
        <f t="shared" si="14"/>
        <v>100</v>
      </c>
      <c r="X37" s="666"/>
      <c r="Y37" s="339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59" t="s">
        <v>3680</v>
      </c>
      <c r="D39" s="374">
        <v>100</v>
      </c>
      <c r="E39" s="1759" t="s">
        <v>3680</v>
      </c>
      <c r="F39" s="400">
        <f>SUMIF(116:116,E39,117:117)-SUMIF(116:116,C39,117:117)+100</f>
        <v>100</v>
      </c>
      <c r="G39" s="1759" t="s">
        <v>3680</v>
      </c>
      <c r="H39" s="374">
        <f>SUMIF(116:116,G39,117:117)-SUMIF(116:116,C39,117:117)+100</f>
        <v>100</v>
      </c>
      <c r="I39" s="1759" t="s">
        <v>3680</v>
      </c>
      <c r="J39" s="374">
        <f>SUMIF(116:116,I39,117:117)-SUMIF(116:116,C39,117:117)+100</f>
        <v>100</v>
      </c>
      <c r="K39" s="365"/>
      <c r="L39" s="2490"/>
      <c r="M39" s="2485"/>
      <c r="N39" s="2485"/>
      <c r="O39" s="2485"/>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59" t="s">
        <v>3686</v>
      </c>
      <c r="D42" s="374">
        <v>100</v>
      </c>
      <c r="E42" s="1759" t="s">
        <v>3686</v>
      </c>
      <c r="F42" s="400">
        <f>SUMIF(122:122,E42,123:123)-SUMIF(122:122,C42,123:123)+100</f>
        <v>100</v>
      </c>
      <c r="G42" s="1759" t="s">
        <v>3686</v>
      </c>
      <c r="H42" s="374">
        <f>SUMIF(122:122,G42,123:123)-SUMIF(122:122,C42,123:123)+100</f>
        <v>100</v>
      </c>
      <c r="I42" s="1759" t="s">
        <v>3686</v>
      </c>
      <c r="J42" s="374">
        <f>SUMIF(122:122,I42,123:123)-SUMIF(122:122,C42,123:123)+100</f>
        <v>100</v>
      </c>
      <c r="K42" s="365"/>
      <c r="L42" s="2490"/>
      <c r="M42" s="2485"/>
      <c r="N42" s="2485"/>
      <c r="O42" s="2485"/>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59" t="s">
        <v>3679</v>
      </c>
      <c r="D43" s="374">
        <v>100</v>
      </c>
      <c r="E43" s="1759" t="s">
        <v>3679</v>
      </c>
      <c r="F43" s="400">
        <f>SUMIF(124:124,E43,125:125)-SUMIF(124:124,C43,125:125)+100</f>
        <v>100</v>
      </c>
      <c r="G43" s="1759" t="s">
        <v>3679</v>
      </c>
      <c r="H43" s="374">
        <f>SUMIF(124:124,G43,125:125)-SUMIF(124:124,C43,125:125)+100</f>
        <v>100</v>
      </c>
      <c r="I43" s="1759" t="s">
        <v>3679</v>
      </c>
      <c r="J43" s="374">
        <f>SUMIF(124:124,I43,125:125)-SUMIF(124:124,C43,125:125)+100</f>
        <v>100</v>
      </c>
      <c r="K43" s="365"/>
      <c r="L43" s="2490"/>
      <c r="M43" s="2485"/>
      <c r="N43" s="2485"/>
      <c r="O43" s="2485"/>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f>富贵园案例!S2</f>
        <v>119.72</v>
      </c>
      <c r="F47" s="420"/>
      <c r="G47" s="421">
        <f>富贵园案例!S3</f>
        <v>111.49</v>
      </c>
      <c r="H47" s="422"/>
      <c r="I47" s="419">
        <f>富贵园案例!S4</f>
        <v>112.71</v>
      </c>
      <c r="J47" s="422"/>
      <c r="K47" s="1764"/>
      <c r="L47" s="2492"/>
      <c r="M47" s="2485"/>
      <c r="N47" s="2485"/>
      <c r="O47" s="2485"/>
      <c r="P47" s="3388" t="str">
        <f>A47</f>
        <v>成交单价（元/平方米）</v>
      </c>
      <c r="Q47" s="3388"/>
      <c r="R47" s="3383">
        <f>E47</f>
        <v>119.72</v>
      </c>
      <c r="S47" s="3383"/>
      <c r="T47" s="3383">
        <f>G47</f>
        <v>111.49</v>
      </c>
      <c r="U47" s="3383"/>
      <c r="V47" s="3383">
        <f>I47</f>
        <v>112.71</v>
      </c>
      <c r="W47" s="3383"/>
      <c r="X47" s="385"/>
      <c r="Y47" s="673"/>
      <c r="Z47" s="385"/>
      <c r="AA47" s="385"/>
      <c r="AB47" s="385"/>
      <c r="AC47" s="385"/>
    </row>
    <row r="48" spans="1:29" ht="15.75" thickBot="1">
      <c r="A48" s="423" t="s">
        <v>1709</v>
      </c>
      <c r="B48" s="424"/>
      <c r="C48" s="1082">
        <f>R49</f>
        <v>114.6</v>
      </c>
      <c r="D48" s="2138" t="s">
        <v>2138</v>
      </c>
      <c r="E48" s="1083">
        <f>R48</f>
        <v>119.7</v>
      </c>
      <c r="F48" s="2139"/>
      <c r="G48" s="1082">
        <f>T48</f>
        <v>111.5</v>
      </c>
      <c r="H48" s="2139"/>
      <c r="I48" s="1083">
        <f>V48</f>
        <v>112.7</v>
      </c>
      <c r="J48" s="2139"/>
      <c r="K48" s="2140">
        <f>F48+H48+J48</f>
        <v>0</v>
      </c>
      <c r="L48" s="2492"/>
      <c r="M48" s="2485"/>
      <c r="N48" s="2485"/>
      <c r="O48" s="2485"/>
      <c r="P48" s="3388" t="str">
        <f>A48</f>
        <v>比较价值（元/平方米）</v>
      </c>
      <c r="Q48" s="3388"/>
      <c r="R48" s="3383">
        <f>IF(F1="售价",ROUND(PRODUCT(R47,AA7:AA46),0),ROUND(PRODUCT(R47,AA7:AA46),1))</f>
        <v>119.7</v>
      </c>
      <c r="S48" s="3383"/>
      <c r="T48" s="3383">
        <f>IF(F1="售价",ROUND(PRODUCT(T47,AB7:AB46),0),ROUND(PRODUCT(T47,AB7:AB46),1))</f>
        <v>111.5</v>
      </c>
      <c r="U48" s="3383"/>
      <c r="V48" s="3383">
        <f>IF(F1="售价",ROUND(PRODUCT(V47,AC7:AC46),0),ROUND(PRODUCT(V47,AC7:AC46),1))</f>
        <v>112.7</v>
      </c>
      <c r="W48" s="3383"/>
      <c r="X48" s="385"/>
      <c r="Y48" s="385"/>
      <c r="Z48" s="385"/>
      <c r="AA48" s="385"/>
      <c r="AB48" s="385"/>
      <c r="AC48" s="385"/>
    </row>
    <row r="49" spans="1:29" ht="15.75" thickBot="1">
      <c r="A49" s="427" t="s">
        <v>1710</v>
      </c>
      <c r="B49" s="428"/>
      <c r="C49" s="1084">
        <f>R49</f>
        <v>114.6</v>
      </c>
      <c r="D49" s="351"/>
      <c r="E49" s="351"/>
      <c r="F49" s="351"/>
      <c r="G49" s="351"/>
      <c r="H49" s="351"/>
      <c r="I49" s="351"/>
      <c r="J49" s="351"/>
      <c r="K49" s="1765"/>
      <c r="L49" s="2492"/>
      <c r="M49" s="2485"/>
      <c r="N49" s="2485"/>
      <c r="O49" s="2485"/>
      <c r="P49" s="3385" t="str">
        <f>A49</f>
        <v>估价对象XX用房的比较价值（楼面单价，元/平方米）</v>
      </c>
      <c r="Q49" s="3386"/>
      <c r="R49" s="3387">
        <f>IF(F1="售价",ROUND(IF(D48="简单平均",AVERAGE(R48:V48),R48*F48+T48*H48+V48*J48),0),ROUND(IF(D48="简单平均",AVERAGE(R48:V48),R48*F48+T48*H48+V48*J48),1))</f>
        <v>114.6</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1.6708437761070449E-4</v>
      </c>
      <c r="F52" s="435" t="str">
        <f>IF(OR(E52&gt;=0.3,E52&lt;=-0.3),"超过30%","")</f>
        <v/>
      </c>
      <c r="G52" s="434">
        <f>IF(G47&lt;G48,G48/G47-1,G47/G48-1)</f>
        <v>8.9694142972440716E-5</v>
      </c>
      <c r="H52" s="435" t="str">
        <f>IF(OR(G52&gt;=0.3,G52&lt;=-0.3),"超过30%","")</f>
        <v/>
      </c>
      <c r="I52" s="434">
        <f>IF(I47&lt;I48,I48/I47-1,I47/I48-1)</f>
        <v>8.873114463159304E-5</v>
      </c>
      <c r="J52" s="435" t="str">
        <f>IF(OR(I52&gt;=0.3,I52&lt;=-0.3),"超过30%","")</f>
        <v/>
      </c>
      <c r="K52" s="2497"/>
      <c r="L52" s="2493"/>
      <c r="M52" s="2485"/>
      <c r="N52" s="2485"/>
      <c r="O52" s="2485"/>
    </row>
    <row r="53" spans="1:29" ht="13.5" customHeight="1">
      <c r="A53" s="2485"/>
      <c r="B53" s="2485"/>
      <c r="C53" s="432" t="s">
        <v>1712</v>
      </c>
      <c r="D53" s="436"/>
      <c r="E53" s="434">
        <f>IF(E48&lt;G48,G48/E48-1,E48/G48-1)</f>
        <v>7.3542600896860932E-2</v>
      </c>
      <c r="F53" s="435" t="str">
        <f>IF(OR(E53&gt;=0.2,E53&lt;=-0.2),"超过20%","")</f>
        <v/>
      </c>
      <c r="G53" s="434">
        <f>IF(G48&lt;I48,I48/G48-1,G48/I48-1)</f>
        <v>1.0762331838565009E-2</v>
      </c>
      <c r="H53" s="435" t="str">
        <f>IF(OR(G53&gt;=0.2,G53&lt;=-0.2),"超过20%","")</f>
        <v/>
      </c>
      <c r="I53" s="434">
        <f>IF(I48&lt;E48,E48/I48-1,I48/E48-1)</f>
        <v>6.211180124223592E-2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7.3818279666337805E-2</v>
      </c>
      <c r="F54" s="435" t="str">
        <f>IF(OR(E54&gt;=0.3,E54&lt;=-0.3),"超过30%","")</f>
        <v/>
      </c>
      <c r="G54" s="434">
        <f>IF(G47&lt;I47,I47/G47-1,G47/I47-1)</f>
        <v>1.0942685442640654E-2</v>
      </c>
      <c r="H54" s="435" t="str">
        <f>IF(OR(G54&gt;=0.3,G54&lt;=-0.3),"超过30%","")</f>
        <v/>
      </c>
      <c r="I54" s="434">
        <f>IF(I47&lt;E47,E47/I47-1,I47/E47-1)</f>
        <v>6.2195013752107231E-2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69"/>
      <c r="C59" s="1102">
        <v>100</v>
      </c>
      <c r="D59" s="445">
        <v>100</v>
      </c>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485"/>
      <c r="D88" s="485"/>
      <c r="E88" s="485"/>
      <c r="F88" s="1777"/>
      <c r="G88" s="485"/>
      <c r="H88" s="485"/>
      <c r="I88" s="485"/>
      <c r="J88" s="485"/>
      <c r="K88" s="485"/>
      <c r="L88" s="485"/>
      <c r="M88" s="511"/>
      <c r="N88" s="878"/>
      <c r="O88" s="878"/>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2"/>
      <c r="Q89" s="439"/>
    </row>
    <row r="90" spans="1:17" s="408" customFormat="1" ht="15.75" thickTop="1">
      <c r="A90" s="484"/>
      <c r="B90" s="469">
        <f>B27</f>
        <v>111</v>
      </c>
      <c r="C90" s="485"/>
      <c r="D90" s="485"/>
      <c r="E90" s="485"/>
      <c r="F90" s="485"/>
      <c r="G90" s="485"/>
      <c r="H90" s="486"/>
      <c r="I90" s="486"/>
      <c r="J90" s="486"/>
      <c r="K90" s="486"/>
      <c r="L90" s="487"/>
      <c r="M90" s="488"/>
      <c r="N90" s="881"/>
      <c r="O90" s="881"/>
      <c r="P90" s="1773"/>
      <c r="Q90" s="490"/>
    </row>
    <row r="91" spans="1:17" s="408" customFormat="1" ht="15.75" thickBot="1">
      <c r="A91" s="484"/>
      <c r="B91" s="474"/>
      <c r="C91" s="491"/>
      <c r="D91" s="491"/>
      <c r="E91" s="491"/>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488" t="s">
        <v>3682</v>
      </c>
      <c r="D100" s="462"/>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2"/>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v>
      </c>
      <c r="E103" s="6">
        <v>200</v>
      </c>
      <c r="F103" s="6">
        <v>300</v>
      </c>
      <c r="G103" s="6"/>
      <c r="H103" s="6"/>
      <c r="I103" s="6"/>
      <c r="J103" s="524"/>
      <c r="K103" s="524"/>
      <c r="L103" s="525"/>
      <c r="M103" s="526"/>
      <c r="N103" s="881"/>
      <c r="O103" s="881"/>
      <c r="P103" s="1773"/>
      <c r="Q103" s="490"/>
    </row>
    <row r="104" spans="1:17" s="408" customFormat="1" ht="15.75" thickBot="1">
      <c r="A104" s="484"/>
      <c r="B104" s="474"/>
      <c r="C104" s="491">
        <v>100</v>
      </c>
      <c r="D104" s="467">
        <v>98</v>
      </c>
      <c r="E104" s="467">
        <v>97</v>
      </c>
      <c r="F104" s="467">
        <v>96</v>
      </c>
      <c r="G104" s="467"/>
      <c r="H104" s="467"/>
      <c r="I104" s="467"/>
      <c r="J104" s="467"/>
      <c r="K104" s="467"/>
      <c r="L104" s="467"/>
      <c r="M104" s="467"/>
      <c r="N104" s="880"/>
      <c r="O104" s="880"/>
      <c r="P104" s="1773"/>
      <c r="Q104" s="490"/>
    </row>
    <row r="105" spans="1:17" ht="15" thickTop="1">
      <c r="A105" s="409"/>
      <c r="B105" s="469" t="s">
        <v>1738</v>
      </c>
      <c r="C105" s="3489" t="s">
        <v>3684</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2"/>
      <c r="Q108" s="439"/>
    </row>
    <row r="109" spans="1:17" ht="15" thickTop="1">
      <c r="A109" s="409"/>
      <c r="B109" s="469" t="s">
        <v>1740</v>
      </c>
      <c r="C109" s="3489" t="s">
        <v>3685</v>
      </c>
      <c r="D109" s="3489" t="s">
        <v>3687</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485"/>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2"/>
      <c r="Q115" s="439"/>
    </row>
    <row r="116" spans="1:17" ht="15" thickTop="1">
      <c r="A116" s="409"/>
      <c r="B116" s="469" t="s">
        <v>1742</v>
      </c>
      <c r="C116" s="485" t="s">
        <v>3680</v>
      </c>
      <c r="D116" s="485" t="s">
        <v>3688</v>
      </c>
      <c r="E116" s="485" t="s">
        <v>3689</v>
      </c>
      <c r="F116" s="485" t="s">
        <v>3690</v>
      </c>
      <c r="G116" s="485" t="s">
        <v>3691</v>
      </c>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489" t="s">
        <v>3685</v>
      </c>
      <c r="D122" s="3489" t="s">
        <v>3687</v>
      </c>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1A0D5-F7D4-4418-9240-AC6AEB454766}">
  <dimension ref="A1:KW120"/>
  <sheetViews>
    <sheetView topLeftCell="A93" workbookViewId="0">
      <selection activeCell="A44" sqref="A44:B120"/>
    </sheetView>
  </sheetViews>
  <sheetFormatPr defaultRowHeight="14.25"/>
  <cols>
    <col min="1" max="1908" width="20" style="3479" customWidth="1"/>
    <col min="1909" max="16384" width="9" style="3479"/>
  </cols>
  <sheetData>
    <row r="1" spans="1:305">
      <c r="A1" s="3477" t="s">
        <v>3392</v>
      </c>
      <c r="B1" s="3478">
        <v>45383.333831018521</v>
      </c>
      <c r="C1" s="3477"/>
      <c r="D1" s="3477"/>
      <c r="E1" s="3477"/>
      <c r="F1" s="3478">
        <v>45352.333831018521</v>
      </c>
      <c r="G1" s="3477"/>
      <c r="H1" s="3477"/>
      <c r="I1" s="3477"/>
      <c r="J1" s="3478">
        <v>45323.333831018521</v>
      </c>
      <c r="K1" s="3477"/>
      <c r="L1" s="3477"/>
      <c r="M1" s="3477"/>
      <c r="N1" s="3478">
        <v>45292.333831018521</v>
      </c>
      <c r="O1" s="3477"/>
      <c r="P1" s="3477"/>
      <c r="Q1" s="3477"/>
      <c r="R1" s="3478">
        <v>45261.333831018521</v>
      </c>
      <c r="S1" s="3477"/>
      <c r="T1" s="3477"/>
      <c r="U1" s="3477"/>
      <c r="V1" s="3478">
        <v>45231.333831018521</v>
      </c>
      <c r="W1" s="3477"/>
      <c r="X1" s="3477"/>
      <c r="Y1" s="3477"/>
      <c r="Z1" s="3478">
        <v>45200.333831018521</v>
      </c>
      <c r="AA1" s="3477"/>
      <c r="AB1" s="3477"/>
      <c r="AC1" s="3477"/>
      <c r="AD1" s="3478">
        <v>45170.333831018521</v>
      </c>
      <c r="AE1" s="3477"/>
      <c r="AF1" s="3477"/>
      <c r="AG1" s="3477"/>
      <c r="AH1" s="3478">
        <v>45139.333831018521</v>
      </c>
      <c r="AI1" s="3477"/>
      <c r="AJ1" s="3477"/>
      <c r="AK1" s="3477"/>
      <c r="AL1" s="3478">
        <v>45108.333831018521</v>
      </c>
      <c r="AM1" s="3477"/>
      <c r="AN1" s="3477"/>
      <c r="AO1" s="3477"/>
      <c r="AP1" s="3478">
        <v>45078.333831018521</v>
      </c>
      <c r="AQ1" s="3477"/>
      <c r="AR1" s="3477"/>
      <c r="AS1" s="3477"/>
      <c r="AT1" s="3478">
        <v>45047.333831018521</v>
      </c>
      <c r="AU1" s="3477"/>
      <c r="AV1" s="3477"/>
      <c r="AW1" s="3477"/>
      <c r="AX1" s="3478">
        <v>45017.333831018521</v>
      </c>
      <c r="AY1" s="3477"/>
      <c r="AZ1" s="3477"/>
      <c r="BA1" s="3477"/>
      <c r="BB1" s="3478">
        <v>44986.333831018521</v>
      </c>
      <c r="BC1" s="3477"/>
      <c r="BD1" s="3477"/>
      <c r="BE1" s="3477"/>
      <c r="BF1" s="3478">
        <v>44958.333831018521</v>
      </c>
      <c r="BG1" s="3477"/>
      <c r="BH1" s="3477"/>
      <c r="BI1" s="3477"/>
      <c r="BJ1" s="3478">
        <v>44927.333831018521</v>
      </c>
      <c r="BK1" s="3477"/>
      <c r="BL1" s="3477"/>
      <c r="BM1" s="3477"/>
      <c r="BN1" s="3478">
        <v>44896.333831018521</v>
      </c>
      <c r="BO1" s="3477"/>
      <c r="BP1" s="3477"/>
      <c r="BQ1" s="3477"/>
      <c r="BR1" s="3478">
        <v>44866.333831018521</v>
      </c>
      <c r="BS1" s="3477"/>
      <c r="BT1" s="3477"/>
      <c r="BU1" s="3477"/>
      <c r="BV1" s="3478">
        <v>44835.333831018521</v>
      </c>
      <c r="BW1" s="3477"/>
      <c r="BX1" s="3477"/>
      <c r="BY1" s="3477"/>
      <c r="BZ1" s="3478">
        <v>44805.333831018521</v>
      </c>
      <c r="CA1" s="3477"/>
      <c r="CB1" s="3477"/>
      <c r="CC1" s="3477"/>
      <c r="CD1" s="3478">
        <v>44774.333831018521</v>
      </c>
      <c r="CE1" s="3477"/>
      <c r="CF1" s="3477"/>
      <c r="CG1" s="3477"/>
      <c r="CH1" s="3478">
        <v>44743.333831018521</v>
      </c>
      <c r="CI1" s="3477"/>
      <c r="CJ1" s="3477"/>
      <c r="CK1" s="3477"/>
      <c r="CL1" s="3478">
        <v>44713.333831018521</v>
      </c>
      <c r="CM1" s="3477"/>
      <c r="CN1" s="3477"/>
      <c r="CO1" s="3477"/>
      <c r="CP1" s="3478">
        <v>44682.333831018521</v>
      </c>
      <c r="CQ1" s="3477"/>
      <c r="CR1" s="3477"/>
      <c r="CS1" s="3477"/>
      <c r="CT1" s="3478">
        <v>44652.333831018521</v>
      </c>
      <c r="CU1" s="3477"/>
      <c r="CV1" s="3477"/>
      <c r="CW1" s="3477"/>
      <c r="CX1" s="3478">
        <v>44621.333831018521</v>
      </c>
      <c r="CY1" s="3477"/>
      <c r="CZ1" s="3477"/>
      <c r="DA1" s="3477"/>
      <c r="DB1" s="3478">
        <v>44593.333831018521</v>
      </c>
      <c r="DC1" s="3477"/>
      <c r="DD1" s="3477"/>
      <c r="DE1" s="3477"/>
      <c r="DF1" s="3478">
        <v>44562.333831018521</v>
      </c>
      <c r="DG1" s="3477"/>
      <c r="DH1" s="3477"/>
      <c r="DI1" s="3477"/>
      <c r="DJ1" s="3478">
        <v>44531.333831018521</v>
      </c>
      <c r="DK1" s="3477"/>
      <c r="DL1" s="3477"/>
      <c r="DM1" s="3477"/>
      <c r="DN1" s="3478">
        <v>44501.333831018521</v>
      </c>
      <c r="DO1" s="3477"/>
      <c r="DP1" s="3477"/>
      <c r="DQ1" s="3477"/>
      <c r="DR1" s="3478">
        <v>44470.333831018521</v>
      </c>
      <c r="DS1" s="3477"/>
      <c r="DT1" s="3477"/>
      <c r="DU1" s="3477"/>
      <c r="DV1" s="3478">
        <v>44440.333831018521</v>
      </c>
      <c r="DW1" s="3477"/>
      <c r="DX1" s="3477"/>
      <c r="DY1" s="3477"/>
      <c r="DZ1" s="3478">
        <v>44409.333831018521</v>
      </c>
      <c r="EA1" s="3477"/>
      <c r="EB1" s="3477"/>
      <c r="EC1" s="3477"/>
      <c r="ED1" s="3478">
        <v>44378.333831018521</v>
      </c>
      <c r="EE1" s="3477"/>
      <c r="EF1" s="3477"/>
      <c r="EG1" s="3477"/>
      <c r="EH1" s="3478">
        <v>44348.333831018521</v>
      </c>
      <c r="EI1" s="3477"/>
      <c r="EJ1" s="3477"/>
      <c r="EK1" s="3477"/>
      <c r="EL1" s="3478">
        <v>44317.333831018521</v>
      </c>
      <c r="EM1" s="3477"/>
      <c r="EN1" s="3477"/>
      <c r="EO1" s="3477"/>
      <c r="EP1" s="3478">
        <v>44287.333831018521</v>
      </c>
      <c r="EQ1" s="3477"/>
      <c r="ER1" s="3477"/>
      <c r="ES1" s="3477"/>
      <c r="ET1" s="3478">
        <v>44256.333831018521</v>
      </c>
      <c r="EU1" s="3477"/>
      <c r="EV1" s="3477"/>
      <c r="EW1" s="3477"/>
      <c r="EX1" s="3478">
        <v>44228.333831018521</v>
      </c>
      <c r="EY1" s="3477"/>
      <c r="EZ1" s="3477"/>
      <c r="FA1" s="3477"/>
      <c r="FB1" s="3478">
        <v>44197.333831018521</v>
      </c>
      <c r="FC1" s="3477"/>
      <c r="FD1" s="3477"/>
      <c r="FE1" s="3477"/>
      <c r="FF1" s="3478">
        <v>44166.333831018521</v>
      </c>
      <c r="FG1" s="3477"/>
      <c r="FH1" s="3477"/>
      <c r="FI1" s="3477"/>
      <c r="FJ1" s="3478">
        <v>44136.333831018521</v>
      </c>
      <c r="FK1" s="3477"/>
      <c r="FL1" s="3477"/>
      <c r="FM1" s="3477"/>
      <c r="FN1" s="3478">
        <v>44105.333831018521</v>
      </c>
      <c r="FO1" s="3477"/>
      <c r="FP1" s="3477"/>
      <c r="FQ1" s="3477"/>
      <c r="FR1" s="3478">
        <v>44075.333831018521</v>
      </c>
      <c r="FS1" s="3477"/>
      <c r="FT1" s="3477"/>
      <c r="FU1" s="3477"/>
      <c r="FV1" s="3478">
        <v>44044.333831018521</v>
      </c>
      <c r="FW1" s="3477"/>
      <c r="FX1" s="3477"/>
      <c r="FY1" s="3477"/>
      <c r="FZ1" s="3478">
        <v>44013.333831018521</v>
      </c>
      <c r="GA1" s="3477"/>
      <c r="GB1" s="3477"/>
      <c r="GC1" s="3477"/>
      <c r="GD1" s="3478">
        <v>43983.333831018521</v>
      </c>
      <c r="GE1" s="3477"/>
      <c r="GF1" s="3477"/>
      <c r="GG1" s="3477"/>
      <c r="GH1" s="3478">
        <v>43952.333831018521</v>
      </c>
      <c r="GI1" s="3477"/>
      <c r="GJ1" s="3477"/>
      <c r="GK1" s="3477"/>
      <c r="GL1" s="3478">
        <v>43922.333831018521</v>
      </c>
      <c r="GM1" s="3477"/>
      <c r="GN1" s="3477"/>
      <c r="GO1" s="3477"/>
      <c r="GP1" s="3478">
        <v>43891.333831018521</v>
      </c>
      <c r="GQ1" s="3477"/>
      <c r="GR1" s="3477"/>
      <c r="GS1" s="3477"/>
      <c r="GT1" s="3478">
        <v>43862.333831018521</v>
      </c>
      <c r="GU1" s="3477"/>
      <c r="GV1" s="3477"/>
      <c r="GW1" s="3477"/>
      <c r="GX1" s="3478">
        <v>43831.333831018521</v>
      </c>
      <c r="GY1" s="3477"/>
      <c r="GZ1" s="3477"/>
      <c r="HA1" s="3477"/>
      <c r="HB1" s="3478">
        <v>43800.333831018521</v>
      </c>
      <c r="HC1" s="3477"/>
      <c r="HD1" s="3477"/>
      <c r="HE1" s="3477"/>
      <c r="HF1" s="3478">
        <v>43770.333831018521</v>
      </c>
      <c r="HG1" s="3477"/>
      <c r="HH1" s="3477"/>
      <c r="HI1" s="3477"/>
      <c r="HJ1" s="3478">
        <v>43739.333831018521</v>
      </c>
      <c r="HK1" s="3477"/>
      <c r="HL1" s="3477"/>
      <c r="HM1" s="3477"/>
      <c r="HN1" s="3478">
        <v>43709.333831018521</v>
      </c>
      <c r="HO1" s="3477"/>
      <c r="HP1" s="3477"/>
      <c r="HQ1" s="3477"/>
      <c r="HR1" s="3478">
        <v>43678.333831018521</v>
      </c>
      <c r="HS1" s="3477"/>
      <c r="HT1" s="3477"/>
      <c r="HU1" s="3477"/>
      <c r="HV1" s="3478">
        <v>43647.333831018521</v>
      </c>
      <c r="HW1" s="3477"/>
      <c r="HX1" s="3477"/>
      <c r="HY1" s="3477"/>
      <c r="HZ1" s="3478">
        <v>43617.333831018521</v>
      </c>
      <c r="IA1" s="3477"/>
      <c r="IB1" s="3477"/>
      <c r="IC1" s="3477"/>
      <c r="ID1" s="3478">
        <v>43586.333831018521</v>
      </c>
      <c r="IE1" s="3477"/>
      <c r="IF1" s="3477"/>
      <c r="IG1" s="3477"/>
      <c r="IH1" s="3478">
        <v>43556.333831018521</v>
      </c>
      <c r="II1" s="3477"/>
      <c r="IJ1" s="3477"/>
      <c r="IK1" s="3477"/>
      <c r="IL1" s="3478">
        <v>43525.333831018521</v>
      </c>
      <c r="IM1" s="3477"/>
      <c r="IN1" s="3477"/>
      <c r="IO1" s="3477"/>
      <c r="IP1" s="3478">
        <v>43497.333831018521</v>
      </c>
      <c r="IQ1" s="3477"/>
      <c r="IR1" s="3477"/>
      <c r="IS1" s="3477"/>
      <c r="IT1" s="3478">
        <v>43466.333831018521</v>
      </c>
      <c r="IU1" s="3477"/>
      <c r="IV1" s="3477"/>
      <c r="IW1" s="3477"/>
      <c r="IX1" s="3478">
        <v>43435.333831018521</v>
      </c>
      <c r="IY1" s="3477"/>
      <c r="IZ1" s="3477"/>
      <c r="JA1" s="3477"/>
      <c r="JB1" s="3478">
        <v>43405.333831018521</v>
      </c>
      <c r="JC1" s="3477"/>
      <c r="JD1" s="3477"/>
      <c r="JE1" s="3477"/>
      <c r="JF1" s="3478">
        <v>43374.333831018521</v>
      </c>
      <c r="JG1" s="3477"/>
      <c r="JH1" s="3477"/>
      <c r="JI1" s="3477"/>
      <c r="JJ1" s="3478">
        <v>43344.333831018521</v>
      </c>
      <c r="JK1" s="3477"/>
      <c r="JL1" s="3477"/>
      <c r="JM1" s="3477"/>
      <c r="JN1" s="3478">
        <v>43313.333831018521</v>
      </c>
      <c r="JO1" s="3477"/>
      <c r="JP1" s="3477"/>
      <c r="JQ1" s="3477"/>
      <c r="JR1" s="3478">
        <v>43282.333831018521</v>
      </c>
      <c r="JS1" s="3477"/>
      <c r="JT1" s="3477"/>
      <c r="JU1" s="3477"/>
      <c r="JV1" s="3478">
        <v>43252.333831018521</v>
      </c>
      <c r="JW1" s="3477"/>
      <c r="JX1" s="3477"/>
      <c r="JY1" s="3477"/>
      <c r="JZ1" s="3478">
        <v>43221.333831018521</v>
      </c>
      <c r="KA1" s="3477"/>
      <c r="KB1" s="3477"/>
      <c r="KC1" s="3477"/>
      <c r="KD1" s="3478">
        <v>43191.333831018521</v>
      </c>
      <c r="KE1" s="3477"/>
      <c r="KF1" s="3477"/>
      <c r="KG1" s="3477"/>
      <c r="KH1" s="3478">
        <v>43160.333831018521</v>
      </c>
      <c r="KI1" s="3477"/>
      <c r="KJ1" s="3477"/>
      <c r="KK1" s="3477"/>
      <c r="KL1" s="3478">
        <v>43132.333831018521</v>
      </c>
      <c r="KM1" s="3477"/>
      <c r="KN1" s="3477"/>
      <c r="KO1" s="3477"/>
      <c r="KP1" s="3478">
        <v>43101.333831018521</v>
      </c>
      <c r="KQ1" s="3477"/>
      <c r="KR1" s="3477"/>
      <c r="KS1" s="3477"/>
    </row>
    <row r="2" spans="1:305">
      <c r="A2" s="3477"/>
      <c r="B2" s="3479" t="s">
        <v>3393</v>
      </c>
      <c r="C2" s="3479" t="s">
        <v>3394</v>
      </c>
      <c r="D2" s="3479" t="s">
        <v>3395</v>
      </c>
      <c r="E2" s="3479" t="s">
        <v>3396</v>
      </c>
      <c r="F2" s="3479" t="s">
        <v>3393</v>
      </c>
      <c r="G2" s="3479" t="s">
        <v>3394</v>
      </c>
      <c r="H2" s="3479" t="s">
        <v>3395</v>
      </c>
      <c r="I2" s="3479" t="s">
        <v>3396</v>
      </c>
      <c r="J2" s="3479" t="s">
        <v>3393</v>
      </c>
      <c r="K2" s="3479" t="s">
        <v>3394</v>
      </c>
      <c r="L2" s="3479" t="s">
        <v>3395</v>
      </c>
      <c r="M2" s="3479" t="s">
        <v>3396</v>
      </c>
      <c r="N2" s="3479" t="s">
        <v>3393</v>
      </c>
      <c r="O2" s="3479" t="s">
        <v>3394</v>
      </c>
      <c r="P2" s="3479" t="s">
        <v>3395</v>
      </c>
      <c r="Q2" s="3479" t="s">
        <v>3396</v>
      </c>
      <c r="R2" s="3479" t="s">
        <v>3393</v>
      </c>
      <c r="S2" s="3479" t="s">
        <v>3394</v>
      </c>
      <c r="T2" s="3479" t="s">
        <v>3395</v>
      </c>
      <c r="U2" s="3479" t="s">
        <v>3396</v>
      </c>
      <c r="V2" s="3479" t="s">
        <v>3393</v>
      </c>
      <c r="W2" s="3479" t="s">
        <v>3394</v>
      </c>
      <c r="X2" s="3479" t="s">
        <v>3395</v>
      </c>
      <c r="Y2" s="3479" t="s">
        <v>3396</v>
      </c>
      <c r="Z2" s="3479" t="s">
        <v>3393</v>
      </c>
      <c r="AA2" s="3479" t="s">
        <v>3394</v>
      </c>
      <c r="AB2" s="3479" t="s">
        <v>3395</v>
      </c>
      <c r="AC2" s="3479" t="s">
        <v>3396</v>
      </c>
      <c r="AD2" s="3479" t="s">
        <v>3393</v>
      </c>
      <c r="AE2" s="3479" t="s">
        <v>3394</v>
      </c>
      <c r="AF2" s="3479" t="s">
        <v>3395</v>
      </c>
      <c r="AG2" s="3479" t="s">
        <v>3396</v>
      </c>
      <c r="AH2" s="3479" t="s">
        <v>3393</v>
      </c>
      <c r="AI2" s="3479" t="s">
        <v>3394</v>
      </c>
      <c r="AJ2" s="3479" t="s">
        <v>3395</v>
      </c>
      <c r="AK2" s="3479" t="s">
        <v>3396</v>
      </c>
      <c r="AL2" s="3479" t="s">
        <v>3393</v>
      </c>
      <c r="AM2" s="3479" t="s">
        <v>3394</v>
      </c>
      <c r="AN2" s="3479" t="s">
        <v>3395</v>
      </c>
      <c r="AO2" s="3479" t="s">
        <v>3396</v>
      </c>
      <c r="AP2" s="3479" t="s">
        <v>3393</v>
      </c>
      <c r="AQ2" s="3479" t="s">
        <v>3394</v>
      </c>
      <c r="AR2" s="3479" t="s">
        <v>3395</v>
      </c>
      <c r="AS2" s="3479" t="s">
        <v>3396</v>
      </c>
      <c r="AT2" s="3479" t="s">
        <v>3393</v>
      </c>
      <c r="AU2" s="3479" t="s">
        <v>3394</v>
      </c>
      <c r="AV2" s="3479" t="s">
        <v>3395</v>
      </c>
      <c r="AW2" s="3479" t="s">
        <v>3396</v>
      </c>
      <c r="AX2" s="3479" t="s">
        <v>3393</v>
      </c>
      <c r="AY2" s="3479" t="s">
        <v>3394</v>
      </c>
      <c r="AZ2" s="3479" t="s">
        <v>3395</v>
      </c>
      <c r="BA2" s="3479" t="s">
        <v>3396</v>
      </c>
      <c r="BB2" s="3479" t="s">
        <v>3393</v>
      </c>
      <c r="BC2" s="3479" t="s">
        <v>3394</v>
      </c>
      <c r="BD2" s="3479" t="s">
        <v>3395</v>
      </c>
      <c r="BE2" s="3479" t="s">
        <v>3396</v>
      </c>
      <c r="BF2" s="3479" t="s">
        <v>3393</v>
      </c>
      <c r="BG2" s="3479" t="s">
        <v>3394</v>
      </c>
      <c r="BH2" s="3479" t="s">
        <v>3395</v>
      </c>
      <c r="BI2" s="3479" t="s">
        <v>3396</v>
      </c>
      <c r="BJ2" s="3479" t="s">
        <v>3393</v>
      </c>
      <c r="BK2" s="3479" t="s">
        <v>3394</v>
      </c>
      <c r="BL2" s="3479" t="s">
        <v>3395</v>
      </c>
      <c r="BM2" s="3479" t="s">
        <v>3396</v>
      </c>
      <c r="BN2" s="3479" t="s">
        <v>3393</v>
      </c>
      <c r="BO2" s="3479" t="s">
        <v>3394</v>
      </c>
      <c r="BP2" s="3479" t="s">
        <v>3395</v>
      </c>
      <c r="BQ2" s="3479" t="s">
        <v>3396</v>
      </c>
      <c r="BR2" s="3479" t="s">
        <v>3393</v>
      </c>
      <c r="BS2" s="3479" t="s">
        <v>3394</v>
      </c>
      <c r="BT2" s="3479" t="s">
        <v>3395</v>
      </c>
      <c r="BU2" s="3479" t="s">
        <v>3396</v>
      </c>
      <c r="BV2" s="3479" t="s">
        <v>3393</v>
      </c>
      <c r="BW2" s="3479" t="s">
        <v>3394</v>
      </c>
      <c r="BX2" s="3479" t="s">
        <v>3395</v>
      </c>
      <c r="BY2" s="3479" t="s">
        <v>3396</v>
      </c>
      <c r="BZ2" s="3479" t="s">
        <v>3393</v>
      </c>
      <c r="CA2" s="3479" t="s">
        <v>3394</v>
      </c>
      <c r="CB2" s="3479" t="s">
        <v>3395</v>
      </c>
      <c r="CC2" s="3479" t="s">
        <v>3396</v>
      </c>
      <c r="CD2" s="3479" t="s">
        <v>3393</v>
      </c>
      <c r="CE2" s="3479" t="s">
        <v>3394</v>
      </c>
      <c r="CF2" s="3479" t="s">
        <v>3395</v>
      </c>
      <c r="CG2" s="3479" t="s">
        <v>3396</v>
      </c>
      <c r="CH2" s="3479" t="s">
        <v>3393</v>
      </c>
      <c r="CI2" s="3479" t="s">
        <v>3394</v>
      </c>
      <c r="CJ2" s="3479" t="s">
        <v>3395</v>
      </c>
      <c r="CK2" s="3479" t="s">
        <v>3396</v>
      </c>
      <c r="CL2" s="3479" t="s">
        <v>3393</v>
      </c>
      <c r="CM2" s="3479" t="s">
        <v>3394</v>
      </c>
      <c r="CN2" s="3479" t="s">
        <v>3395</v>
      </c>
      <c r="CO2" s="3479" t="s">
        <v>3396</v>
      </c>
      <c r="CP2" s="3479" t="s">
        <v>3393</v>
      </c>
      <c r="CQ2" s="3479" t="s">
        <v>3394</v>
      </c>
      <c r="CR2" s="3479" t="s">
        <v>3395</v>
      </c>
      <c r="CS2" s="3479" t="s">
        <v>3396</v>
      </c>
      <c r="CT2" s="3479" t="s">
        <v>3393</v>
      </c>
      <c r="CU2" s="3479" t="s">
        <v>3394</v>
      </c>
      <c r="CV2" s="3479" t="s">
        <v>3395</v>
      </c>
      <c r="CW2" s="3479" t="s">
        <v>3396</v>
      </c>
      <c r="CX2" s="3479" t="s">
        <v>3393</v>
      </c>
      <c r="CY2" s="3479" t="s">
        <v>3394</v>
      </c>
      <c r="CZ2" s="3479" t="s">
        <v>3395</v>
      </c>
      <c r="DA2" s="3479" t="s">
        <v>3396</v>
      </c>
      <c r="DB2" s="3479" t="s">
        <v>3393</v>
      </c>
      <c r="DC2" s="3479" t="s">
        <v>3394</v>
      </c>
      <c r="DD2" s="3479" t="s">
        <v>3395</v>
      </c>
      <c r="DE2" s="3479" t="s">
        <v>3396</v>
      </c>
      <c r="DF2" s="3479" t="s">
        <v>3393</v>
      </c>
      <c r="DG2" s="3479" t="s">
        <v>3394</v>
      </c>
      <c r="DH2" s="3479" t="s">
        <v>3395</v>
      </c>
      <c r="DI2" s="3479" t="s">
        <v>3396</v>
      </c>
      <c r="DJ2" s="3479" t="s">
        <v>3393</v>
      </c>
      <c r="DK2" s="3479" t="s">
        <v>3394</v>
      </c>
      <c r="DL2" s="3479" t="s">
        <v>3395</v>
      </c>
      <c r="DM2" s="3479" t="s">
        <v>3396</v>
      </c>
      <c r="DN2" s="3479" t="s">
        <v>3393</v>
      </c>
      <c r="DO2" s="3479" t="s">
        <v>3394</v>
      </c>
      <c r="DP2" s="3479" t="s">
        <v>3395</v>
      </c>
      <c r="DQ2" s="3479" t="s">
        <v>3396</v>
      </c>
      <c r="DR2" s="3479" t="s">
        <v>3393</v>
      </c>
      <c r="DS2" s="3479" t="s">
        <v>3394</v>
      </c>
      <c r="DT2" s="3479" t="s">
        <v>3395</v>
      </c>
      <c r="DU2" s="3479" t="s">
        <v>3396</v>
      </c>
      <c r="DV2" s="3479" t="s">
        <v>3393</v>
      </c>
      <c r="DW2" s="3479" t="s">
        <v>3394</v>
      </c>
      <c r="DX2" s="3479" t="s">
        <v>3395</v>
      </c>
      <c r="DY2" s="3479" t="s">
        <v>3396</v>
      </c>
      <c r="DZ2" s="3479" t="s">
        <v>3393</v>
      </c>
      <c r="EA2" s="3479" t="s">
        <v>3394</v>
      </c>
      <c r="EB2" s="3479" t="s">
        <v>3395</v>
      </c>
      <c r="EC2" s="3479" t="s">
        <v>3396</v>
      </c>
      <c r="ED2" s="3479" t="s">
        <v>3393</v>
      </c>
      <c r="EE2" s="3479" t="s">
        <v>3394</v>
      </c>
      <c r="EF2" s="3479" t="s">
        <v>3395</v>
      </c>
      <c r="EG2" s="3479" t="s">
        <v>3396</v>
      </c>
      <c r="EH2" s="3479" t="s">
        <v>3393</v>
      </c>
      <c r="EI2" s="3479" t="s">
        <v>3394</v>
      </c>
      <c r="EJ2" s="3479" t="s">
        <v>3395</v>
      </c>
      <c r="EK2" s="3479" t="s">
        <v>3396</v>
      </c>
      <c r="EL2" s="3479" t="s">
        <v>3393</v>
      </c>
      <c r="EM2" s="3479" t="s">
        <v>3394</v>
      </c>
      <c r="EN2" s="3479" t="s">
        <v>3395</v>
      </c>
      <c r="EO2" s="3479" t="s">
        <v>3396</v>
      </c>
      <c r="EP2" s="3479" t="s">
        <v>3393</v>
      </c>
      <c r="EQ2" s="3479" t="s">
        <v>3394</v>
      </c>
      <c r="ER2" s="3479" t="s">
        <v>3395</v>
      </c>
      <c r="ES2" s="3479" t="s">
        <v>3396</v>
      </c>
      <c r="ET2" s="3479" t="s">
        <v>3393</v>
      </c>
      <c r="EU2" s="3479" t="s">
        <v>3394</v>
      </c>
      <c r="EV2" s="3479" t="s">
        <v>3395</v>
      </c>
      <c r="EW2" s="3479" t="s">
        <v>3396</v>
      </c>
      <c r="EX2" s="3479" t="s">
        <v>3393</v>
      </c>
      <c r="EY2" s="3479" t="s">
        <v>3394</v>
      </c>
      <c r="EZ2" s="3479" t="s">
        <v>3395</v>
      </c>
      <c r="FA2" s="3479" t="s">
        <v>3396</v>
      </c>
      <c r="FB2" s="3479" t="s">
        <v>3393</v>
      </c>
      <c r="FC2" s="3479" t="s">
        <v>3394</v>
      </c>
      <c r="FD2" s="3479" t="s">
        <v>3395</v>
      </c>
      <c r="FE2" s="3479" t="s">
        <v>3396</v>
      </c>
      <c r="FF2" s="3479" t="s">
        <v>3393</v>
      </c>
      <c r="FG2" s="3479" t="s">
        <v>3394</v>
      </c>
      <c r="FH2" s="3479" t="s">
        <v>3395</v>
      </c>
      <c r="FI2" s="3479" t="s">
        <v>3396</v>
      </c>
      <c r="FJ2" s="3479" t="s">
        <v>3393</v>
      </c>
      <c r="FK2" s="3479" t="s">
        <v>3394</v>
      </c>
      <c r="FL2" s="3479" t="s">
        <v>3395</v>
      </c>
      <c r="FM2" s="3479" t="s">
        <v>3396</v>
      </c>
      <c r="FN2" s="3479" t="s">
        <v>3393</v>
      </c>
      <c r="FO2" s="3479" t="s">
        <v>3394</v>
      </c>
      <c r="FP2" s="3479" t="s">
        <v>3395</v>
      </c>
      <c r="FQ2" s="3479" t="s">
        <v>3396</v>
      </c>
      <c r="FR2" s="3479" t="s">
        <v>3393</v>
      </c>
      <c r="FS2" s="3479" t="s">
        <v>3394</v>
      </c>
      <c r="FT2" s="3479" t="s">
        <v>3395</v>
      </c>
      <c r="FU2" s="3479" t="s">
        <v>3396</v>
      </c>
      <c r="FV2" s="3479" t="s">
        <v>3393</v>
      </c>
      <c r="FW2" s="3479" t="s">
        <v>3394</v>
      </c>
      <c r="FX2" s="3479" t="s">
        <v>3395</v>
      </c>
      <c r="FY2" s="3479" t="s">
        <v>3396</v>
      </c>
      <c r="FZ2" s="3479" t="s">
        <v>3393</v>
      </c>
      <c r="GA2" s="3479" t="s">
        <v>3394</v>
      </c>
      <c r="GB2" s="3479" t="s">
        <v>3395</v>
      </c>
      <c r="GC2" s="3479" t="s">
        <v>3396</v>
      </c>
      <c r="GD2" s="3479" t="s">
        <v>3393</v>
      </c>
      <c r="GE2" s="3479" t="s">
        <v>3394</v>
      </c>
      <c r="GF2" s="3479" t="s">
        <v>3395</v>
      </c>
      <c r="GG2" s="3479" t="s">
        <v>3396</v>
      </c>
      <c r="GH2" s="3479" t="s">
        <v>3393</v>
      </c>
      <c r="GI2" s="3479" t="s">
        <v>3394</v>
      </c>
      <c r="GJ2" s="3479" t="s">
        <v>3395</v>
      </c>
      <c r="GK2" s="3479" t="s">
        <v>3396</v>
      </c>
      <c r="GL2" s="3479" t="s">
        <v>3393</v>
      </c>
      <c r="GM2" s="3479" t="s">
        <v>3394</v>
      </c>
      <c r="GN2" s="3479" t="s">
        <v>3395</v>
      </c>
      <c r="GO2" s="3479" t="s">
        <v>3396</v>
      </c>
      <c r="GP2" s="3479" t="s">
        <v>3393</v>
      </c>
      <c r="GQ2" s="3479" t="s">
        <v>3394</v>
      </c>
      <c r="GR2" s="3479" t="s">
        <v>3395</v>
      </c>
      <c r="GS2" s="3479" t="s">
        <v>3396</v>
      </c>
      <c r="GT2" s="3479" t="s">
        <v>3393</v>
      </c>
      <c r="GU2" s="3479" t="s">
        <v>3394</v>
      </c>
      <c r="GV2" s="3479" t="s">
        <v>3395</v>
      </c>
      <c r="GW2" s="3479" t="s">
        <v>3396</v>
      </c>
      <c r="GX2" s="3479" t="s">
        <v>3393</v>
      </c>
      <c r="GY2" s="3479" t="s">
        <v>3394</v>
      </c>
      <c r="GZ2" s="3479" t="s">
        <v>3395</v>
      </c>
      <c r="HA2" s="3479" t="s">
        <v>3396</v>
      </c>
      <c r="HB2" s="3479" t="s">
        <v>3393</v>
      </c>
      <c r="HC2" s="3479" t="s">
        <v>3394</v>
      </c>
      <c r="HD2" s="3479" t="s">
        <v>3395</v>
      </c>
      <c r="HE2" s="3479" t="s">
        <v>3396</v>
      </c>
      <c r="HF2" s="3479" t="s">
        <v>3393</v>
      </c>
      <c r="HG2" s="3479" t="s">
        <v>3394</v>
      </c>
      <c r="HH2" s="3479" t="s">
        <v>3395</v>
      </c>
      <c r="HI2" s="3479" t="s">
        <v>3396</v>
      </c>
      <c r="HJ2" s="3479" t="s">
        <v>3393</v>
      </c>
      <c r="HK2" s="3479" t="s">
        <v>3394</v>
      </c>
      <c r="HL2" s="3479" t="s">
        <v>3395</v>
      </c>
      <c r="HM2" s="3479" t="s">
        <v>3396</v>
      </c>
      <c r="HN2" s="3479" t="s">
        <v>3393</v>
      </c>
      <c r="HO2" s="3479" t="s">
        <v>3394</v>
      </c>
      <c r="HP2" s="3479" t="s">
        <v>3395</v>
      </c>
      <c r="HQ2" s="3479" t="s">
        <v>3396</v>
      </c>
      <c r="HR2" s="3479" t="s">
        <v>3393</v>
      </c>
      <c r="HS2" s="3479" t="s">
        <v>3394</v>
      </c>
      <c r="HT2" s="3479" t="s">
        <v>3395</v>
      </c>
      <c r="HU2" s="3479" t="s">
        <v>3396</v>
      </c>
      <c r="HV2" s="3479" t="s">
        <v>3393</v>
      </c>
      <c r="HW2" s="3479" t="s">
        <v>3394</v>
      </c>
      <c r="HX2" s="3479" t="s">
        <v>3395</v>
      </c>
      <c r="HY2" s="3479" t="s">
        <v>3396</v>
      </c>
      <c r="HZ2" s="3479" t="s">
        <v>3393</v>
      </c>
      <c r="IA2" s="3479" t="s">
        <v>3394</v>
      </c>
      <c r="IB2" s="3479" t="s">
        <v>3395</v>
      </c>
      <c r="IC2" s="3479" t="s">
        <v>3396</v>
      </c>
      <c r="ID2" s="3479" t="s">
        <v>3393</v>
      </c>
      <c r="IE2" s="3479" t="s">
        <v>3394</v>
      </c>
      <c r="IF2" s="3479" t="s">
        <v>3395</v>
      </c>
      <c r="IG2" s="3479" t="s">
        <v>3396</v>
      </c>
      <c r="IH2" s="3479" t="s">
        <v>3393</v>
      </c>
      <c r="II2" s="3479" t="s">
        <v>3394</v>
      </c>
      <c r="IJ2" s="3479" t="s">
        <v>3395</v>
      </c>
      <c r="IK2" s="3479" t="s">
        <v>3396</v>
      </c>
      <c r="IL2" s="3479" t="s">
        <v>3393</v>
      </c>
      <c r="IM2" s="3479" t="s">
        <v>3394</v>
      </c>
      <c r="IN2" s="3479" t="s">
        <v>3395</v>
      </c>
      <c r="IO2" s="3479" t="s">
        <v>3396</v>
      </c>
      <c r="IP2" s="3479" t="s">
        <v>3393</v>
      </c>
      <c r="IQ2" s="3479" t="s">
        <v>3394</v>
      </c>
      <c r="IR2" s="3479" t="s">
        <v>3395</v>
      </c>
      <c r="IS2" s="3479" t="s">
        <v>3396</v>
      </c>
      <c r="IT2" s="3479" t="s">
        <v>3393</v>
      </c>
      <c r="IU2" s="3479" t="s">
        <v>3394</v>
      </c>
      <c r="IV2" s="3479" t="s">
        <v>3395</v>
      </c>
      <c r="IW2" s="3479" t="s">
        <v>3396</v>
      </c>
      <c r="IX2" s="3479" t="s">
        <v>3393</v>
      </c>
      <c r="IY2" s="3479" t="s">
        <v>3394</v>
      </c>
      <c r="IZ2" s="3479" t="s">
        <v>3395</v>
      </c>
      <c r="JA2" s="3479" t="s">
        <v>3396</v>
      </c>
      <c r="JB2" s="3479" t="s">
        <v>3393</v>
      </c>
      <c r="JC2" s="3479" t="s">
        <v>3394</v>
      </c>
      <c r="JD2" s="3479" t="s">
        <v>3395</v>
      </c>
      <c r="JE2" s="3479" t="s">
        <v>3396</v>
      </c>
      <c r="JF2" s="3479" t="s">
        <v>3393</v>
      </c>
      <c r="JG2" s="3479" t="s">
        <v>3394</v>
      </c>
      <c r="JH2" s="3479" t="s">
        <v>3395</v>
      </c>
      <c r="JI2" s="3479" t="s">
        <v>3396</v>
      </c>
      <c r="JJ2" s="3479" t="s">
        <v>3393</v>
      </c>
      <c r="JK2" s="3479" t="s">
        <v>3394</v>
      </c>
      <c r="JL2" s="3479" t="s">
        <v>3395</v>
      </c>
      <c r="JM2" s="3479" t="s">
        <v>3396</v>
      </c>
      <c r="JN2" s="3479" t="s">
        <v>3393</v>
      </c>
      <c r="JO2" s="3479" t="s">
        <v>3394</v>
      </c>
      <c r="JP2" s="3479" t="s">
        <v>3395</v>
      </c>
      <c r="JQ2" s="3479" t="s">
        <v>3396</v>
      </c>
      <c r="JR2" s="3479" t="s">
        <v>3393</v>
      </c>
      <c r="JS2" s="3479" t="s">
        <v>3394</v>
      </c>
      <c r="JT2" s="3479" t="s">
        <v>3395</v>
      </c>
      <c r="JU2" s="3479" t="s">
        <v>3396</v>
      </c>
      <c r="JV2" s="3479" t="s">
        <v>3393</v>
      </c>
      <c r="JW2" s="3479" t="s">
        <v>3394</v>
      </c>
      <c r="JX2" s="3479" t="s">
        <v>3395</v>
      </c>
      <c r="JY2" s="3479" t="s">
        <v>3396</v>
      </c>
      <c r="JZ2" s="3479" t="s">
        <v>3393</v>
      </c>
      <c r="KA2" s="3479" t="s">
        <v>3394</v>
      </c>
      <c r="KB2" s="3479" t="s">
        <v>3395</v>
      </c>
      <c r="KC2" s="3479" t="s">
        <v>3396</v>
      </c>
      <c r="KD2" s="3479" t="s">
        <v>3393</v>
      </c>
      <c r="KE2" s="3479" t="s">
        <v>3394</v>
      </c>
      <c r="KF2" s="3479" t="s">
        <v>3395</v>
      </c>
      <c r="KG2" s="3479" t="s">
        <v>3396</v>
      </c>
      <c r="KH2" s="3479" t="s">
        <v>3393</v>
      </c>
      <c r="KI2" s="3479" t="s">
        <v>3394</v>
      </c>
      <c r="KJ2" s="3479" t="s">
        <v>3395</v>
      </c>
      <c r="KK2" s="3479" t="s">
        <v>3396</v>
      </c>
      <c r="KL2" s="3479" t="s">
        <v>3393</v>
      </c>
      <c r="KM2" s="3479" t="s">
        <v>3394</v>
      </c>
      <c r="KN2" s="3479" t="s">
        <v>3395</v>
      </c>
      <c r="KO2" s="3479" t="s">
        <v>3396</v>
      </c>
      <c r="KP2" s="3479" t="s">
        <v>3393</v>
      </c>
      <c r="KQ2" s="3479" t="s">
        <v>3394</v>
      </c>
      <c r="KR2" s="3479" t="s">
        <v>3395</v>
      </c>
      <c r="KS2" s="3479" t="s">
        <v>3396</v>
      </c>
    </row>
    <row r="3" spans="1:305">
      <c r="A3" s="3479" t="s">
        <v>3397</v>
      </c>
      <c r="B3" s="3479" t="s">
        <v>633</v>
      </c>
      <c r="C3" s="3479" t="s">
        <v>633</v>
      </c>
      <c r="D3" s="3479" t="s">
        <v>633</v>
      </c>
      <c r="E3" s="3479" t="s">
        <v>633</v>
      </c>
      <c r="F3" s="3479" t="s">
        <v>633</v>
      </c>
      <c r="G3" s="3479" t="s">
        <v>633</v>
      </c>
      <c r="H3" s="3479" t="s">
        <v>633</v>
      </c>
      <c r="I3" s="3479" t="s">
        <v>633</v>
      </c>
      <c r="J3" s="3479" t="s">
        <v>633</v>
      </c>
      <c r="K3" s="3479" t="s">
        <v>633</v>
      </c>
      <c r="L3" s="3479" t="s">
        <v>633</v>
      </c>
      <c r="M3" s="3479" t="s">
        <v>633</v>
      </c>
      <c r="N3" s="3479" t="s">
        <v>633</v>
      </c>
      <c r="O3" s="3479" t="s">
        <v>633</v>
      </c>
      <c r="P3" s="3479" t="s">
        <v>633</v>
      </c>
      <c r="Q3" s="3479" t="s">
        <v>633</v>
      </c>
      <c r="R3" s="3479" t="s">
        <v>633</v>
      </c>
      <c r="S3" s="3479" t="s">
        <v>633</v>
      </c>
      <c r="T3" s="3479" t="s">
        <v>633</v>
      </c>
      <c r="U3" s="3479" t="s">
        <v>633</v>
      </c>
      <c r="V3" s="3479" t="s">
        <v>633</v>
      </c>
      <c r="W3" s="3479" t="s">
        <v>633</v>
      </c>
      <c r="X3" s="3479" t="s">
        <v>633</v>
      </c>
      <c r="Y3" s="3479" t="s">
        <v>633</v>
      </c>
      <c r="Z3" s="3479" t="s">
        <v>633</v>
      </c>
      <c r="AA3" s="3479" t="s">
        <v>633</v>
      </c>
      <c r="AB3" s="3479" t="s">
        <v>633</v>
      </c>
      <c r="AC3" s="3479" t="s">
        <v>633</v>
      </c>
      <c r="AD3" s="3479" t="s">
        <v>633</v>
      </c>
      <c r="AE3" s="3479" t="s">
        <v>633</v>
      </c>
      <c r="AF3" s="3479" t="s">
        <v>633</v>
      </c>
      <c r="AG3" s="3479" t="s">
        <v>633</v>
      </c>
      <c r="AH3" s="3479" t="s">
        <v>633</v>
      </c>
      <c r="AI3" s="3479" t="s">
        <v>633</v>
      </c>
      <c r="AJ3" s="3479" t="s">
        <v>633</v>
      </c>
      <c r="AK3" s="3479" t="s">
        <v>633</v>
      </c>
      <c r="AL3" s="3479" t="s">
        <v>633</v>
      </c>
      <c r="AM3" s="3479" t="s">
        <v>633</v>
      </c>
      <c r="AN3" s="3479" t="s">
        <v>633</v>
      </c>
      <c r="AO3" s="3479" t="s">
        <v>633</v>
      </c>
      <c r="AP3" s="3479" t="s">
        <v>633</v>
      </c>
      <c r="AQ3" s="3479" t="s">
        <v>633</v>
      </c>
      <c r="AR3" s="3479" t="s">
        <v>633</v>
      </c>
      <c r="AS3" s="3479" t="s">
        <v>633</v>
      </c>
      <c r="AT3" s="3479" t="s">
        <v>633</v>
      </c>
      <c r="AU3" s="3479" t="s">
        <v>633</v>
      </c>
      <c r="AV3" s="3479" t="s">
        <v>633</v>
      </c>
      <c r="AW3" s="3479" t="s">
        <v>633</v>
      </c>
      <c r="AX3" s="3479" t="s">
        <v>633</v>
      </c>
      <c r="AY3" s="3479" t="s">
        <v>633</v>
      </c>
      <c r="AZ3" s="3479" t="s">
        <v>633</v>
      </c>
      <c r="BA3" s="3479" t="s">
        <v>633</v>
      </c>
      <c r="BB3" s="3479" t="s">
        <v>633</v>
      </c>
      <c r="BC3" s="3479" t="s">
        <v>633</v>
      </c>
      <c r="BD3" s="3479" t="s">
        <v>633</v>
      </c>
      <c r="BE3" s="3479" t="s">
        <v>633</v>
      </c>
      <c r="BF3" s="3479" t="s">
        <v>633</v>
      </c>
      <c r="BG3" s="3479" t="s">
        <v>633</v>
      </c>
      <c r="BH3" s="3479" t="s">
        <v>633</v>
      </c>
      <c r="BI3" s="3479" t="s">
        <v>633</v>
      </c>
      <c r="BJ3" s="3479" t="s">
        <v>633</v>
      </c>
      <c r="BK3" s="3479" t="s">
        <v>633</v>
      </c>
      <c r="BL3" s="3479" t="s">
        <v>633</v>
      </c>
      <c r="BM3" s="3479" t="s">
        <v>633</v>
      </c>
      <c r="BN3" s="3479" t="s">
        <v>633</v>
      </c>
      <c r="BO3" s="3479" t="s">
        <v>633</v>
      </c>
      <c r="BP3" s="3479" t="s">
        <v>633</v>
      </c>
      <c r="BQ3" s="3479" t="s">
        <v>633</v>
      </c>
      <c r="BR3" s="3479" t="s">
        <v>633</v>
      </c>
      <c r="BS3" s="3479" t="s">
        <v>633</v>
      </c>
      <c r="BT3" s="3479" t="s">
        <v>633</v>
      </c>
      <c r="BU3" s="3479" t="s">
        <v>633</v>
      </c>
      <c r="BV3" s="3479" t="s">
        <v>633</v>
      </c>
      <c r="BW3" s="3479" t="s">
        <v>633</v>
      </c>
      <c r="BX3" s="3479" t="s">
        <v>633</v>
      </c>
      <c r="BY3" s="3479" t="s">
        <v>633</v>
      </c>
      <c r="BZ3" s="3479" t="s">
        <v>633</v>
      </c>
      <c r="CA3" s="3479" t="s">
        <v>633</v>
      </c>
      <c r="CB3" s="3479" t="s">
        <v>633</v>
      </c>
      <c r="CC3" s="3479" t="s">
        <v>633</v>
      </c>
      <c r="CD3" s="3479" t="s">
        <v>633</v>
      </c>
      <c r="CE3" s="3479" t="s">
        <v>633</v>
      </c>
      <c r="CF3" s="3479" t="s">
        <v>633</v>
      </c>
      <c r="CG3" s="3479" t="s">
        <v>633</v>
      </c>
      <c r="CH3" s="3479" t="s">
        <v>633</v>
      </c>
      <c r="CI3" s="3479" t="s">
        <v>633</v>
      </c>
      <c r="CJ3" s="3479" t="s">
        <v>633</v>
      </c>
      <c r="CK3" s="3479" t="s">
        <v>633</v>
      </c>
      <c r="CL3" s="3479" t="s">
        <v>633</v>
      </c>
      <c r="CM3" s="3479" t="s">
        <v>633</v>
      </c>
      <c r="CN3" s="3479" t="s">
        <v>633</v>
      </c>
      <c r="CO3" s="3479" t="s">
        <v>633</v>
      </c>
      <c r="CP3" s="3479" t="s">
        <v>633</v>
      </c>
      <c r="CQ3" s="3479" t="s">
        <v>633</v>
      </c>
      <c r="CR3" s="3479" t="s">
        <v>633</v>
      </c>
      <c r="CS3" s="3479" t="s">
        <v>633</v>
      </c>
      <c r="CT3" s="3479" t="s">
        <v>633</v>
      </c>
      <c r="CU3" s="3479" t="s">
        <v>633</v>
      </c>
      <c r="CV3" s="3479" t="s">
        <v>633</v>
      </c>
      <c r="CW3" s="3479" t="s">
        <v>633</v>
      </c>
      <c r="CX3" s="3479" t="s">
        <v>633</v>
      </c>
      <c r="CY3" s="3479" t="s">
        <v>633</v>
      </c>
      <c r="CZ3" s="3479" t="s">
        <v>633</v>
      </c>
      <c r="DA3" s="3479" t="s">
        <v>633</v>
      </c>
      <c r="DB3" s="3479" t="s">
        <v>633</v>
      </c>
      <c r="DC3" s="3479" t="s">
        <v>633</v>
      </c>
      <c r="DD3" s="3479" t="s">
        <v>633</v>
      </c>
      <c r="DE3" s="3479" t="s">
        <v>633</v>
      </c>
      <c r="DF3" s="3479" t="s">
        <v>633</v>
      </c>
      <c r="DG3" s="3479" t="s">
        <v>633</v>
      </c>
      <c r="DH3" s="3479" t="s">
        <v>633</v>
      </c>
      <c r="DI3" s="3479" t="s">
        <v>633</v>
      </c>
      <c r="DJ3" s="3479" t="s">
        <v>633</v>
      </c>
      <c r="DK3" s="3479" t="s">
        <v>633</v>
      </c>
      <c r="DL3" s="3479" t="s">
        <v>633</v>
      </c>
      <c r="DM3" s="3479" t="s">
        <v>633</v>
      </c>
      <c r="DN3" s="3479" t="s">
        <v>633</v>
      </c>
      <c r="DO3" s="3479" t="s">
        <v>633</v>
      </c>
      <c r="DP3" s="3479" t="s">
        <v>633</v>
      </c>
      <c r="DQ3" s="3479" t="s">
        <v>633</v>
      </c>
      <c r="DR3" s="3479" t="s">
        <v>633</v>
      </c>
      <c r="DS3" s="3479" t="s">
        <v>633</v>
      </c>
      <c r="DT3" s="3479" t="s">
        <v>633</v>
      </c>
      <c r="DU3" s="3479" t="s">
        <v>633</v>
      </c>
      <c r="DV3" s="3479" t="s">
        <v>633</v>
      </c>
      <c r="DW3" s="3479" t="s">
        <v>633</v>
      </c>
      <c r="DX3" s="3479" t="s">
        <v>633</v>
      </c>
      <c r="DY3" s="3479" t="s">
        <v>633</v>
      </c>
      <c r="DZ3" s="3479" t="s">
        <v>633</v>
      </c>
      <c r="EA3" s="3479" t="s">
        <v>633</v>
      </c>
      <c r="EB3" s="3479" t="s">
        <v>633</v>
      </c>
      <c r="EC3" s="3479" t="s">
        <v>633</v>
      </c>
      <c r="ED3" s="3479" t="s">
        <v>633</v>
      </c>
      <c r="EE3" s="3479" t="s">
        <v>633</v>
      </c>
      <c r="EF3" s="3479" t="s">
        <v>633</v>
      </c>
      <c r="EG3" s="3479" t="s">
        <v>633</v>
      </c>
      <c r="EH3" s="3479" t="s">
        <v>633</v>
      </c>
      <c r="EI3" s="3479" t="s">
        <v>633</v>
      </c>
      <c r="EJ3" s="3479" t="s">
        <v>633</v>
      </c>
      <c r="EK3" s="3479" t="s">
        <v>633</v>
      </c>
      <c r="EL3" s="3479" t="s">
        <v>633</v>
      </c>
      <c r="EM3" s="3479" t="s">
        <v>633</v>
      </c>
      <c r="EN3" s="3479" t="s">
        <v>633</v>
      </c>
      <c r="EO3" s="3479" t="s">
        <v>633</v>
      </c>
      <c r="EP3" s="3479" t="s">
        <v>633</v>
      </c>
      <c r="EQ3" s="3479" t="s">
        <v>633</v>
      </c>
      <c r="ER3" s="3479" t="s">
        <v>633</v>
      </c>
      <c r="ES3" s="3479" t="s">
        <v>633</v>
      </c>
      <c r="ET3" s="3479" t="s">
        <v>633</v>
      </c>
      <c r="EU3" s="3479" t="s">
        <v>633</v>
      </c>
      <c r="EV3" s="3479" t="s">
        <v>633</v>
      </c>
      <c r="EW3" s="3479" t="s">
        <v>633</v>
      </c>
      <c r="EX3" s="3479" t="s">
        <v>633</v>
      </c>
      <c r="EY3" s="3479" t="s">
        <v>633</v>
      </c>
      <c r="EZ3" s="3479" t="s">
        <v>633</v>
      </c>
      <c r="FA3" s="3479" t="s">
        <v>633</v>
      </c>
      <c r="FB3" s="3479" t="s">
        <v>633</v>
      </c>
      <c r="FC3" s="3479" t="s">
        <v>633</v>
      </c>
      <c r="FD3" s="3479" t="s">
        <v>633</v>
      </c>
      <c r="FE3" s="3479" t="s">
        <v>633</v>
      </c>
      <c r="FF3" s="3479" t="s">
        <v>633</v>
      </c>
      <c r="FG3" s="3479" t="s">
        <v>633</v>
      </c>
      <c r="FH3" s="3479" t="s">
        <v>633</v>
      </c>
      <c r="FI3" s="3479" t="s">
        <v>633</v>
      </c>
      <c r="FJ3" s="3479" t="s">
        <v>633</v>
      </c>
      <c r="FK3" s="3479" t="s">
        <v>633</v>
      </c>
      <c r="FL3" s="3479" t="s">
        <v>633</v>
      </c>
      <c r="FM3" s="3479" t="s">
        <v>633</v>
      </c>
      <c r="FN3" s="3479" t="s">
        <v>633</v>
      </c>
      <c r="FO3" s="3479" t="s">
        <v>633</v>
      </c>
      <c r="FP3" s="3479" t="s">
        <v>633</v>
      </c>
      <c r="FQ3" s="3479" t="s">
        <v>633</v>
      </c>
      <c r="FR3" s="3479" t="s">
        <v>633</v>
      </c>
      <c r="FS3" s="3479" t="s">
        <v>633</v>
      </c>
      <c r="FT3" s="3479" t="s">
        <v>633</v>
      </c>
      <c r="FU3" s="3479" t="s">
        <v>633</v>
      </c>
      <c r="FV3" s="3479" t="s">
        <v>633</v>
      </c>
      <c r="FW3" s="3479" t="s">
        <v>633</v>
      </c>
      <c r="FX3" s="3479" t="s">
        <v>633</v>
      </c>
      <c r="FY3" s="3479" t="s">
        <v>633</v>
      </c>
      <c r="FZ3" s="3479" t="s">
        <v>633</v>
      </c>
      <c r="GA3" s="3479" t="s">
        <v>633</v>
      </c>
      <c r="GB3" s="3479" t="s">
        <v>633</v>
      </c>
      <c r="GC3" s="3479" t="s">
        <v>633</v>
      </c>
      <c r="GD3" s="3479" t="s">
        <v>633</v>
      </c>
      <c r="GE3" s="3479" t="s">
        <v>633</v>
      </c>
      <c r="GF3" s="3479" t="s">
        <v>633</v>
      </c>
      <c r="GG3" s="3479" t="s">
        <v>633</v>
      </c>
      <c r="GH3" s="3479" t="s">
        <v>633</v>
      </c>
      <c r="GI3" s="3479" t="s">
        <v>633</v>
      </c>
      <c r="GJ3" s="3479" t="s">
        <v>633</v>
      </c>
      <c r="GK3" s="3479" t="s">
        <v>633</v>
      </c>
      <c r="GL3" s="3479" t="s">
        <v>633</v>
      </c>
      <c r="GM3" s="3479" t="s">
        <v>633</v>
      </c>
      <c r="GN3" s="3479" t="s">
        <v>633</v>
      </c>
      <c r="GO3" s="3479" t="s">
        <v>633</v>
      </c>
      <c r="GP3" s="3479" t="s">
        <v>633</v>
      </c>
      <c r="GQ3" s="3479" t="s">
        <v>633</v>
      </c>
      <c r="GR3" s="3479" t="s">
        <v>633</v>
      </c>
      <c r="GS3" s="3479" t="s">
        <v>633</v>
      </c>
      <c r="GT3" s="3479" t="s">
        <v>633</v>
      </c>
      <c r="GU3" s="3479" t="s">
        <v>633</v>
      </c>
      <c r="GV3" s="3479" t="s">
        <v>633</v>
      </c>
      <c r="GW3" s="3479" t="s">
        <v>633</v>
      </c>
      <c r="GX3" s="3479" t="s">
        <v>633</v>
      </c>
      <c r="GY3" s="3479" t="s">
        <v>633</v>
      </c>
      <c r="GZ3" s="3479" t="s">
        <v>633</v>
      </c>
      <c r="HA3" s="3479" t="s">
        <v>633</v>
      </c>
      <c r="HB3" s="3479" t="s">
        <v>633</v>
      </c>
      <c r="HC3" s="3479" t="s">
        <v>633</v>
      </c>
      <c r="HD3" s="3479" t="s">
        <v>633</v>
      </c>
      <c r="HE3" s="3479" t="s">
        <v>633</v>
      </c>
      <c r="HF3" s="3479" t="s">
        <v>633</v>
      </c>
      <c r="HG3" s="3479" t="s">
        <v>633</v>
      </c>
      <c r="HH3" s="3479" t="s">
        <v>633</v>
      </c>
      <c r="HI3" s="3479" t="s">
        <v>633</v>
      </c>
      <c r="HJ3" s="3479" t="s">
        <v>633</v>
      </c>
      <c r="HK3" s="3479" t="s">
        <v>633</v>
      </c>
      <c r="HL3" s="3479" t="s">
        <v>633</v>
      </c>
      <c r="HM3" s="3479" t="s">
        <v>633</v>
      </c>
      <c r="HN3" s="3479" t="s">
        <v>633</v>
      </c>
      <c r="HO3" s="3479" t="s">
        <v>633</v>
      </c>
      <c r="HP3" s="3479" t="s">
        <v>633</v>
      </c>
      <c r="HQ3" s="3479" t="s">
        <v>633</v>
      </c>
      <c r="HR3" s="3479" t="s">
        <v>633</v>
      </c>
      <c r="HS3" s="3479" t="s">
        <v>633</v>
      </c>
      <c r="HT3" s="3479" t="s">
        <v>633</v>
      </c>
      <c r="HU3" s="3479" t="s">
        <v>633</v>
      </c>
      <c r="HV3" s="3479" t="s">
        <v>633</v>
      </c>
      <c r="HW3" s="3479" t="s">
        <v>633</v>
      </c>
      <c r="HX3" s="3479" t="s">
        <v>633</v>
      </c>
      <c r="HY3" s="3479" t="s">
        <v>633</v>
      </c>
      <c r="HZ3" s="3479" t="s">
        <v>633</v>
      </c>
      <c r="IA3" s="3479" t="s">
        <v>633</v>
      </c>
      <c r="IB3" s="3479" t="s">
        <v>633</v>
      </c>
      <c r="IC3" s="3479" t="s">
        <v>633</v>
      </c>
      <c r="ID3" s="3479" t="s">
        <v>633</v>
      </c>
      <c r="IE3" s="3479" t="s">
        <v>633</v>
      </c>
      <c r="IF3" s="3479" t="s">
        <v>633</v>
      </c>
      <c r="IG3" s="3479" t="s">
        <v>633</v>
      </c>
      <c r="IH3" s="3479" t="s">
        <v>633</v>
      </c>
      <c r="II3" s="3479" t="s">
        <v>633</v>
      </c>
      <c r="IJ3" s="3479" t="s">
        <v>633</v>
      </c>
      <c r="IK3" s="3479" t="s">
        <v>633</v>
      </c>
      <c r="IL3" s="3479" t="s">
        <v>633</v>
      </c>
      <c r="IM3" s="3479" t="s">
        <v>633</v>
      </c>
      <c r="IN3" s="3479" t="s">
        <v>633</v>
      </c>
      <c r="IO3" s="3479" t="s">
        <v>633</v>
      </c>
      <c r="IP3" s="3479" t="s">
        <v>633</v>
      </c>
      <c r="IQ3" s="3479" t="s">
        <v>633</v>
      </c>
      <c r="IR3" s="3479" t="s">
        <v>633</v>
      </c>
      <c r="IS3" s="3479" t="s">
        <v>633</v>
      </c>
      <c r="IT3" s="3479" t="s">
        <v>633</v>
      </c>
      <c r="IU3" s="3479" t="s">
        <v>633</v>
      </c>
      <c r="IV3" s="3479" t="s">
        <v>633</v>
      </c>
      <c r="IW3" s="3479" t="s">
        <v>633</v>
      </c>
      <c r="IX3" s="3479" t="s">
        <v>633</v>
      </c>
      <c r="IY3" s="3479" t="s">
        <v>633</v>
      </c>
      <c r="IZ3" s="3479" t="s">
        <v>633</v>
      </c>
      <c r="JA3" s="3479" t="s">
        <v>633</v>
      </c>
      <c r="JB3" s="3479" t="s">
        <v>633</v>
      </c>
      <c r="JC3" s="3479" t="s">
        <v>633</v>
      </c>
      <c r="JD3" s="3479" t="s">
        <v>633</v>
      </c>
      <c r="JE3" s="3479" t="s">
        <v>633</v>
      </c>
      <c r="JF3" s="3479" t="s">
        <v>633</v>
      </c>
      <c r="JG3" s="3479" t="s">
        <v>633</v>
      </c>
      <c r="JH3" s="3479" t="s">
        <v>633</v>
      </c>
      <c r="JI3" s="3479" t="s">
        <v>633</v>
      </c>
      <c r="JJ3" s="3479" t="s">
        <v>633</v>
      </c>
      <c r="JK3" s="3479" t="s">
        <v>633</v>
      </c>
      <c r="JL3" s="3479" t="s">
        <v>633</v>
      </c>
      <c r="JM3" s="3479" t="s">
        <v>633</v>
      </c>
      <c r="JN3" s="3479" t="s">
        <v>633</v>
      </c>
      <c r="JO3" s="3479" t="s">
        <v>633</v>
      </c>
      <c r="JP3" s="3479" t="s">
        <v>633</v>
      </c>
      <c r="JQ3" s="3479" t="s">
        <v>633</v>
      </c>
      <c r="JR3" s="3479" t="s">
        <v>633</v>
      </c>
      <c r="JS3" s="3479" t="s">
        <v>633</v>
      </c>
      <c r="JT3" s="3479" t="s">
        <v>633</v>
      </c>
      <c r="JU3" s="3479" t="s">
        <v>633</v>
      </c>
      <c r="JV3" s="3479" t="s">
        <v>633</v>
      </c>
      <c r="JW3" s="3479" t="s">
        <v>633</v>
      </c>
      <c r="JX3" s="3479" t="s">
        <v>633</v>
      </c>
      <c r="JY3" s="3479" t="s">
        <v>633</v>
      </c>
      <c r="JZ3" s="3479" t="s">
        <v>633</v>
      </c>
      <c r="KA3" s="3479" t="s">
        <v>633</v>
      </c>
      <c r="KB3" s="3479" t="s">
        <v>633</v>
      </c>
      <c r="KC3" s="3479" t="s">
        <v>633</v>
      </c>
      <c r="KD3" s="3479" t="s">
        <v>633</v>
      </c>
      <c r="KE3" s="3479" t="s">
        <v>633</v>
      </c>
      <c r="KF3" s="3479" t="s">
        <v>633</v>
      </c>
      <c r="KG3" s="3479" t="s">
        <v>633</v>
      </c>
      <c r="KH3" s="3479" t="s">
        <v>633</v>
      </c>
      <c r="KI3" s="3479" t="s">
        <v>633</v>
      </c>
      <c r="KJ3" s="3479" t="s">
        <v>633</v>
      </c>
      <c r="KK3" s="3479" t="s">
        <v>633</v>
      </c>
      <c r="KL3" s="3479" t="s">
        <v>633</v>
      </c>
      <c r="KM3" s="3479" t="s">
        <v>633</v>
      </c>
      <c r="KN3" s="3479" t="s">
        <v>633</v>
      </c>
      <c r="KO3" s="3479" t="s">
        <v>633</v>
      </c>
      <c r="KP3" s="3479" t="s">
        <v>633</v>
      </c>
      <c r="KQ3" s="3479" t="s">
        <v>633</v>
      </c>
      <c r="KR3" s="3479" t="s">
        <v>633</v>
      </c>
      <c r="KS3" s="3479" t="s">
        <v>633</v>
      </c>
    </row>
    <row r="4" spans="1:305">
      <c r="A4" s="3479" t="s">
        <v>3398</v>
      </c>
      <c r="B4" s="3479">
        <v>124.73</v>
      </c>
      <c r="C4" s="3479">
        <v>11777</v>
      </c>
      <c r="D4" s="3479">
        <v>134520</v>
      </c>
      <c r="E4" s="3479" t="s">
        <v>3399</v>
      </c>
      <c r="F4" s="3479">
        <v>122.5</v>
      </c>
      <c r="G4" s="3479">
        <v>12555</v>
      </c>
      <c r="H4" s="3479">
        <v>136879</v>
      </c>
      <c r="I4" s="3479" t="s">
        <v>3400</v>
      </c>
      <c r="J4" s="3479">
        <v>121.16</v>
      </c>
      <c r="K4" s="3479">
        <v>13781</v>
      </c>
      <c r="L4" s="3479">
        <v>135293</v>
      </c>
      <c r="M4" s="3479" t="s">
        <v>3400</v>
      </c>
      <c r="N4" s="3479">
        <v>123.85</v>
      </c>
      <c r="O4" s="3479">
        <v>13297</v>
      </c>
      <c r="P4" s="3479">
        <v>138046</v>
      </c>
      <c r="Q4" s="3479" t="s">
        <v>3401</v>
      </c>
      <c r="R4" s="3479">
        <v>125.55</v>
      </c>
      <c r="S4" s="3479">
        <v>11492</v>
      </c>
      <c r="T4" s="3479">
        <v>142401</v>
      </c>
      <c r="U4" s="3479" t="s">
        <v>3402</v>
      </c>
      <c r="V4" s="3479">
        <v>128.91999999999999</v>
      </c>
      <c r="W4" s="3479">
        <v>11467</v>
      </c>
      <c r="X4" s="3479">
        <v>145175</v>
      </c>
      <c r="Y4" s="3479" t="s">
        <v>3403</v>
      </c>
      <c r="Z4" s="3479">
        <v>130.93</v>
      </c>
      <c r="AA4" s="3479">
        <v>11139</v>
      </c>
      <c r="AB4" s="3479">
        <v>145573</v>
      </c>
      <c r="AC4" s="3479" t="s">
        <v>3404</v>
      </c>
      <c r="AD4" s="3479">
        <v>132.58000000000001</v>
      </c>
      <c r="AE4" s="3479">
        <v>11006</v>
      </c>
      <c r="AF4" s="3479">
        <v>145993</v>
      </c>
      <c r="AG4" s="3479" t="s">
        <v>3405</v>
      </c>
      <c r="AH4" s="3479">
        <v>128.91</v>
      </c>
      <c r="AI4" s="3479">
        <v>10643</v>
      </c>
      <c r="AJ4" s="3479">
        <v>146119</v>
      </c>
      <c r="AK4" s="3479" t="s">
        <v>3402</v>
      </c>
      <c r="AL4" s="3479">
        <v>130.22999999999999</v>
      </c>
      <c r="AM4" s="3479">
        <v>10011</v>
      </c>
      <c r="AN4" s="3479">
        <v>150253</v>
      </c>
      <c r="AO4" s="3479" t="s">
        <v>3406</v>
      </c>
      <c r="AP4" s="3479">
        <v>127.24</v>
      </c>
      <c r="AQ4" s="3479">
        <v>9178</v>
      </c>
      <c r="AR4" s="3479">
        <v>151628</v>
      </c>
      <c r="AS4" s="3479" t="s">
        <v>3407</v>
      </c>
      <c r="AT4" s="3479">
        <v>123.53</v>
      </c>
      <c r="AU4" s="3479">
        <v>9524</v>
      </c>
      <c r="AV4" s="3479">
        <v>151022</v>
      </c>
      <c r="AW4" s="3479" t="s">
        <v>3408</v>
      </c>
      <c r="AX4" s="3479">
        <v>124.29</v>
      </c>
      <c r="AY4" s="3479">
        <v>10685</v>
      </c>
      <c r="AZ4" s="3479">
        <v>148765</v>
      </c>
      <c r="BA4" s="3479" t="s">
        <v>3409</v>
      </c>
      <c r="BB4" s="3479">
        <v>125.68</v>
      </c>
      <c r="BC4" s="3479">
        <v>8136</v>
      </c>
      <c r="BD4" s="3479">
        <v>146397</v>
      </c>
      <c r="BE4" s="3479" t="s">
        <v>3410</v>
      </c>
      <c r="BF4" s="3479">
        <v>123.43</v>
      </c>
      <c r="BG4" s="3479">
        <v>10387</v>
      </c>
      <c r="BH4" s="3479">
        <v>142181</v>
      </c>
      <c r="BI4" s="3479" t="s">
        <v>3411</v>
      </c>
      <c r="BJ4" s="3479">
        <v>120.62</v>
      </c>
      <c r="BK4" s="3479">
        <v>10603</v>
      </c>
      <c r="BL4" s="3479">
        <v>138889</v>
      </c>
      <c r="BM4" s="3479" t="s">
        <v>3412</v>
      </c>
      <c r="BN4" s="3479">
        <v>120.64</v>
      </c>
      <c r="BO4" s="3479">
        <v>12994</v>
      </c>
      <c r="BP4" s="3479">
        <v>140630</v>
      </c>
      <c r="BQ4" s="3479" t="s">
        <v>3413</v>
      </c>
      <c r="BR4" s="3479">
        <v>119.72</v>
      </c>
      <c r="BS4" s="3479">
        <v>12652</v>
      </c>
      <c r="BT4" s="3479">
        <v>131741</v>
      </c>
      <c r="BU4" s="3479" t="s">
        <v>3414</v>
      </c>
      <c r="BV4" s="3479">
        <v>122.01</v>
      </c>
      <c r="BW4" s="3479">
        <v>11167</v>
      </c>
      <c r="BX4" s="3479">
        <v>129286</v>
      </c>
      <c r="BY4" s="3479" t="s">
        <v>3415</v>
      </c>
      <c r="BZ4" s="3479">
        <v>171.02</v>
      </c>
      <c r="CA4" s="3479">
        <v>25000</v>
      </c>
      <c r="CB4" s="3479">
        <v>130897</v>
      </c>
      <c r="CC4" s="3479" t="s">
        <v>3416</v>
      </c>
      <c r="CD4" s="3479">
        <v>144.47</v>
      </c>
      <c r="CE4" s="3479">
        <v>12680</v>
      </c>
      <c r="CF4" s="3479">
        <v>128249</v>
      </c>
      <c r="CG4" s="3479" t="s">
        <v>3417</v>
      </c>
      <c r="CH4" s="3479">
        <v>144.19</v>
      </c>
      <c r="CI4" s="3479">
        <v>11813</v>
      </c>
      <c r="CJ4" s="3479">
        <v>126545</v>
      </c>
      <c r="CK4" s="3479" t="s">
        <v>3418</v>
      </c>
      <c r="CL4" s="3479">
        <v>142.41</v>
      </c>
      <c r="CM4" s="3479">
        <v>14259</v>
      </c>
      <c r="CN4" s="3479">
        <v>125473</v>
      </c>
      <c r="CO4" s="3479" t="s">
        <v>3419</v>
      </c>
      <c r="CP4" s="3479">
        <v>143.88999999999999</v>
      </c>
      <c r="CQ4" s="3479">
        <v>15450</v>
      </c>
      <c r="CR4" s="3479">
        <v>125863</v>
      </c>
      <c r="CS4" s="3479" t="s">
        <v>3420</v>
      </c>
      <c r="CT4" s="3479">
        <v>124.21</v>
      </c>
      <c r="CU4" s="3479">
        <v>11090</v>
      </c>
      <c r="CV4" s="3479">
        <v>124769</v>
      </c>
      <c r="CW4" s="3479" t="s">
        <v>3421</v>
      </c>
      <c r="CX4" s="3479">
        <v>138.63</v>
      </c>
      <c r="CY4" s="3479">
        <v>7020</v>
      </c>
      <c r="CZ4" s="3479">
        <v>126322</v>
      </c>
      <c r="DA4" s="3479" t="s">
        <v>3422</v>
      </c>
      <c r="DB4" s="3479">
        <v>134.72</v>
      </c>
      <c r="DC4" s="3479">
        <v>7706</v>
      </c>
      <c r="DD4" s="3479">
        <v>125056</v>
      </c>
      <c r="DE4" s="3479" t="s">
        <v>3423</v>
      </c>
      <c r="DF4" s="3479">
        <v>133.04</v>
      </c>
      <c r="DG4" s="3479">
        <v>8722</v>
      </c>
      <c r="DH4" s="3479">
        <v>125007</v>
      </c>
      <c r="DI4" s="3479" t="s">
        <v>3424</v>
      </c>
      <c r="DJ4" s="3479">
        <v>128.91999999999999</v>
      </c>
      <c r="DK4" s="3479">
        <v>10020</v>
      </c>
      <c r="DL4" s="3479">
        <v>123584</v>
      </c>
      <c r="DM4" s="3479" t="s">
        <v>3425</v>
      </c>
      <c r="DN4" s="3479">
        <v>137.07</v>
      </c>
      <c r="DO4" s="3479">
        <v>8511</v>
      </c>
      <c r="DP4" s="3479">
        <v>120437</v>
      </c>
      <c r="DQ4" s="3479" t="s">
        <v>3426</v>
      </c>
      <c r="DR4" s="3479">
        <v>133.66999999999999</v>
      </c>
      <c r="DS4" s="3479">
        <v>8811</v>
      </c>
      <c r="DT4" s="3479">
        <v>121913</v>
      </c>
      <c r="DU4" s="3479" t="s">
        <v>3427</v>
      </c>
      <c r="DV4" s="3479">
        <v>131.66999999999999</v>
      </c>
      <c r="DW4" s="3479">
        <v>9260</v>
      </c>
      <c r="DX4" s="3479">
        <v>121684</v>
      </c>
      <c r="DY4" s="3479" t="s">
        <v>3428</v>
      </c>
      <c r="DZ4" s="3479" t="s">
        <v>633</v>
      </c>
      <c r="EA4" s="3479" t="s">
        <v>633</v>
      </c>
      <c r="EB4" s="3479" t="s">
        <v>633</v>
      </c>
      <c r="EC4" s="3479" t="s">
        <v>633</v>
      </c>
      <c r="ED4" s="3479" t="s">
        <v>633</v>
      </c>
      <c r="EE4" s="3479" t="s">
        <v>633</v>
      </c>
      <c r="EF4" s="3479" t="s">
        <v>633</v>
      </c>
      <c r="EG4" s="3479" t="s">
        <v>633</v>
      </c>
      <c r="EH4" s="3479" t="s">
        <v>633</v>
      </c>
      <c r="EI4" s="3479" t="s">
        <v>633</v>
      </c>
      <c r="EJ4" s="3479" t="s">
        <v>633</v>
      </c>
      <c r="EK4" s="3479" t="s">
        <v>633</v>
      </c>
      <c r="EL4" s="3479" t="s">
        <v>633</v>
      </c>
      <c r="EM4" s="3479" t="s">
        <v>633</v>
      </c>
      <c r="EN4" s="3479" t="s">
        <v>633</v>
      </c>
      <c r="EO4" s="3479" t="s">
        <v>633</v>
      </c>
      <c r="EP4" s="3479" t="s">
        <v>633</v>
      </c>
      <c r="EQ4" s="3479" t="s">
        <v>633</v>
      </c>
      <c r="ER4" s="3479" t="s">
        <v>633</v>
      </c>
      <c r="ES4" s="3479" t="s">
        <v>633</v>
      </c>
      <c r="ET4" s="3479" t="s">
        <v>633</v>
      </c>
      <c r="EU4" s="3479" t="s">
        <v>633</v>
      </c>
      <c r="EV4" s="3479" t="s">
        <v>633</v>
      </c>
      <c r="EW4" s="3479" t="s">
        <v>633</v>
      </c>
      <c r="EX4" s="3479" t="s">
        <v>633</v>
      </c>
      <c r="EY4" s="3479" t="s">
        <v>633</v>
      </c>
      <c r="EZ4" s="3479" t="s">
        <v>633</v>
      </c>
      <c r="FA4" s="3479" t="s">
        <v>633</v>
      </c>
      <c r="FB4" s="3479" t="s">
        <v>633</v>
      </c>
      <c r="FC4" s="3479" t="s">
        <v>633</v>
      </c>
      <c r="FD4" s="3479" t="s">
        <v>633</v>
      </c>
      <c r="FE4" s="3479" t="s">
        <v>633</v>
      </c>
      <c r="FF4" s="3479" t="s">
        <v>633</v>
      </c>
      <c r="FG4" s="3479" t="s">
        <v>633</v>
      </c>
      <c r="FH4" s="3479" t="s">
        <v>633</v>
      </c>
      <c r="FI4" s="3479" t="s">
        <v>633</v>
      </c>
      <c r="FJ4" s="3479" t="s">
        <v>633</v>
      </c>
      <c r="FK4" s="3479" t="s">
        <v>633</v>
      </c>
      <c r="FL4" s="3479" t="s">
        <v>633</v>
      </c>
      <c r="FM4" s="3479" t="s">
        <v>633</v>
      </c>
      <c r="FN4" s="3479">
        <v>114.69</v>
      </c>
      <c r="FO4" s="3479">
        <v>9582</v>
      </c>
      <c r="FP4" s="3479">
        <v>115661</v>
      </c>
      <c r="FQ4" s="3479" t="s">
        <v>3429</v>
      </c>
      <c r="FR4" s="3479">
        <v>121.02</v>
      </c>
      <c r="FS4" s="3479">
        <v>12922</v>
      </c>
      <c r="FT4" s="3479">
        <v>111044</v>
      </c>
      <c r="FU4" s="3479" t="s">
        <v>3430</v>
      </c>
      <c r="FV4" s="3479">
        <v>123.9</v>
      </c>
      <c r="FW4" s="3479">
        <v>12556</v>
      </c>
      <c r="FX4" s="3479">
        <v>113823</v>
      </c>
      <c r="FY4" s="3479" t="s">
        <v>3431</v>
      </c>
      <c r="FZ4" s="3479" t="s">
        <v>633</v>
      </c>
      <c r="GA4" s="3479" t="s">
        <v>633</v>
      </c>
      <c r="GB4" s="3479" t="s">
        <v>633</v>
      </c>
      <c r="GC4" s="3479" t="s">
        <v>633</v>
      </c>
      <c r="GD4" s="3479">
        <v>136.13999999999999</v>
      </c>
      <c r="GE4" s="3479">
        <v>13614</v>
      </c>
      <c r="GF4" s="3479">
        <v>111611</v>
      </c>
      <c r="GG4" s="3479" t="s">
        <v>3432</v>
      </c>
      <c r="GH4" s="3479">
        <v>116.77</v>
      </c>
      <c r="GI4" s="3479">
        <v>11182</v>
      </c>
      <c r="GJ4" s="3479">
        <v>111441</v>
      </c>
      <c r="GK4" s="3479" t="s">
        <v>3433</v>
      </c>
      <c r="GL4" s="3479">
        <v>104.46</v>
      </c>
      <c r="GM4" s="3479">
        <v>9564</v>
      </c>
      <c r="GN4" s="3479">
        <v>109019</v>
      </c>
      <c r="GO4" s="3479" t="s">
        <v>3434</v>
      </c>
      <c r="GP4" s="3479">
        <v>111.95</v>
      </c>
      <c r="GQ4" s="3479">
        <v>11297</v>
      </c>
      <c r="GR4" s="3479">
        <v>114414</v>
      </c>
      <c r="GS4" s="3479" t="s">
        <v>3435</v>
      </c>
      <c r="GT4" s="3479">
        <v>106.56</v>
      </c>
      <c r="GU4" s="3479">
        <v>9000</v>
      </c>
      <c r="GV4" s="3479">
        <v>115045</v>
      </c>
      <c r="GW4" s="3479" t="s">
        <v>3436</v>
      </c>
      <c r="GX4" s="3479" t="s">
        <v>633</v>
      </c>
      <c r="GY4" s="3479" t="s">
        <v>633</v>
      </c>
      <c r="GZ4" s="3479" t="s">
        <v>633</v>
      </c>
      <c r="HA4" s="3479" t="s">
        <v>633</v>
      </c>
      <c r="HB4" s="3479">
        <v>116.33</v>
      </c>
      <c r="HC4" s="3479">
        <v>9300</v>
      </c>
      <c r="HD4" s="3479">
        <v>114542</v>
      </c>
      <c r="HE4" s="3479" t="s">
        <v>3437</v>
      </c>
      <c r="HF4" s="3479">
        <v>116.37</v>
      </c>
      <c r="HG4" s="3479">
        <v>11689</v>
      </c>
      <c r="HH4" s="3479">
        <v>112980</v>
      </c>
      <c r="HI4" s="3479" t="s">
        <v>3438</v>
      </c>
      <c r="HJ4" s="3479">
        <v>130.69999999999999</v>
      </c>
      <c r="HK4" s="3479">
        <v>9945</v>
      </c>
      <c r="HL4" s="3479">
        <v>112064</v>
      </c>
      <c r="HM4" s="3479" t="s">
        <v>3439</v>
      </c>
      <c r="HN4" s="3479">
        <v>117.56</v>
      </c>
      <c r="HO4" s="3479">
        <v>10600</v>
      </c>
      <c r="HP4" s="3479">
        <v>113563</v>
      </c>
      <c r="HQ4" s="3479" t="s">
        <v>3440</v>
      </c>
      <c r="HR4" s="3479">
        <v>122.49</v>
      </c>
      <c r="HS4" s="3479">
        <v>8894</v>
      </c>
      <c r="HT4" s="3479">
        <v>111943</v>
      </c>
      <c r="HU4" s="3479" t="s">
        <v>3441</v>
      </c>
      <c r="HV4" s="3479">
        <v>126.8</v>
      </c>
      <c r="HW4" s="3479">
        <v>12160</v>
      </c>
      <c r="HX4" s="3479">
        <v>111208</v>
      </c>
      <c r="HY4" s="3479" t="s">
        <v>3442</v>
      </c>
      <c r="HZ4" s="3479">
        <v>121.48</v>
      </c>
      <c r="IA4" s="3479">
        <v>12600</v>
      </c>
      <c r="IB4" s="3479">
        <v>109753</v>
      </c>
      <c r="IC4" s="3479" t="s">
        <v>3443</v>
      </c>
      <c r="ID4" s="3479">
        <v>117.38</v>
      </c>
      <c r="IE4" s="3479">
        <v>11621</v>
      </c>
      <c r="IF4" s="3479">
        <v>112845</v>
      </c>
      <c r="IG4" s="3479" t="s">
        <v>3444</v>
      </c>
      <c r="IH4" s="3479">
        <v>110.95</v>
      </c>
      <c r="II4" s="3479">
        <v>8858</v>
      </c>
      <c r="IJ4" s="3479">
        <v>111262</v>
      </c>
      <c r="IK4" s="3479" t="s">
        <v>3445</v>
      </c>
      <c r="IL4" s="3479">
        <v>115.7</v>
      </c>
      <c r="IM4" s="3479">
        <v>12734</v>
      </c>
      <c r="IN4" s="3479">
        <v>113624</v>
      </c>
      <c r="IO4" s="3479" t="s">
        <v>3446</v>
      </c>
      <c r="IP4" s="3479">
        <v>116.38</v>
      </c>
      <c r="IQ4" s="3479">
        <v>11587</v>
      </c>
      <c r="IR4" s="3479">
        <v>112170</v>
      </c>
      <c r="IS4" s="3479" t="s">
        <v>3447</v>
      </c>
      <c r="IT4" s="3479">
        <v>114.78</v>
      </c>
      <c r="IU4" s="3479">
        <v>12203</v>
      </c>
      <c r="IV4" s="3479">
        <v>112466</v>
      </c>
      <c r="IW4" s="3479" t="s">
        <v>3448</v>
      </c>
      <c r="IX4" s="3479">
        <v>115.63</v>
      </c>
      <c r="IY4" s="3479">
        <v>10644</v>
      </c>
      <c r="IZ4" s="3479">
        <v>111834</v>
      </c>
      <c r="JA4" s="3479" t="s">
        <v>3449</v>
      </c>
      <c r="JB4" s="3479">
        <v>118.2</v>
      </c>
      <c r="JC4" s="3479">
        <v>11361</v>
      </c>
      <c r="JD4" s="3479">
        <v>114719</v>
      </c>
      <c r="JE4" s="3479" t="s">
        <v>3438</v>
      </c>
      <c r="JF4" s="3479">
        <v>116.06</v>
      </c>
      <c r="JG4" s="3479">
        <v>11233</v>
      </c>
      <c r="JH4" s="3479">
        <v>117247</v>
      </c>
      <c r="JI4" s="3479" t="s">
        <v>3450</v>
      </c>
      <c r="JJ4" s="3479">
        <v>120</v>
      </c>
      <c r="JK4" s="3479">
        <v>11724</v>
      </c>
      <c r="JL4" s="3479">
        <v>118201</v>
      </c>
      <c r="JM4" s="3479" t="s">
        <v>3437</v>
      </c>
      <c r="JN4" s="3479">
        <v>119.96</v>
      </c>
      <c r="JO4" s="3479">
        <v>11645</v>
      </c>
      <c r="JP4" s="3479">
        <v>118317</v>
      </c>
      <c r="JQ4" s="3479" t="s">
        <v>3451</v>
      </c>
      <c r="JR4" s="3479">
        <v>112.94</v>
      </c>
      <c r="JS4" s="3479">
        <v>11676</v>
      </c>
      <c r="JT4" s="3479">
        <v>120357</v>
      </c>
      <c r="JU4" s="3479" t="s">
        <v>3452</v>
      </c>
      <c r="JV4" s="3479" t="s">
        <v>633</v>
      </c>
      <c r="JW4" s="3479" t="s">
        <v>633</v>
      </c>
      <c r="JX4" s="3479" t="s">
        <v>633</v>
      </c>
      <c r="JY4" s="3479" t="s">
        <v>633</v>
      </c>
      <c r="JZ4" s="3479" t="s">
        <v>633</v>
      </c>
      <c r="KA4" s="3479" t="s">
        <v>633</v>
      </c>
      <c r="KB4" s="3479" t="s">
        <v>633</v>
      </c>
      <c r="KC4" s="3479" t="s">
        <v>633</v>
      </c>
      <c r="KD4" s="3479">
        <v>177.46</v>
      </c>
      <c r="KE4" s="3479">
        <v>22017</v>
      </c>
      <c r="KF4" s="3479">
        <v>113929</v>
      </c>
      <c r="KG4" s="3479" t="s">
        <v>3453</v>
      </c>
      <c r="KH4" s="3479" t="s">
        <v>633</v>
      </c>
      <c r="KI4" s="3479" t="s">
        <v>633</v>
      </c>
      <c r="KJ4" s="3479" t="s">
        <v>633</v>
      </c>
      <c r="KK4" s="3479" t="s">
        <v>633</v>
      </c>
      <c r="KL4" s="3479">
        <v>120.39</v>
      </c>
      <c r="KM4" s="3479">
        <v>10793</v>
      </c>
      <c r="KN4" s="3479">
        <v>115803</v>
      </c>
      <c r="KO4" s="3479" t="s">
        <v>3454</v>
      </c>
      <c r="KP4" s="3479">
        <v>108.01</v>
      </c>
      <c r="KQ4" s="3479">
        <v>10294</v>
      </c>
      <c r="KR4" s="3479">
        <v>115163</v>
      </c>
      <c r="KS4" s="3479" t="s">
        <v>3452</v>
      </c>
    </row>
    <row r="5" spans="1:305" s="3480" customFormat="1">
      <c r="A5" s="3480" t="s">
        <v>3455</v>
      </c>
      <c r="B5" s="3480">
        <v>121.44</v>
      </c>
      <c r="C5" s="3480">
        <v>8407</v>
      </c>
      <c r="D5" s="3480">
        <v>102837</v>
      </c>
      <c r="E5" s="3480" t="s">
        <v>3456</v>
      </c>
      <c r="F5" s="3480">
        <v>118.17</v>
      </c>
      <c r="G5" s="3480">
        <v>8745</v>
      </c>
      <c r="H5" s="3480">
        <v>107960</v>
      </c>
      <c r="I5" s="3480" t="s">
        <v>3441</v>
      </c>
      <c r="J5" s="3480">
        <v>117.24</v>
      </c>
      <c r="K5" s="3480">
        <v>8050</v>
      </c>
      <c r="L5" s="3480">
        <v>103440</v>
      </c>
      <c r="M5" s="3480" t="s">
        <v>3457</v>
      </c>
      <c r="N5" s="3480">
        <v>116.47</v>
      </c>
      <c r="O5" s="3480">
        <v>8790</v>
      </c>
      <c r="P5" s="3480">
        <v>110649</v>
      </c>
      <c r="Q5" s="3480" t="s">
        <v>3458</v>
      </c>
      <c r="R5" s="3480">
        <v>113.09</v>
      </c>
      <c r="S5" s="3480">
        <v>8437</v>
      </c>
      <c r="T5" s="3480">
        <v>111102</v>
      </c>
      <c r="U5" s="3480" t="s">
        <v>3446</v>
      </c>
      <c r="V5" s="3480">
        <v>120.44</v>
      </c>
      <c r="W5" s="3480">
        <v>7114</v>
      </c>
      <c r="X5" s="3480">
        <v>109023</v>
      </c>
      <c r="Y5" s="3480" t="s">
        <v>3459</v>
      </c>
      <c r="Z5" s="3480">
        <v>128.96</v>
      </c>
      <c r="AA5" s="3480">
        <v>6391</v>
      </c>
      <c r="AB5" s="3480">
        <v>108143</v>
      </c>
      <c r="AC5" s="3480" t="s">
        <v>3460</v>
      </c>
      <c r="AD5" s="3480">
        <v>136.91</v>
      </c>
      <c r="AE5" s="3480">
        <v>6867</v>
      </c>
      <c r="AF5" s="3480">
        <v>108178</v>
      </c>
      <c r="AG5" s="3480" t="s">
        <v>3461</v>
      </c>
      <c r="AH5" s="3480">
        <v>114.55</v>
      </c>
      <c r="AI5" s="3480">
        <v>7084</v>
      </c>
      <c r="AJ5" s="3480">
        <v>108242</v>
      </c>
      <c r="AK5" s="3480" t="s">
        <v>3462</v>
      </c>
      <c r="AL5" s="3480">
        <v>111.93</v>
      </c>
      <c r="AM5" s="3480">
        <v>7553</v>
      </c>
      <c r="AN5" s="3480">
        <v>108136</v>
      </c>
      <c r="AO5" s="3480" t="s">
        <v>3440</v>
      </c>
      <c r="AP5" s="3480">
        <v>110.41</v>
      </c>
      <c r="AQ5" s="3480">
        <v>7778</v>
      </c>
      <c r="AR5" s="3480">
        <v>111523</v>
      </c>
      <c r="AS5" s="3480" t="s">
        <v>3450</v>
      </c>
      <c r="AT5" s="3480">
        <v>113.41</v>
      </c>
      <c r="AU5" s="3480">
        <v>7250</v>
      </c>
      <c r="AV5" s="3480">
        <v>109458</v>
      </c>
      <c r="AW5" s="3480" t="s">
        <v>3463</v>
      </c>
      <c r="AX5" s="3480">
        <v>106.59</v>
      </c>
      <c r="AY5" s="3480">
        <v>7289</v>
      </c>
      <c r="AZ5" s="3480">
        <v>109167</v>
      </c>
      <c r="BA5" s="3480" t="s">
        <v>3464</v>
      </c>
      <c r="BB5" s="3480">
        <v>107.57</v>
      </c>
      <c r="BC5" s="3480">
        <v>7267</v>
      </c>
      <c r="BD5" s="3480">
        <v>103836</v>
      </c>
      <c r="BE5" s="3480" t="s">
        <v>3463</v>
      </c>
      <c r="BF5" s="3480">
        <v>107.91</v>
      </c>
      <c r="BG5" s="3480">
        <v>8167</v>
      </c>
      <c r="BH5" s="3480">
        <v>109307</v>
      </c>
      <c r="BI5" s="3480" t="s">
        <v>3465</v>
      </c>
      <c r="BJ5" s="3480">
        <v>108.55</v>
      </c>
      <c r="BK5" s="3480">
        <v>8403</v>
      </c>
      <c r="BL5" s="3480">
        <v>116764</v>
      </c>
      <c r="BM5" s="3480" t="s">
        <v>3466</v>
      </c>
      <c r="BN5" s="3480">
        <v>110.52</v>
      </c>
      <c r="BO5" s="3480">
        <v>8843</v>
      </c>
      <c r="BP5" s="3480">
        <v>123774</v>
      </c>
      <c r="BQ5" s="3480" t="s">
        <v>3467</v>
      </c>
      <c r="BR5" s="3480">
        <v>111.49</v>
      </c>
      <c r="BS5" s="3480">
        <v>9223</v>
      </c>
      <c r="BT5" s="3480">
        <v>122546</v>
      </c>
      <c r="BU5" s="3480" t="s">
        <v>3468</v>
      </c>
      <c r="BV5" s="3480">
        <v>116.55</v>
      </c>
      <c r="BW5" s="3480">
        <v>9860</v>
      </c>
      <c r="BX5" s="3480">
        <v>114478</v>
      </c>
      <c r="BY5" s="3480" t="s">
        <v>3446</v>
      </c>
      <c r="BZ5" s="3480">
        <v>139.13</v>
      </c>
      <c r="CA5" s="3480">
        <v>14500</v>
      </c>
      <c r="CB5" s="3480">
        <v>112676</v>
      </c>
      <c r="CC5" s="3480" t="s">
        <v>3469</v>
      </c>
      <c r="CD5" s="3480">
        <v>111.89</v>
      </c>
      <c r="CE5" s="3480">
        <v>9067</v>
      </c>
      <c r="CF5" s="3480">
        <v>115438</v>
      </c>
      <c r="CG5" s="3480" t="s">
        <v>3470</v>
      </c>
      <c r="CH5" s="3480">
        <v>116.13</v>
      </c>
      <c r="CI5" s="3480">
        <v>8300</v>
      </c>
      <c r="CJ5" s="3480">
        <v>112914</v>
      </c>
      <c r="CK5" s="3480" t="s">
        <v>3471</v>
      </c>
      <c r="CL5" s="3480">
        <v>107.62</v>
      </c>
      <c r="CM5" s="3480">
        <v>7650</v>
      </c>
      <c r="CN5" s="3480">
        <v>115551</v>
      </c>
      <c r="CO5" s="3480" t="s">
        <v>3472</v>
      </c>
      <c r="CP5" s="3480">
        <v>108.05</v>
      </c>
      <c r="CQ5" s="3480">
        <v>8136</v>
      </c>
      <c r="CR5" s="3480">
        <v>114169</v>
      </c>
      <c r="CS5" s="3480" t="s">
        <v>3473</v>
      </c>
      <c r="CT5" s="3480">
        <v>108.56</v>
      </c>
      <c r="CU5" s="3480">
        <v>8950</v>
      </c>
      <c r="CV5" s="3480">
        <v>113405</v>
      </c>
      <c r="CW5" s="3480" t="s">
        <v>3474</v>
      </c>
      <c r="CX5" s="3480">
        <v>102.58</v>
      </c>
      <c r="CY5" s="3480">
        <v>7808</v>
      </c>
      <c r="CZ5" s="3480">
        <v>111855</v>
      </c>
      <c r="DA5" s="3480" t="s">
        <v>3475</v>
      </c>
      <c r="DB5" s="3480">
        <v>108.15</v>
      </c>
      <c r="DC5" s="3480">
        <v>9217</v>
      </c>
      <c r="DD5" s="3480">
        <v>112858</v>
      </c>
      <c r="DE5" s="3480" t="s">
        <v>3434</v>
      </c>
      <c r="DF5" s="3480">
        <v>114</v>
      </c>
      <c r="DG5" s="3480">
        <v>8933</v>
      </c>
      <c r="DH5" s="3480">
        <v>105790</v>
      </c>
      <c r="DI5" s="3480" t="s">
        <v>3423</v>
      </c>
      <c r="DJ5" s="3480">
        <v>115.7</v>
      </c>
      <c r="DK5" s="3480">
        <v>8163</v>
      </c>
      <c r="DL5" s="3480">
        <v>103521</v>
      </c>
      <c r="DM5" s="3480" t="s">
        <v>3476</v>
      </c>
      <c r="DN5" s="3480">
        <v>111.92</v>
      </c>
      <c r="DO5" s="3480">
        <v>7775</v>
      </c>
      <c r="DP5" s="3480">
        <v>106160</v>
      </c>
      <c r="DQ5" s="3480" t="s">
        <v>3477</v>
      </c>
      <c r="DR5" s="3480">
        <v>113.46</v>
      </c>
      <c r="DS5" s="3480">
        <v>8663</v>
      </c>
      <c r="DT5" s="3480">
        <v>109859</v>
      </c>
      <c r="DU5" s="3480" t="s">
        <v>3478</v>
      </c>
      <c r="DV5" s="3480">
        <v>111.55</v>
      </c>
      <c r="DW5" s="3480">
        <v>9625</v>
      </c>
      <c r="DX5" s="3480">
        <v>108615</v>
      </c>
      <c r="DY5" s="3480" t="s">
        <v>3479</v>
      </c>
      <c r="DZ5" s="3480">
        <v>116.75</v>
      </c>
      <c r="EA5" s="3480">
        <v>9457</v>
      </c>
      <c r="EB5" s="3480">
        <v>111343</v>
      </c>
      <c r="EC5" s="3480" t="s">
        <v>3433</v>
      </c>
      <c r="ED5" s="3480">
        <v>115.12</v>
      </c>
      <c r="EE5" s="3480">
        <v>9029</v>
      </c>
      <c r="EF5" s="3480">
        <v>103580</v>
      </c>
      <c r="EG5" s="3480" t="s">
        <v>3480</v>
      </c>
      <c r="EH5" s="3480" t="s">
        <v>633</v>
      </c>
      <c r="EI5" s="3480" t="s">
        <v>633</v>
      </c>
      <c r="EJ5" s="3480" t="s">
        <v>633</v>
      </c>
      <c r="EK5" s="3480" t="s">
        <v>633</v>
      </c>
      <c r="EL5" s="3480">
        <v>115.1</v>
      </c>
      <c r="EM5" s="3480">
        <v>8383</v>
      </c>
      <c r="EN5" s="3480">
        <v>103545</v>
      </c>
      <c r="EO5" s="3480" t="s">
        <v>3480</v>
      </c>
      <c r="EP5" s="3480">
        <v>108.64</v>
      </c>
      <c r="EQ5" s="3480">
        <v>8383</v>
      </c>
      <c r="ER5" s="3480">
        <v>94099</v>
      </c>
      <c r="ES5" s="3480" t="s">
        <v>3481</v>
      </c>
      <c r="ET5" s="3480">
        <v>98.97</v>
      </c>
      <c r="EU5" s="3480">
        <v>7653</v>
      </c>
      <c r="EV5" s="3480">
        <v>90725</v>
      </c>
      <c r="EW5" s="3480" t="s">
        <v>3482</v>
      </c>
      <c r="EX5" s="3480">
        <v>96.35</v>
      </c>
      <c r="EY5" s="3480">
        <v>7042</v>
      </c>
      <c r="EZ5" s="3480">
        <v>87847</v>
      </c>
      <c r="FA5" s="3480" t="s">
        <v>3427</v>
      </c>
      <c r="FB5" s="3480">
        <v>97.15</v>
      </c>
      <c r="FC5" s="3480">
        <v>6808</v>
      </c>
      <c r="FD5" s="3480">
        <v>88725</v>
      </c>
      <c r="FE5" s="3480" t="s">
        <v>3483</v>
      </c>
      <c r="FF5" s="3480">
        <v>94.77</v>
      </c>
      <c r="FG5" s="3480">
        <v>7475</v>
      </c>
      <c r="FH5" s="3480">
        <v>87979</v>
      </c>
      <c r="FI5" s="3480" t="s">
        <v>3423</v>
      </c>
      <c r="FJ5" s="3480">
        <v>97.21</v>
      </c>
      <c r="FK5" s="3480">
        <v>6620</v>
      </c>
      <c r="FL5" s="3480">
        <v>88109</v>
      </c>
      <c r="FM5" s="3480" t="s">
        <v>3484</v>
      </c>
      <c r="FN5" s="3480">
        <v>97.64</v>
      </c>
      <c r="FO5" s="3480">
        <v>7356</v>
      </c>
      <c r="FP5" s="3480">
        <v>88365</v>
      </c>
      <c r="FQ5" s="3480" t="s">
        <v>3459</v>
      </c>
      <c r="FR5" s="3480">
        <v>97.95</v>
      </c>
      <c r="FS5" s="3480">
        <v>6915</v>
      </c>
      <c r="FT5" s="3480">
        <v>85438</v>
      </c>
      <c r="FU5" s="3480" t="s">
        <v>3485</v>
      </c>
      <c r="FV5" s="3480">
        <v>98.48</v>
      </c>
      <c r="FW5" s="3480">
        <v>7275</v>
      </c>
      <c r="FX5" s="3480">
        <v>85156</v>
      </c>
      <c r="FY5" s="3480" t="s">
        <v>3486</v>
      </c>
      <c r="FZ5" s="3480">
        <v>99.15</v>
      </c>
      <c r="GA5" s="3480">
        <v>7612</v>
      </c>
      <c r="GB5" s="3480">
        <v>87447</v>
      </c>
      <c r="GC5" s="3480" t="s">
        <v>3457</v>
      </c>
      <c r="GD5" s="3480">
        <v>104.89</v>
      </c>
      <c r="GE5" s="3480">
        <v>7147</v>
      </c>
      <c r="GF5" s="3480">
        <v>90330</v>
      </c>
      <c r="GG5" s="3480" t="s">
        <v>3487</v>
      </c>
      <c r="GH5" s="3480">
        <v>106.63</v>
      </c>
      <c r="GI5" s="3480">
        <v>7080</v>
      </c>
      <c r="GJ5" s="3480">
        <v>87709</v>
      </c>
      <c r="GK5" s="3480" t="s">
        <v>3488</v>
      </c>
      <c r="GL5" s="3480">
        <v>104.37</v>
      </c>
      <c r="GM5" s="3480">
        <v>7759</v>
      </c>
      <c r="GN5" s="3480">
        <v>87329</v>
      </c>
      <c r="GO5" s="3480" t="s">
        <v>3489</v>
      </c>
      <c r="GP5" s="3480">
        <v>113.63</v>
      </c>
      <c r="GQ5" s="3480">
        <v>7594</v>
      </c>
      <c r="GR5" s="3480">
        <v>85704</v>
      </c>
      <c r="GS5" s="3480" t="s">
        <v>3490</v>
      </c>
      <c r="GT5" s="3480">
        <v>112.3</v>
      </c>
      <c r="GU5" s="3480">
        <v>7542</v>
      </c>
      <c r="GV5" s="3480">
        <v>86519</v>
      </c>
      <c r="GW5" s="3480" t="s">
        <v>3491</v>
      </c>
      <c r="GX5" s="3480">
        <v>112.63</v>
      </c>
      <c r="GY5" s="3480">
        <v>6983</v>
      </c>
      <c r="GZ5" s="3480">
        <v>85936</v>
      </c>
      <c r="HA5" s="3480" t="s">
        <v>3492</v>
      </c>
      <c r="HB5" s="3480">
        <v>112.84</v>
      </c>
      <c r="HC5" s="3480">
        <v>7513</v>
      </c>
      <c r="HD5" s="3480">
        <v>87313</v>
      </c>
      <c r="HE5" s="3480" t="s">
        <v>3493</v>
      </c>
      <c r="HF5" s="3480">
        <v>105.22</v>
      </c>
      <c r="HG5" s="3480">
        <v>7617</v>
      </c>
      <c r="HH5" s="3480">
        <v>86141</v>
      </c>
      <c r="HI5" s="3480" t="s">
        <v>3494</v>
      </c>
      <c r="HJ5" s="3480">
        <v>120.75</v>
      </c>
      <c r="HK5" s="3480">
        <v>7395</v>
      </c>
      <c r="HL5" s="3480">
        <v>87586</v>
      </c>
      <c r="HM5" s="3480" t="s">
        <v>3495</v>
      </c>
      <c r="HN5" s="3480">
        <v>110.24</v>
      </c>
      <c r="HO5" s="3480">
        <v>7485</v>
      </c>
      <c r="HP5" s="3480">
        <v>88737</v>
      </c>
      <c r="HQ5" s="3480" t="s">
        <v>3496</v>
      </c>
      <c r="HR5" s="3480">
        <v>110.08</v>
      </c>
      <c r="HS5" s="3480">
        <v>7449</v>
      </c>
      <c r="HT5" s="3480">
        <v>91482</v>
      </c>
      <c r="HU5" s="3480" t="s">
        <v>3497</v>
      </c>
      <c r="HV5" s="3480">
        <v>109.4</v>
      </c>
      <c r="HW5" s="3480">
        <v>8603</v>
      </c>
      <c r="HX5" s="3480">
        <v>96018</v>
      </c>
      <c r="HY5" s="3480" t="s">
        <v>3418</v>
      </c>
      <c r="HZ5" s="3480">
        <v>117.36</v>
      </c>
      <c r="IA5" s="3480">
        <v>9363</v>
      </c>
      <c r="IB5" s="3480">
        <v>92826</v>
      </c>
      <c r="IC5" s="3480" t="s">
        <v>3498</v>
      </c>
      <c r="ID5" s="3480">
        <v>115.76</v>
      </c>
      <c r="IE5" s="3480">
        <v>8769</v>
      </c>
      <c r="IF5" s="3480">
        <v>94068</v>
      </c>
      <c r="IG5" s="3480" t="s">
        <v>3499</v>
      </c>
      <c r="IH5" s="3480">
        <v>114.55</v>
      </c>
      <c r="II5" s="3480">
        <v>9013</v>
      </c>
      <c r="IJ5" s="3480">
        <v>92028</v>
      </c>
      <c r="IK5" s="3480" t="s">
        <v>3500</v>
      </c>
      <c r="IL5" s="3480">
        <v>113.03</v>
      </c>
      <c r="IM5" s="3480">
        <v>9302</v>
      </c>
      <c r="IN5" s="3480">
        <v>85169</v>
      </c>
      <c r="IO5" s="3480" t="s">
        <v>3490</v>
      </c>
      <c r="IP5" s="3480">
        <v>113</v>
      </c>
      <c r="IQ5" s="3480">
        <v>8592</v>
      </c>
      <c r="IR5" s="3480">
        <v>85080</v>
      </c>
      <c r="IS5" s="3480" t="s">
        <v>3501</v>
      </c>
      <c r="IT5" s="3480">
        <v>106.08</v>
      </c>
      <c r="IU5" s="3480">
        <v>7816</v>
      </c>
      <c r="IV5" s="3480">
        <v>88048</v>
      </c>
      <c r="IW5" s="3480" t="s">
        <v>3502</v>
      </c>
      <c r="IX5" s="3480">
        <v>104.29</v>
      </c>
      <c r="IY5" s="3480">
        <v>7265</v>
      </c>
      <c r="IZ5" s="3480">
        <v>106806</v>
      </c>
      <c r="JA5" s="3480" t="s">
        <v>3464</v>
      </c>
      <c r="JB5" s="3480">
        <v>103.86</v>
      </c>
      <c r="JC5" s="3480">
        <v>7299</v>
      </c>
      <c r="JD5" s="3480">
        <v>93697</v>
      </c>
      <c r="JE5" s="3480" t="s">
        <v>3503</v>
      </c>
      <c r="JF5" s="3480">
        <v>112.11</v>
      </c>
      <c r="JG5" s="3480">
        <v>8179</v>
      </c>
      <c r="JH5" s="3480">
        <v>102901</v>
      </c>
      <c r="JI5" s="3480" t="s">
        <v>3430</v>
      </c>
      <c r="JJ5" s="3480">
        <v>102.28</v>
      </c>
      <c r="JK5" s="3480">
        <v>7487</v>
      </c>
      <c r="JL5" s="3480">
        <v>117577</v>
      </c>
      <c r="JM5" s="3480" t="s">
        <v>3504</v>
      </c>
      <c r="JN5" s="3480">
        <v>91.75</v>
      </c>
      <c r="JO5" s="3480">
        <v>7694</v>
      </c>
      <c r="JP5" s="3480">
        <v>112919</v>
      </c>
      <c r="JQ5" s="3480" t="s">
        <v>3505</v>
      </c>
      <c r="JR5" s="3480">
        <v>96.16</v>
      </c>
      <c r="JS5" s="3480">
        <v>8277</v>
      </c>
      <c r="JT5" s="3480">
        <v>103486</v>
      </c>
      <c r="JU5" s="3480" t="s">
        <v>3466</v>
      </c>
      <c r="JV5" s="3480" t="s">
        <v>633</v>
      </c>
      <c r="JW5" s="3480" t="s">
        <v>633</v>
      </c>
      <c r="JX5" s="3480" t="s">
        <v>633</v>
      </c>
      <c r="JY5" s="3480" t="s">
        <v>633</v>
      </c>
      <c r="JZ5" s="3480" t="s">
        <v>633</v>
      </c>
      <c r="KA5" s="3480" t="s">
        <v>633</v>
      </c>
      <c r="KB5" s="3480" t="s">
        <v>633</v>
      </c>
      <c r="KC5" s="3480" t="s">
        <v>633</v>
      </c>
      <c r="KD5" s="3480">
        <v>95.4</v>
      </c>
      <c r="KE5" s="3480">
        <v>7835</v>
      </c>
      <c r="KF5" s="3480">
        <v>84937</v>
      </c>
      <c r="KG5" s="3480" t="s">
        <v>3506</v>
      </c>
      <c r="KH5" s="3480" t="s">
        <v>633</v>
      </c>
      <c r="KI5" s="3480" t="s">
        <v>633</v>
      </c>
      <c r="KJ5" s="3480" t="s">
        <v>633</v>
      </c>
      <c r="KK5" s="3480" t="s">
        <v>633</v>
      </c>
      <c r="KL5" s="3480">
        <v>93.37</v>
      </c>
      <c r="KM5" s="3480">
        <v>7077</v>
      </c>
      <c r="KN5" s="3480">
        <v>89121</v>
      </c>
      <c r="KO5" s="3480" t="s">
        <v>3433</v>
      </c>
      <c r="KP5" s="3480">
        <v>87.93</v>
      </c>
      <c r="KQ5" s="3480">
        <v>6607</v>
      </c>
      <c r="KR5" s="3480">
        <v>85062</v>
      </c>
      <c r="KS5" s="3480" t="s">
        <v>3449</v>
      </c>
    </row>
    <row r="6" spans="1:305">
      <c r="A6" s="3479" t="s">
        <v>3507</v>
      </c>
      <c r="B6" s="3479">
        <v>127.25</v>
      </c>
      <c r="C6" s="3479">
        <v>6959</v>
      </c>
      <c r="D6" s="3479">
        <v>102258</v>
      </c>
      <c r="E6" s="3479" t="s">
        <v>3508</v>
      </c>
      <c r="F6" s="3479">
        <v>125.77</v>
      </c>
      <c r="G6" s="3479">
        <v>6958</v>
      </c>
      <c r="H6" s="3479">
        <v>100740</v>
      </c>
      <c r="I6" s="3479" t="s">
        <v>3509</v>
      </c>
      <c r="J6" s="3479">
        <v>123.71</v>
      </c>
      <c r="K6" s="3479">
        <v>7181</v>
      </c>
      <c r="L6" s="3479">
        <v>102308</v>
      </c>
      <c r="M6" s="3479" t="s">
        <v>3510</v>
      </c>
      <c r="N6" s="3479">
        <v>124.22</v>
      </c>
      <c r="O6" s="3479">
        <v>7403</v>
      </c>
      <c r="P6" s="3479">
        <v>103399</v>
      </c>
      <c r="Q6" s="3479" t="s">
        <v>3511</v>
      </c>
      <c r="R6" s="3479">
        <v>120.02</v>
      </c>
      <c r="S6" s="3479">
        <v>7202</v>
      </c>
      <c r="T6" s="3479">
        <v>104515</v>
      </c>
      <c r="U6" s="3479" t="s">
        <v>3512</v>
      </c>
      <c r="V6" s="3479">
        <v>116.36</v>
      </c>
      <c r="W6" s="3479">
        <v>7169</v>
      </c>
      <c r="X6" s="3479">
        <v>106096</v>
      </c>
      <c r="Y6" s="3479" t="s">
        <v>3427</v>
      </c>
      <c r="Z6" s="3479">
        <v>119.07</v>
      </c>
      <c r="AA6" s="3479">
        <v>7345</v>
      </c>
      <c r="AB6" s="3479">
        <v>106960</v>
      </c>
      <c r="AC6" s="3479" t="s">
        <v>3513</v>
      </c>
      <c r="AD6" s="3479">
        <v>121.87</v>
      </c>
      <c r="AE6" s="3479">
        <v>8055</v>
      </c>
      <c r="AF6" s="3479">
        <v>105504</v>
      </c>
      <c r="AG6" s="3479" t="s">
        <v>3481</v>
      </c>
      <c r="AH6" s="3479">
        <v>116.39</v>
      </c>
      <c r="AI6" s="3479">
        <v>7721</v>
      </c>
      <c r="AJ6" s="3479">
        <v>106396</v>
      </c>
      <c r="AK6" s="3479" t="s">
        <v>3441</v>
      </c>
      <c r="AL6" s="3479">
        <v>113.15</v>
      </c>
      <c r="AM6" s="3479">
        <v>7664</v>
      </c>
      <c r="AN6" s="3479">
        <v>106467</v>
      </c>
      <c r="AO6" s="3479" t="s">
        <v>3514</v>
      </c>
      <c r="AP6" s="3479">
        <v>106.4</v>
      </c>
      <c r="AQ6" s="3479">
        <v>7589</v>
      </c>
      <c r="AR6" s="3479">
        <v>111738</v>
      </c>
      <c r="AS6" s="3479" t="s">
        <v>3515</v>
      </c>
      <c r="AT6" s="3479">
        <v>107.7</v>
      </c>
      <c r="AU6" s="3479">
        <v>7568</v>
      </c>
      <c r="AV6" s="3479">
        <v>109014</v>
      </c>
      <c r="AW6" s="3479" t="s">
        <v>3516</v>
      </c>
      <c r="AX6" s="3479">
        <v>107.37</v>
      </c>
      <c r="AY6" s="3479">
        <v>8016</v>
      </c>
      <c r="AZ6" s="3479">
        <v>108270</v>
      </c>
      <c r="BA6" s="3479" t="s">
        <v>3429</v>
      </c>
      <c r="BB6" s="3479">
        <v>108.2</v>
      </c>
      <c r="BC6" s="3479">
        <v>7956</v>
      </c>
      <c r="BD6" s="3479">
        <v>106524</v>
      </c>
      <c r="BE6" s="3479" t="s">
        <v>3437</v>
      </c>
      <c r="BF6" s="3479">
        <v>107.45</v>
      </c>
      <c r="BG6" s="3479">
        <v>7919</v>
      </c>
      <c r="BH6" s="3479">
        <v>106482</v>
      </c>
      <c r="BI6" s="3479" t="s">
        <v>3517</v>
      </c>
      <c r="BJ6" s="3479">
        <v>108.79</v>
      </c>
      <c r="BK6" s="3479">
        <v>7350</v>
      </c>
      <c r="BL6" s="3479">
        <v>106413</v>
      </c>
      <c r="BM6" s="3479" t="s">
        <v>3518</v>
      </c>
      <c r="BN6" s="3479">
        <v>112.35</v>
      </c>
      <c r="BO6" s="3479">
        <v>7307</v>
      </c>
      <c r="BP6" s="3479">
        <v>105894</v>
      </c>
      <c r="BQ6" s="3479" t="s">
        <v>3519</v>
      </c>
      <c r="BR6" s="3479">
        <v>112.71</v>
      </c>
      <c r="BS6" s="3479">
        <v>7021</v>
      </c>
      <c r="BT6" s="3479">
        <v>107630</v>
      </c>
      <c r="BU6" s="3479" t="s">
        <v>3520</v>
      </c>
      <c r="BV6" s="3479">
        <v>116.29</v>
      </c>
      <c r="BW6" s="3479">
        <v>8178</v>
      </c>
      <c r="BX6" s="3479">
        <v>108500</v>
      </c>
      <c r="BY6" s="3479" t="s">
        <v>3521</v>
      </c>
      <c r="BZ6" s="3479">
        <v>118.69</v>
      </c>
      <c r="CA6" s="3479">
        <v>7843</v>
      </c>
      <c r="CB6" s="3479">
        <v>110780</v>
      </c>
      <c r="CC6" s="3479" t="s">
        <v>3521</v>
      </c>
      <c r="CD6" s="3479">
        <v>120.27</v>
      </c>
      <c r="CE6" s="3479">
        <v>8373</v>
      </c>
      <c r="CF6" s="3479">
        <v>102134</v>
      </c>
      <c r="CG6" s="3479" t="s">
        <v>3522</v>
      </c>
      <c r="CH6" s="3479">
        <v>116.1</v>
      </c>
      <c r="CI6" s="3479">
        <v>7925</v>
      </c>
      <c r="CJ6" s="3479">
        <v>103229</v>
      </c>
      <c r="CK6" s="3479" t="s">
        <v>3523</v>
      </c>
      <c r="CL6" s="3479">
        <v>113.93</v>
      </c>
      <c r="CM6" s="3479">
        <v>8276</v>
      </c>
      <c r="CN6" s="3479">
        <v>108788</v>
      </c>
      <c r="CO6" s="3479" t="s">
        <v>3520</v>
      </c>
      <c r="CP6" s="3479">
        <v>112.07</v>
      </c>
      <c r="CQ6" s="3479">
        <v>8161</v>
      </c>
      <c r="CR6" s="3479">
        <v>109279</v>
      </c>
      <c r="CS6" s="3479" t="s">
        <v>3524</v>
      </c>
      <c r="CT6" s="3479">
        <v>112.01</v>
      </c>
      <c r="CU6" s="3479">
        <v>8110</v>
      </c>
      <c r="CV6" s="3479">
        <v>107275</v>
      </c>
      <c r="CW6" s="3479" t="s">
        <v>3525</v>
      </c>
      <c r="CX6" s="3479">
        <v>139.58000000000001</v>
      </c>
      <c r="CY6" s="3479">
        <v>6718</v>
      </c>
      <c r="CZ6" s="3479">
        <v>103308</v>
      </c>
      <c r="DA6" s="3479" t="s">
        <v>3526</v>
      </c>
      <c r="DB6" s="3479">
        <v>122.03</v>
      </c>
      <c r="DC6" s="3479">
        <v>7221</v>
      </c>
      <c r="DD6" s="3479">
        <v>102146</v>
      </c>
      <c r="DE6" s="3479" t="s">
        <v>3489</v>
      </c>
      <c r="DF6" s="3479">
        <v>112.13</v>
      </c>
      <c r="DG6" s="3479">
        <v>7590</v>
      </c>
      <c r="DH6" s="3479">
        <v>99440</v>
      </c>
      <c r="DI6" s="3479" t="s">
        <v>3527</v>
      </c>
      <c r="DJ6" s="3479">
        <v>115.85</v>
      </c>
      <c r="DK6" s="3479">
        <v>7832</v>
      </c>
      <c r="DL6" s="3479">
        <v>97956</v>
      </c>
      <c r="DM6" s="3479" t="s">
        <v>3528</v>
      </c>
      <c r="DN6" s="3479">
        <v>116.48</v>
      </c>
      <c r="DO6" s="3479">
        <v>7162</v>
      </c>
      <c r="DP6" s="3479">
        <v>99060</v>
      </c>
      <c r="DQ6" s="3479" t="s">
        <v>3529</v>
      </c>
      <c r="DR6" s="3479">
        <v>115.79</v>
      </c>
      <c r="DS6" s="3479">
        <v>7156</v>
      </c>
      <c r="DT6" s="3479">
        <v>98511</v>
      </c>
      <c r="DU6" s="3479" t="s">
        <v>3530</v>
      </c>
      <c r="DV6" s="3479">
        <v>114.71</v>
      </c>
      <c r="DW6" s="3479">
        <v>7360</v>
      </c>
      <c r="DX6" s="3479">
        <v>100154</v>
      </c>
      <c r="DY6" s="3479" t="s">
        <v>3531</v>
      </c>
      <c r="DZ6" s="3479">
        <v>106.89</v>
      </c>
      <c r="EA6" s="3479">
        <v>8017</v>
      </c>
      <c r="EB6" s="3479">
        <v>100831</v>
      </c>
      <c r="EC6" s="3479" t="s">
        <v>3519</v>
      </c>
      <c r="ED6" s="3479" t="s">
        <v>633</v>
      </c>
      <c r="EE6" s="3479" t="s">
        <v>633</v>
      </c>
      <c r="EF6" s="3479" t="s">
        <v>633</v>
      </c>
      <c r="EG6" s="3479" t="s">
        <v>633</v>
      </c>
      <c r="EH6" s="3479" t="s">
        <v>633</v>
      </c>
      <c r="EI6" s="3479" t="s">
        <v>633</v>
      </c>
      <c r="EJ6" s="3479" t="s">
        <v>633</v>
      </c>
      <c r="EK6" s="3479" t="s">
        <v>633</v>
      </c>
      <c r="EL6" s="3479">
        <v>106.82</v>
      </c>
      <c r="EM6" s="3479">
        <v>7567</v>
      </c>
      <c r="EN6" s="3479">
        <v>98860</v>
      </c>
      <c r="EO6" s="3479" t="s">
        <v>3532</v>
      </c>
      <c r="EP6" s="3479" t="s">
        <v>633</v>
      </c>
      <c r="EQ6" s="3479" t="s">
        <v>633</v>
      </c>
      <c r="ER6" s="3479" t="s">
        <v>633</v>
      </c>
      <c r="ES6" s="3479" t="s">
        <v>633</v>
      </c>
      <c r="ET6" s="3479">
        <v>87.48</v>
      </c>
      <c r="EU6" s="3479">
        <v>7686</v>
      </c>
      <c r="EV6" s="3479">
        <v>87579</v>
      </c>
      <c r="EW6" s="3479" t="s">
        <v>3533</v>
      </c>
      <c r="EX6" s="3479">
        <v>93.09</v>
      </c>
      <c r="EY6" s="3479">
        <v>7314</v>
      </c>
      <c r="EZ6" s="3479">
        <v>86268</v>
      </c>
      <c r="FA6" s="3479" t="s">
        <v>3534</v>
      </c>
      <c r="FB6" s="3479">
        <v>90.07</v>
      </c>
      <c r="FC6" s="3479">
        <v>7129</v>
      </c>
      <c r="FD6" s="3479">
        <v>87283</v>
      </c>
      <c r="FE6" s="3479" t="s">
        <v>3535</v>
      </c>
      <c r="FF6" s="3479">
        <v>100.18</v>
      </c>
      <c r="FG6" s="3479">
        <v>7886</v>
      </c>
      <c r="FH6" s="3479">
        <v>88720</v>
      </c>
      <c r="FI6" s="3479" t="s">
        <v>3536</v>
      </c>
      <c r="FJ6" s="3479" t="s">
        <v>633</v>
      </c>
      <c r="FK6" s="3479" t="s">
        <v>633</v>
      </c>
      <c r="FL6" s="3479" t="s">
        <v>633</v>
      </c>
      <c r="FM6" s="3479" t="s">
        <v>633</v>
      </c>
      <c r="FN6" s="3479">
        <v>98.72</v>
      </c>
      <c r="FO6" s="3479">
        <v>6775</v>
      </c>
      <c r="FP6" s="3479">
        <v>93451</v>
      </c>
      <c r="FQ6" s="3479" t="s">
        <v>3537</v>
      </c>
      <c r="FR6" s="3479">
        <v>97.75</v>
      </c>
      <c r="FS6" s="3479">
        <v>7050</v>
      </c>
      <c r="FT6" s="3479">
        <v>92984</v>
      </c>
      <c r="FU6" s="3479" t="s">
        <v>3538</v>
      </c>
      <c r="FV6" s="3479">
        <v>105.42</v>
      </c>
      <c r="FW6" s="3479">
        <v>7617</v>
      </c>
      <c r="FX6" s="3479">
        <v>96010</v>
      </c>
      <c r="FY6" s="3479" t="s">
        <v>3422</v>
      </c>
      <c r="FZ6" s="3479">
        <v>98.48</v>
      </c>
      <c r="GA6" s="3479">
        <v>7886</v>
      </c>
      <c r="GB6" s="3479">
        <v>96387</v>
      </c>
      <c r="GC6" s="3479" t="s">
        <v>3539</v>
      </c>
      <c r="GD6" s="3479">
        <v>109.75</v>
      </c>
      <c r="GE6" s="3479">
        <v>7770</v>
      </c>
      <c r="GF6" s="3479">
        <v>92452</v>
      </c>
      <c r="GG6" s="3479" t="s">
        <v>3540</v>
      </c>
      <c r="GH6" s="3479">
        <v>106.48</v>
      </c>
      <c r="GI6" s="3479">
        <v>8217</v>
      </c>
      <c r="GJ6" s="3479">
        <v>91206</v>
      </c>
      <c r="GK6" s="3479" t="s">
        <v>3439</v>
      </c>
      <c r="GL6" s="3479">
        <v>109.73</v>
      </c>
      <c r="GM6" s="3479">
        <v>8267</v>
      </c>
      <c r="GN6" s="3479">
        <v>91641</v>
      </c>
      <c r="GO6" s="3479" t="s">
        <v>3541</v>
      </c>
      <c r="GP6" s="3479">
        <v>110.42</v>
      </c>
      <c r="GQ6" s="3479">
        <v>9307</v>
      </c>
      <c r="GR6" s="3479">
        <v>91467</v>
      </c>
      <c r="GS6" s="3479" t="s">
        <v>3542</v>
      </c>
      <c r="GT6" s="3479">
        <v>116.23</v>
      </c>
      <c r="GU6" s="3479">
        <v>8593</v>
      </c>
      <c r="GV6" s="3479">
        <v>91578</v>
      </c>
      <c r="GW6" s="3479" t="s">
        <v>3543</v>
      </c>
      <c r="GX6" s="3479" t="s">
        <v>633</v>
      </c>
      <c r="GY6" s="3479" t="s">
        <v>633</v>
      </c>
      <c r="GZ6" s="3479" t="s">
        <v>633</v>
      </c>
      <c r="HA6" s="3479" t="s">
        <v>633</v>
      </c>
      <c r="HB6" s="3479">
        <v>116.38</v>
      </c>
      <c r="HC6" s="3479">
        <v>9000</v>
      </c>
      <c r="HD6" s="3479">
        <v>94476</v>
      </c>
      <c r="HE6" s="3479" t="s">
        <v>3544</v>
      </c>
      <c r="HF6" s="3479" t="s">
        <v>633</v>
      </c>
      <c r="HG6" s="3479" t="s">
        <v>633</v>
      </c>
      <c r="HH6" s="3479" t="s">
        <v>633</v>
      </c>
      <c r="HI6" s="3479" t="s">
        <v>633</v>
      </c>
      <c r="HJ6" s="3479" t="s">
        <v>633</v>
      </c>
      <c r="HK6" s="3479" t="s">
        <v>633</v>
      </c>
      <c r="HL6" s="3479" t="s">
        <v>633</v>
      </c>
      <c r="HM6" s="3479" t="s">
        <v>633</v>
      </c>
      <c r="HN6" s="3479" t="s">
        <v>633</v>
      </c>
      <c r="HO6" s="3479" t="s">
        <v>633</v>
      </c>
      <c r="HP6" s="3479" t="s">
        <v>633</v>
      </c>
      <c r="HQ6" s="3479" t="s">
        <v>633</v>
      </c>
      <c r="HR6" s="3479" t="s">
        <v>633</v>
      </c>
      <c r="HS6" s="3479" t="s">
        <v>633</v>
      </c>
      <c r="HT6" s="3479" t="s">
        <v>633</v>
      </c>
      <c r="HU6" s="3479" t="s">
        <v>633</v>
      </c>
      <c r="HV6" s="3479" t="s">
        <v>633</v>
      </c>
      <c r="HW6" s="3479" t="s">
        <v>633</v>
      </c>
      <c r="HX6" s="3479" t="s">
        <v>633</v>
      </c>
      <c r="HY6" s="3479" t="s">
        <v>633</v>
      </c>
      <c r="HZ6" s="3479" t="s">
        <v>633</v>
      </c>
      <c r="IA6" s="3479" t="s">
        <v>633</v>
      </c>
      <c r="IB6" s="3479" t="s">
        <v>633</v>
      </c>
      <c r="IC6" s="3479" t="s">
        <v>633</v>
      </c>
      <c r="ID6" s="3479" t="s">
        <v>633</v>
      </c>
      <c r="IE6" s="3479" t="s">
        <v>633</v>
      </c>
      <c r="IF6" s="3479" t="s">
        <v>633</v>
      </c>
      <c r="IG6" s="3479" t="s">
        <v>633</v>
      </c>
      <c r="IH6" s="3479" t="s">
        <v>633</v>
      </c>
      <c r="II6" s="3479" t="s">
        <v>633</v>
      </c>
      <c r="IJ6" s="3479" t="s">
        <v>633</v>
      </c>
      <c r="IK6" s="3479" t="s">
        <v>633</v>
      </c>
      <c r="IL6" s="3479" t="s">
        <v>633</v>
      </c>
      <c r="IM6" s="3479" t="s">
        <v>633</v>
      </c>
      <c r="IN6" s="3479" t="s">
        <v>633</v>
      </c>
      <c r="IO6" s="3479" t="s">
        <v>633</v>
      </c>
      <c r="IP6" s="3479" t="s">
        <v>633</v>
      </c>
      <c r="IQ6" s="3479" t="s">
        <v>633</v>
      </c>
      <c r="IR6" s="3479" t="s">
        <v>633</v>
      </c>
      <c r="IS6" s="3479" t="s">
        <v>633</v>
      </c>
      <c r="IT6" s="3479" t="s">
        <v>633</v>
      </c>
      <c r="IU6" s="3479" t="s">
        <v>633</v>
      </c>
      <c r="IV6" s="3479" t="s">
        <v>633</v>
      </c>
      <c r="IW6" s="3479" t="s">
        <v>633</v>
      </c>
      <c r="IX6" s="3479" t="s">
        <v>633</v>
      </c>
      <c r="IY6" s="3479" t="s">
        <v>633</v>
      </c>
      <c r="IZ6" s="3479" t="s">
        <v>633</v>
      </c>
      <c r="JA6" s="3479" t="s">
        <v>633</v>
      </c>
      <c r="JB6" s="3479" t="s">
        <v>633</v>
      </c>
      <c r="JC6" s="3479" t="s">
        <v>633</v>
      </c>
      <c r="JD6" s="3479" t="s">
        <v>633</v>
      </c>
      <c r="JE6" s="3479" t="s">
        <v>633</v>
      </c>
      <c r="JF6" s="3479" t="s">
        <v>633</v>
      </c>
      <c r="JG6" s="3479" t="s">
        <v>633</v>
      </c>
      <c r="JH6" s="3479" t="s">
        <v>633</v>
      </c>
      <c r="JI6" s="3479" t="s">
        <v>633</v>
      </c>
      <c r="JJ6" s="3479" t="s">
        <v>633</v>
      </c>
      <c r="JK6" s="3479" t="s">
        <v>633</v>
      </c>
      <c r="JL6" s="3479" t="s">
        <v>633</v>
      </c>
      <c r="JM6" s="3479" t="s">
        <v>633</v>
      </c>
      <c r="JN6" s="3479" t="s">
        <v>633</v>
      </c>
      <c r="JO6" s="3479" t="s">
        <v>633</v>
      </c>
      <c r="JP6" s="3479" t="s">
        <v>633</v>
      </c>
      <c r="JQ6" s="3479" t="s">
        <v>633</v>
      </c>
      <c r="JR6" s="3479" t="s">
        <v>633</v>
      </c>
      <c r="JS6" s="3479" t="s">
        <v>633</v>
      </c>
      <c r="JT6" s="3479" t="s">
        <v>633</v>
      </c>
      <c r="JU6" s="3479" t="s">
        <v>633</v>
      </c>
      <c r="JV6" s="3479" t="s">
        <v>633</v>
      </c>
      <c r="JW6" s="3479" t="s">
        <v>633</v>
      </c>
      <c r="JX6" s="3479" t="s">
        <v>633</v>
      </c>
      <c r="JY6" s="3479" t="s">
        <v>633</v>
      </c>
      <c r="JZ6" s="3479" t="s">
        <v>633</v>
      </c>
      <c r="KA6" s="3479" t="s">
        <v>633</v>
      </c>
      <c r="KB6" s="3479" t="s">
        <v>633</v>
      </c>
      <c r="KC6" s="3479" t="s">
        <v>633</v>
      </c>
      <c r="KD6" s="3479" t="s">
        <v>633</v>
      </c>
      <c r="KE6" s="3479" t="s">
        <v>633</v>
      </c>
      <c r="KF6" s="3479" t="s">
        <v>633</v>
      </c>
      <c r="KG6" s="3479" t="s">
        <v>633</v>
      </c>
      <c r="KH6" s="3479" t="s">
        <v>633</v>
      </c>
      <c r="KI6" s="3479" t="s">
        <v>633</v>
      </c>
      <c r="KJ6" s="3479" t="s">
        <v>633</v>
      </c>
      <c r="KK6" s="3479" t="s">
        <v>633</v>
      </c>
      <c r="KL6" s="3479" t="s">
        <v>633</v>
      </c>
      <c r="KM6" s="3479" t="s">
        <v>633</v>
      </c>
      <c r="KN6" s="3479" t="s">
        <v>633</v>
      </c>
      <c r="KO6" s="3479" t="s">
        <v>633</v>
      </c>
      <c r="KP6" s="3479" t="s">
        <v>633</v>
      </c>
      <c r="KQ6" s="3479" t="s">
        <v>633</v>
      </c>
      <c r="KR6" s="3479" t="s">
        <v>633</v>
      </c>
      <c r="KS6" s="3479" t="s">
        <v>633</v>
      </c>
    </row>
    <row r="7" spans="1:305">
      <c r="A7" s="3479" t="s">
        <v>3545</v>
      </c>
      <c r="B7" s="3479">
        <v>129.77000000000001</v>
      </c>
      <c r="C7" s="3479">
        <v>17323</v>
      </c>
      <c r="D7" s="3479">
        <v>134537</v>
      </c>
      <c r="E7" s="3479" t="s">
        <v>3546</v>
      </c>
      <c r="F7" s="3479">
        <v>129.87</v>
      </c>
      <c r="G7" s="3479">
        <v>16822</v>
      </c>
      <c r="H7" s="3479">
        <v>135615</v>
      </c>
      <c r="I7" s="3479" t="s">
        <v>3434</v>
      </c>
      <c r="J7" s="3479">
        <v>132.63</v>
      </c>
      <c r="K7" s="3479">
        <v>16535</v>
      </c>
      <c r="L7" s="3479">
        <v>137222</v>
      </c>
      <c r="M7" s="3479" t="s">
        <v>3547</v>
      </c>
      <c r="N7" s="3479">
        <v>129.02000000000001</v>
      </c>
      <c r="O7" s="3479">
        <v>17179</v>
      </c>
      <c r="P7" s="3479">
        <v>137214</v>
      </c>
      <c r="Q7" s="3479" t="s">
        <v>3548</v>
      </c>
      <c r="R7" s="3479">
        <v>130.63</v>
      </c>
      <c r="S7" s="3479">
        <v>15688</v>
      </c>
      <c r="T7" s="3479">
        <v>136820</v>
      </c>
      <c r="U7" s="3479" t="s">
        <v>3549</v>
      </c>
      <c r="V7" s="3479">
        <v>134.35</v>
      </c>
      <c r="W7" s="3479">
        <v>17147</v>
      </c>
      <c r="X7" s="3479">
        <v>135645</v>
      </c>
      <c r="Y7" s="3479" t="s">
        <v>3450</v>
      </c>
      <c r="Z7" s="3479">
        <v>138.43</v>
      </c>
      <c r="AA7" s="3479">
        <v>17753</v>
      </c>
      <c r="AB7" s="3479">
        <v>140899</v>
      </c>
      <c r="AC7" s="3479" t="s">
        <v>3550</v>
      </c>
      <c r="AD7" s="3479">
        <v>143.69</v>
      </c>
      <c r="AE7" s="3479">
        <v>18066</v>
      </c>
      <c r="AF7" s="3479">
        <v>138903</v>
      </c>
      <c r="AG7" s="3479" t="s">
        <v>3449</v>
      </c>
      <c r="AH7" s="3479">
        <v>150.6</v>
      </c>
      <c r="AI7" s="3479">
        <v>19650</v>
      </c>
      <c r="AJ7" s="3479">
        <v>139897</v>
      </c>
      <c r="AK7" s="3479" t="s">
        <v>3551</v>
      </c>
      <c r="AL7" s="3479">
        <v>143.05000000000001</v>
      </c>
      <c r="AM7" s="3479">
        <v>15222</v>
      </c>
      <c r="AN7" s="3479">
        <v>140530</v>
      </c>
      <c r="AO7" s="3479" t="s">
        <v>3446</v>
      </c>
      <c r="AP7" s="3479">
        <v>145.54</v>
      </c>
      <c r="AQ7" s="3479">
        <v>14440</v>
      </c>
      <c r="AR7" s="3479">
        <v>144053</v>
      </c>
      <c r="AS7" s="3479" t="s">
        <v>3552</v>
      </c>
      <c r="AT7" s="3479">
        <v>143.87</v>
      </c>
      <c r="AU7" s="3479">
        <v>13550</v>
      </c>
      <c r="AV7" s="3479">
        <v>140092</v>
      </c>
      <c r="AW7" s="3479" t="s">
        <v>3479</v>
      </c>
      <c r="AX7" s="3479">
        <v>143.34</v>
      </c>
      <c r="AY7" s="3479">
        <v>14836</v>
      </c>
      <c r="AZ7" s="3479">
        <v>137738</v>
      </c>
      <c r="BA7" s="3479" t="s">
        <v>3444</v>
      </c>
      <c r="BB7" s="3479">
        <v>144.87</v>
      </c>
      <c r="BC7" s="3479">
        <v>15133</v>
      </c>
      <c r="BD7" s="3479">
        <v>133813</v>
      </c>
      <c r="BE7" s="3479" t="s">
        <v>3428</v>
      </c>
      <c r="BF7" s="3479">
        <v>143.38</v>
      </c>
      <c r="BG7" s="3479">
        <v>14018</v>
      </c>
      <c r="BH7" s="3479">
        <v>126791</v>
      </c>
      <c r="BI7" s="3479" t="s">
        <v>3553</v>
      </c>
      <c r="BJ7" s="3479">
        <v>145.28</v>
      </c>
      <c r="BK7" s="3479">
        <v>14625</v>
      </c>
      <c r="BL7" s="3479">
        <v>131590</v>
      </c>
      <c r="BM7" s="3479" t="s">
        <v>3484</v>
      </c>
      <c r="BN7" s="3479">
        <v>140.72999999999999</v>
      </c>
      <c r="BO7" s="3479">
        <v>16017</v>
      </c>
      <c r="BP7" s="3479">
        <v>133192</v>
      </c>
      <c r="BQ7" s="3479" t="s">
        <v>3554</v>
      </c>
      <c r="BR7" s="3479">
        <v>139.24</v>
      </c>
      <c r="BS7" s="3479">
        <v>15279</v>
      </c>
      <c r="BT7" s="3479">
        <v>131609</v>
      </c>
      <c r="BU7" s="3479" t="s">
        <v>3462</v>
      </c>
      <c r="BV7" s="3479">
        <v>141.86000000000001</v>
      </c>
      <c r="BW7" s="3479">
        <v>15940</v>
      </c>
      <c r="BX7" s="3479">
        <v>129381</v>
      </c>
      <c r="BY7" s="3479" t="s">
        <v>3427</v>
      </c>
      <c r="BZ7" s="3479">
        <v>143.91999999999999</v>
      </c>
      <c r="CA7" s="3479">
        <v>12946</v>
      </c>
      <c r="CB7" s="3479">
        <v>123058</v>
      </c>
      <c r="CC7" s="3479" t="s">
        <v>3555</v>
      </c>
      <c r="CD7" s="3479">
        <v>142.34</v>
      </c>
      <c r="CE7" s="3479">
        <v>13540</v>
      </c>
      <c r="CF7" s="3479">
        <v>129371</v>
      </c>
      <c r="CG7" s="3479" t="s">
        <v>3556</v>
      </c>
      <c r="CH7" s="3479">
        <v>132.88</v>
      </c>
      <c r="CI7" s="3479">
        <v>15057</v>
      </c>
      <c r="CJ7" s="3479">
        <v>130431</v>
      </c>
      <c r="CK7" s="3479" t="s">
        <v>3446</v>
      </c>
      <c r="CL7" s="3479">
        <v>128.94</v>
      </c>
      <c r="CM7" s="3479">
        <v>15245</v>
      </c>
      <c r="CN7" s="3479">
        <v>133905</v>
      </c>
      <c r="CO7" s="3479" t="s">
        <v>3557</v>
      </c>
      <c r="CP7" s="3479">
        <v>131.33000000000001</v>
      </c>
      <c r="CQ7" s="3479">
        <v>15056</v>
      </c>
      <c r="CR7" s="3479">
        <v>128724</v>
      </c>
      <c r="CS7" s="3479" t="s">
        <v>3448</v>
      </c>
      <c r="CT7" s="3479">
        <v>128.30000000000001</v>
      </c>
      <c r="CU7" s="3479">
        <v>15276</v>
      </c>
      <c r="CV7" s="3479">
        <v>131543</v>
      </c>
      <c r="CW7" s="3479" t="s">
        <v>3558</v>
      </c>
      <c r="CX7" s="3479">
        <v>120.1</v>
      </c>
      <c r="CY7" s="3479">
        <v>11075</v>
      </c>
      <c r="CZ7" s="3479">
        <v>129740</v>
      </c>
      <c r="DA7" s="3479" t="s">
        <v>3436</v>
      </c>
      <c r="DB7" s="3479">
        <v>117.82</v>
      </c>
      <c r="DC7" s="3479">
        <v>10883</v>
      </c>
      <c r="DD7" s="3479">
        <v>128312</v>
      </c>
      <c r="DE7" s="3479" t="s">
        <v>3559</v>
      </c>
      <c r="DF7" s="3479">
        <v>120.93</v>
      </c>
      <c r="DG7" s="3479">
        <v>12944</v>
      </c>
      <c r="DH7" s="3479">
        <v>127685</v>
      </c>
      <c r="DI7" s="3479" t="s">
        <v>3560</v>
      </c>
      <c r="DJ7" s="3479">
        <v>105.82</v>
      </c>
      <c r="DK7" s="3479">
        <v>12920</v>
      </c>
      <c r="DL7" s="3479">
        <v>126537</v>
      </c>
      <c r="DM7" s="3479" t="s">
        <v>3561</v>
      </c>
      <c r="DN7" s="3479">
        <v>92.69</v>
      </c>
      <c r="DO7" s="3479">
        <v>13867</v>
      </c>
      <c r="DP7" s="3479">
        <v>126695</v>
      </c>
      <c r="DQ7" s="3479" t="s">
        <v>3562</v>
      </c>
      <c r="DR7" s="3479">
        <v>105.51</v>
      </c>
      <c r="DS7" s="3479">
        <v>15520</v>
      </c>
      <c r="DT7" s="3479">
        <v>126015</v>
      </c>
      <c r="DU7" s="3479" t="s">
        <v>3563</v>
      </c>
      <c r="DV7" s="3479">
        <v>91.04</v>
      </c>
      <c r="DW7" s="3479">
        <v>13133</v>
      </c>
      <c r="DX7" s="3479">
        <v>126357</v>
      </c>
      <c r="DY7" s="3479" t="s">
        <v>3564</v>
      </c>
      <c r="DZ7" s="3479">
        <v>120.86</v>
      </c>
      <c r="EA7" s="3479">
        <v>16294</v>
      </c>
      <c r="EB7" s="3479">
        <v>126199</v>
      </c>
      <c r="EC7" s="3479" t="s">
        <v>3434</v>
      </c>
      <c r="ED7" s="3479">
        <v>121.62</v>
      </c>
      <c r="EE7" s="3479">
        <v>14905</v>
      </c>
      <c r="EF7" s="3479">
        <v>121105</v>
      </c>
      <c r="EG7" s="3479" t="s">
        <v>3565</v>
      </c>
      <c r="EH7" s="3479">
        <v>122.44</v>
      </c>
      <c r="EI7" s="3479">
        <v>15077</v>
      </c>
      <c r="EJ7" s="3479">
        <v>119506</v>
      </c>
      <c r="EK7" s="3479" t="s">
        <v>3566</v>
      </c>
      <c r="EL7" s="3479">
        <v>122.77</v>
      </c>
      <c r="EM7" s="3479">
        <v>15633</v>
      </c>
      <c r="EN7" s="3479">
        <v>119620</v>
      </c>
      <c r="EO7" s="3479" t="s">
        <v>3479</v>
      </c>
      <c r="EP7" s="3479">
        <v>107.8</v>
      </c>
      <c r="EQ7" s="3479">
        <v>12303</v>
      </c>
      <c r="ER7" s="3479">
        <v>120194</v>
      </c>
      <c r="ES7" s="3479" t="s">
        <v>3401</v>
      </c>
      <c r="ET7" s="3479">
        <v>105.94</v>
      </c>
      <c r="EU7" s="3479">
        <v>11221</v>
      </c>
      <c r="EV7" s="3479">
        <v>118391</v>
      </c>
      <c r="EW7" s="3479" t="s">
        <v>3567</v>
      </c>
      <c r="EX7" s="3479">
        <v>100.92</v>
      </c>
      <c r="EY7" s="3479">
        <v>11580</v>
      </c>
      <c r="EZ7" s="3479">
        <v>114813</v>
      </c>
      <c r="FA7" s="3479" t="s">
        <v>3568</v>
      </c>
      <c r="FB7" s="3479">
        <v>105.64</v>
      </c>
      <c r="FC7" s="3479">
        <v>11081</v>
      </c>
      <c r="FD7" s="3479">
        <v>111646</v>
      </c>
      <c r="FE7" s="3479" t="s">
        <v>3473</v>
      </c>
      <c r="FF7" s="3479">
        <v>101.91</v>
      </c>
      <c r="FG7" s="3479">
        <v>10818</v>
      </c>
      <c r="FH7" s="3479">
        <v>111505</v>
      </c>
      <c r="FI7" s="3479" t="s">
        <v>3569</v>
      </c>
      <c r="FJ7" s="3479">
        <v>101.76</v>
      </c>
      <c r="FK7" s="3479">
        <v>11276</v>
      </c>
      <c r="FL7" s="3479">
        <v>110801</v>
      </c>
      <c r="FM7" s="3479" t="s">
        <v>3559</v>
      </c>
      <c r="FN7" s="3479">
        <v>102.72</v>
      </c>
      <c r="FO7" s="3479">
        <v>11124</v>
      </c>
      <c r="FP7" s="3479">
        <v>112165</v>
      </c>
      <c r="FQ7" s="3479" t="s">
        <v>3570</v>
      </c>
      <c r="FR7" s="3479">
        <v>103.79</v>
      </c>
      <c r="FS7" s="3479">
        <v>11741</v>
      </c>
      <c r="FT7" s="3479">
        <v>111103</v>
      </c>
      <c r="FU7" s="3479" t="s">
        <v>3571</v>
      </c>
      <c r="FV7" s="3479">
        <v>98.36</v>
      </c>
      <c r="FW7" s="3479">
        <v>11103</v>
      </c>
      <c r="FX7" s="3479">
        <v>113347</v>
      </c>
      <c r="FY7" s="3479" t="s">
        <v>3411</v>
      </c>
      <c r="FZ7" s="3479">
        <v>104.2</v>
      </c>
      <c r="GA7" s="3479">
        <v>11628</v>
      </c>
      <c r="GB7" s="3479">
        <v>113771</v>
      </c>
      <c r="GC7" s="3479" t="s">
        <v>3570</v>
      </c>
      <c r="GD7" s="3479">
        <v>106.45</v>
      </c>
      <c r="GE7" s="3479">
        <v>11553</v>
      </c>
      <c r="GF7" s="3479">
        <v>111738</v>
      </c>
      <c r="GG7" s="3479" t="s">
        <v>3515</v>
      </c>
      <c r="GH7" s="3479">
        <v>106.43</v>
      </c>
      <c r="GI7" s="3479">
        <v>11312</v>
      </c>
      <c r="GJ7" s="3479">
        <v>110838</v>
      </c>
      <c r="GK7" s="3479" t="s">
        <v>3572</v>
      </c>
      <c r="GL7" s="3479">
        <v>102.4</v>
      </c>
      <c r="GM7" s="3479">
        <v>11085</v>
      </c>
      <c r="GN7" s="3479">
        <v>113744</v>
      </c>
      <c r="GO7" s="3479" t="s">
        <v>3573</v>
      </c>
      <c r="GP7" s="3479">
        <v>101.05</v>
      </c>
      <c r="GQ7" s="3479">
        <v>10431</v>
      </c>
      <c r="GR7" s="3479">
        <v>112258</v>
      </c>
      <c r="GS7" s="3479" t="s">
        <v>3573</v>
      </c>
      <c r="GT7" s="3479">
        <v>101.57</v>
      </c>
      <c r="GU7" s="3479">
        <v>10483</v>
      </c>
      <c r="GV7" s="3479">
        <v>111123</v>
      </c>
      <c r="GW7" s="3479" t="s">
        <v>3569</v>
      </c>
      <c r="GX7" s="3479">
        <v>96.21</v>
      </c>
      <c r="GY7" s="3479">
        <v>10600</v>
      </c>
      <c r="GZ7" s="3479">
        <v>112185</v>
      </c>
      <c r="HA7" s="3479" t="s">
        <v>3413</v>
      </c>
      <c r="HB7" s="3479">
        <v>104.66</v>
      </c>
      <c r="HC7" s="3479">
        <v>10808</v>
      </c>
      <c r="HD7" s="3479">
        <v>111446</v>
      </c>
      <c r="HE7" s="3479" t="s">
        <v>3574</v>
      </c>
      <c r="HF7" s="3479">
        <v>105.45</v>
      </c>
      <c r="HG7" s="3479">
        <v>10945</v>
      </c>
      <c r="HH7" s="3479">
        <v>111993</v>
      </c>
      <c r="HI7" s="3479" t="s">
        <v>3575</v>
      </c>
      <c r="HJ7" s="3479">
        <v>102.08</v>
      </c>
      <c r="HK7" s="3479">
        <v>10900</v>
      </c>
      <c r="HL7" s="3479">
        <v>113345</v>
      </c>
      <c r="HM7" s="3479" t="s">
        <v>3576</v>
      </c>
      <c r="HN7" s="3479">
        <v>106.98</v>
      </c>
      <c r="HO7" s="3479">
        <v>11211</v>
      </c>
      <c r="HP7" s="3479">
        <v>111747</v>
      </c>
      <c r="HQ7" s="3479" t="s">
        <v>3474</v>
      </c>
      <c r="HR7" s="3479">
        <v>107.52</v>
      </c>
      <c r="HS7" s="3479">
        <v>11303</v>
      </c>
      <c r="HT7" s="3479">
        <v>113478</v>
      </c>
      <c r="HU7" s="3479" t="s">
        <v>3577</v>
      </c>
      <c r="HV7" s="3479">
        <v>106.87</v>
      </c>
      <c r="HW7" s="3479">
        <v>11252</v>
      </c>
      <c r="HX7" s="3479">
        <v>113869</v>
      </c>
      <c r="HY7" s="3479" t="s">
        <v>3574</v>
      </c>
      <c r="HZ7" s="3479">
        <v>106.22</v>
      </c>
      <c r="IA7" s="3479">
        <v>11741</v>
      </c>
      <c r="IB7" s="3479">
        <v>115212</v>
      </c>
      <c r="IC7" s="3479" t="s">
        <v>3578</v>
      </c>
      <c r="ID7" s="3479">
        <v>104.92</v>
      </c>
      <c r="IE7" s="3479">
        <v>11621</v>
      </c>
      <c r="IF7" s="3479">
        <v>114005</v>
      </c>
      <c r="IG7" s="3479" t="s">
        <v>3579</v>
      </c>
      <c r="IH7" s="3479">
        <v>104.68</v>
      </c>
      <c r="II7" s="3479">
        <v>10419</v>
      </c>
      <c r="IJ7" s="3479">
        <v>112423</v>
      </c>
      <c r="IK7" s="3479" t="s">
        <v>3472</v>
      </c>
      <c r="IL7" s="3479">
        <v>104.96</v>
      </c>
      <c r="IM7" s="3479">
        <v>10473</v>
      </c>
      <c r="IN7" s="3479">
        <v>113695</v>
      </c>
      <c r="IO7" s="3479" t="s">
        <v>3580</v>
      </c>
      <c r="IP7" s="3479">
        <v>111.27</v>
      </c>
      <c r="IQ7" s="3479">
        <v>10310</v>
      </c>
      <c r="IR7" s="3479">
        <v>114990</v>
      </c>
      <c r="IS7" s="3479" t="s">
        <v>3581</v>
      </c>
      <c r="IT7" s="3479">
        <v>114.31</v>
      </c>
      <c r="IU7" s="3479">
        <v>10475</v>
      </c>
      <c r="IV7" s="3479">
        <v>115627</v>
      </c>
      <c r="IW7" s="3479" t="s">
        <v>3516</v>
      </c>
      <c r="IX7" s="3479">
        <v>107.89</v>
      </c>
      <c r="IY7" s="3479">
        <v>10218</v>
      </c>
      <c r="IZ7" s="3479">
        <v>114410</v>
      </c>
      <c r="JA7" s="3479" t="s">
        <v>3415</v>
      </c>
      <c r="JB7" s="3479">
        <v>106.1</v>
      </c>
      <c r="JC7" s="3479">
        <v>10011</v>
      </c>
      <c r="JD7" s="3479">
        <v>112909</v>
      </c>
      <c r="JE7" s="3479" t="s">
        <v>3548</v>
      </c>
      <c r="JF7" s="3479">
        <v>108.04</v>
      </c>
      <c r="JG7" s="3479">
        <v>10274</v>
      </c>
      <c r="JH7" s="3479">
        <v>113013</v>
      </c>
      <c r="JI7" s="3479" t="s">
        <v>3582</v>
      </c>
      <c r="JJ7" s="3479">
        <v>106.13</v>
      </c>
      <c r="JK7" s="3479">
        <v>10376</v>
      </c>
      <c r="JL7" s="3479">
        <v>113790</v>
      </c>
      <c r="JM7" s="3479" t="s">
        <v>3583</v>
      </c>
      <c r="JN7" s="3479">
        <v>106.14</v>
      </c>
      <c r="JO7" s="3479">
        <v>10501</v>
      </c>
      <c r="JP7" s="3479">
        <v>113846</v>
      </c>
      <c r="JQ7" s="3479" t="s">
        <v>3584</v>
      </c>
      <c r="JR7" s="3479">
        <v>103.78</v>
      </c>
      <c r="JS7" s="3479">
        <v>9000</v>
      </c>
      <c r="JT7" s="3479">
        <v>111710</v>
      </c>
      <c r="JU7" s="3479" t="s">
        <v>3466</v>
      </c>
      <c r="JV7" s="3479">
        <v>110.25</v>
      </c>
      <c r="JW7" s="3479">
        <v>10222</v>
      </c>
      <c r="JX7" s="3479">
        <v>106964</v>
      </c>
      <c r="JY7" s="3479" t="s">
        <v>3585</v>
      </c>
      <c r="JZ7" s="3479">
        <v>109.84</v>
      </c>
      <c r="KA7" s="3479">
        <v>10489</v>
      </c>
      <c r="KB7" s="3479">
        <v>103657</v>
      </c>
      <c r="KC7" s="3479" t="s">
        <v>3586</v>
      </c>
      <c r="KD7" s="3479">
        <v>106.38</v>
      </c>
      <c r="KE7" s="3479">
        <v>9426</v>
      </c>
      <c r="KF7" s="3479">
        <v>101984</v>
      </c>
      <c r="KG7" s="3479" t="s">
        <v>3425</v>
      </c>
      <c r="KH7" s="3479">
        <v>100.05</v>
      </c>
      <c r="KI7" s="3479">
        <v>10189</v>
      </c>
      <c r="KJ7" s="3479">
        <v>106194</v>
      </c>
      <c r="KK7" s="3479" t="s">
        <v>3587</v>
      </c>
      <c r="KL7" s="3479">
        <v>98.53</v>
      </c>
      <c r="KM7" s="3479">
        <v>9150</v>
      </c>
      <c r="KN7" s="3479">
        <v>105286</v>
      </c>
      <c r="KO7" s="3479" t="s">
        <v>3588</v>
      </c>
      <c r="KP7" s="3479">
        <v>90.18</v>
      </c>
      <c r="KQ7" s="3479">
        <v>8791</v>
      </c>
      <c r="KR7" s="3479">
        <v>106162</v>
      </c>
      <c r="KS7" s="3479" t="s">
        <v>3589</v>
      </c>
    </row>
    <row r="10" spans="1:305">
      <c r="A10" s="3477" t="s">
        <v>3590</v>
      </c>
      <c r="B10" s="3478">
        <v>45383.333831018521</v>
      </c>
      <c r="C10" s="3477"/>
      <c r="D10" s="3477"/>
      <c r="E10" s="3477"/>
      <c r="F10" s="3478">
        <v>45352.333831018521</v>
      </c>
      <c r="G10" s="3477"/>
      <c r="H10" s="3477"/>
      <c r="I10" s="3477"/>
      <c r="J10" s="3478">
        <v>45323.333831018521</v>
      </c>
      <c r="K10" s="3477"/>
      <c r="L10" s="3477"/>
      <c r="M10" s="3477"/>
      <c r="N10" s="3478">
        <v>45292.333831018521</v>
      </c>
      <c r="O10" s="3477"/>
      <c r="P10" s="3477"/>
      <c r="Q10" s="3477"/>
      <c r="R10" s="3478">
        <v>45261.333831018521</v>
      </c>
      <c r="S10" s="3477"/>
      <c r="T10" s="3477"/>
      <c r="U10" s="3477"/>
      <c r="V10" s="3478">
        <v>45231.333831018521</v>
      </c>
      <c r="W10" s="3477"/>
      <c r="X10" s="3477"/>
      <c r="Y10" s="3477"/>
      <c r="Z10" s="3478">
        <v>45200.333831018521</v>
      </c>
      <c r="AA10" s="3477"/>
      <c r="AB10" s="3477"/>
      <c r="AC10" s="3477"/>
      <c r="AD10" s="3478">
        <v>45170.333831018521</v>
      </c>
      <c r="AE10" s="3477"/>
      <c r="AF10" s="3477"/>
      <c r="AG10" s="3477"/>
      <c r="AH10" s="3478">
        <v>45139.333831018521</v>
      </c>
      <c r="AI10" s="3477"/>
      <c r="AJ10" s="3477"/>
      <c r="AK10" s="3477"/>
      <c r="AL10" s="3478">
        <v>45108.333831018521</v>
      </c>
      <c r="AM10" s="3477"/>
      <c r="AN10" s="3477"/>
      <c r="AO10" s="3477"/>
      <c r="AP10" s="3478">
        <v>45078.333831018521</v>
      </c>
      <c r="AQ10" s="3477"/>
      <c r="AR10" s="3477"/>
      <c r="AS10" s="3477"/>
      <c r="AT10" s="3478">
        <v>45047.333831018521</v>
      </c>
      <c r="AU10" s="3477"/>
      <c r="AV10" s="3477"/>
      <c r="AW10" s="3477"/>
      <c r="AX10" s="3478">
        <v>45017.333831018521</v>
      </c>
      <c r="AY10" s="3477"/>
      <c r="AZ10" s="3477"/>
      <c r="BA10" s="3477"/>
      <c r="BB10" s="3478">
        <v>44986.333831018521</v>
      </c>
      <c r="BC10" s="3477"/>
      <c r="BD10" s="3477"/>
      <c r="BE10" s="3477"/>
      <c r="BF10" s="3478">
        <v>44958.333831018521</v>
      </c>
      <c r="BG10" s="3477"/>
      <c r="BH10" s="3477"/>
      <c r="BI10" s="3477"/>
      <c r="BJ10" s="3478">
        <v>44927.333831018521</v>
      </c>
      <c r="BK10" s="3477"/>
      <c r="BL10" s="3477"/>
      <c r="BM10" s="3477"/>
      <c r="BN10" s="3478">
        <v>44896.333831018521</v>
      </c>
      <c r="BO10" s="3477"/>
      <c r="BP10" s="3477"/>
      <c r="BQ10" s="3477"/>
      <c r="BR10" s="3478">
        <v>44866.333831018521</v>
      </c>
      <c r="BS10" s="3477"/>
      <c r="BT10" s="3477"/>
      <c r="BU10" s="3477"/>
      <c r="BV10" s="3478">
        <v>44835.333831018521</v>
      </c>
      <c r="BW10" s="3477"/>
      <c r="BX10" s="3477"/>
      <c r="BY10" s="3477"/>
      <c r="BZ10" s="3478">
        <v>44805.333831018521</v>
      </c>
      <c r="CA10" s="3477"/>
      <c r="CB10" s="3477"/>
      <c r="CC10" s="3477"/>
      <c r="CD10" s="3478">
        <v>44774.333831018521</v>
      </c>
      <c r="CE10" s="3477"/>
      <c r="CF10" s="3477"/>
      <c r="CG10" s="3477"/>
      <c r="CH10" s="3478">
        <v>44743.333831018521</v>
      </c>
      <c r="CI10" s="3477"/>
      <c r="CJ10" s="3477"/>
      <c r="CK10" s="3477"/>
      <c r="CL10" s="3478">
        <v>44713.333831018521</v>
      </c>
      <c r="CM10" s="3477"/>
      <c r="CN10" s="3477"/>
      <c r="CO10" s="3477"/>
      <c r="CP10" s="3478">
        <v>44682.333831018521</v>
      </c>
      <c r="CQ10" s="3477"/>
      <c r="CR10" s="3477"/>
      <c r="CS10" s="3477"/>
      <c r="CT10" s="3478">
        <v>44652.333831018521</v>
      </c>
      <c r="CU10" s="3477"/>
      <c r="CV10" s="3477"/>
      <c r="CW10" s="3477"/>
      <c r="CX10" s="3478">
        <v>44621.333831018521</v>
      </c>
      <c r="CY10" s="3477"/>
      <c r="CZ10" s="3477"/>
      <c r="DA10" s="3477"/>
      <c r="DB10" s="3478">
        <v>44593.333831018521</v>
      </c>
      <c r="DC10" s="3477"/>
      <c r="DD10" s="3477"/>
      <c r="DE10" s="3477"/>
      <c r="DF10" s="3478">
        <v>44562.333831018521</v>
      </c>
      <c r="DG10" s="3477"/>
      <c r="DH10" s="3477"/>
      <c r="DI10" s="3477"/>
      <c r="DJ10" s="3478">
        <v>44531.333831018521</v>
      </c>
      <c r="DK10" s="3477"/>
      <c r="DL10" s="3477"/>
      <c r="DM10" s="3477"/>
      <c r="DN10" s="3478">
        <v>44501.333831018521</v>
      </c>
      <c r="DO10" s="3477"/>
      <c r="DP10" s="3477"/>
      <c r="DQ10" s="3477"/>
      <c r="DR10" s="3478">
        <v>44470.333831018521</v>
      </c>
      <c r="DS10" s="3477"/>
      <c r="DT10" s="3477"/>
      <c r="DU10" s="3477"/>
      <c r="DV10" s="3478">
        <v>44440.333831018521</v>
      </c>
      <c r="DW10" s="3477"/>
      <c r="DX10" s="3477"/>
      <c r="DY10" s="3477"/>
      <c r="DZ10" s="3478">
        <v>44409.333831018521</v>
      </c>
      <c r="EA10" s="3477"/>
      <c r="EB10" s="3477"/>
      <c r="EC10" s="3477"/>
      <c r="ED10" s="3478">
        <v>44378.333831018521</v>
      </c>
      <c r="EE10" s="3477"/>
      <c r="EF10" s="3477"/>
      <c r="EG10" s="3477"/>
      <c r="EH10" s="3478">
        <v>44348.333831018521</v>
      </c>
      <c r="EI10" s="3477"/>
      <c r="EJ10" s="3477"/>
      <c r="EK10" s="3477"/>
      <c r="EL10" s="3478">
        <v>44317.333831018521</v>
      </c>
      <c r="EM10" s="3477"/>
      <c r="EN10" s="3477"/>
      <c r="EO10" s="3477"/>
      <c r="EP10" s="3478">
        <v>44287.333831018521</v>
      </c>
      <c r="EQ10" s="3477"/>
      <c r="ER10" s="3477"/>
      <c r="ES10" s="3477"/>
      <c r="ET10" s="3478">
        <v>44256.333831018521</v>
      </c>
      <c r="EU10" s="3477"/>
      <c r="EV10" s="3477"/>
      <c r="EW10" s="3477"/>
      <c r="EX10" s="3478">
        <v>44228.333831018521</v>
      </c>
      <c r="EY10" s="3477"/>
      <c r="EZ10" s="3477"/>
      <c r="FA10" s="3477"/>
      <c r="FB10" s="3478">
        <v>44197.333831018521</v>
      </c>
      <c r="FC10" s="3477"/>
      <c r="FD10" s="3477"/>
      <c r="FE10" s="3477"/>
      <c r="FF10" s="3478">
        <v>44166.333831018521</v>
      </c>
      <c r="FG10" s="3477"/>
      <c r="FH10" s="3477"/>
      <c r="FI10" s="3477"/>
      <c r="FJ10" s="3478">
        <v>44136.333831018521</v>
      </c>
      <c r="FK10" s="3477"/>
      <c r="FL10" s="3477"/>
      <c r="FM10" s="3477"/>
      <c r="FN10" s="3478">
        <v>44105.333831018521</v>
      </c>
      <c r="FO10" s="3477"/>
      <c r="FP10" s="3477"/>
      <c r="FQ10" s="3477"/>
      <c r="FR10" s="3478">
        <v>44075.333831018521</v>
      </c>
      <c r="FS10" s="3477"/>
      <c r="FT10" s="3477"/>
      <c r="FU10" s="3477"/>
      <c r="FV10" s="3478">
        <v>44044.333831018521</v>
      </c>
      <c r="FW10" s="3477"/>
      <c r="FX10" s="3477"/>
      <c r="FY10" s="3477"/>
      <c r="FZ10" s="3478">
        <v>44013.333831018521</v>
      </c>
      <c r="GA10" s="3477"/>
      <c r="GB10" s="3477"/>
      <c r="GC10" s="3477"/>
      <c r="GD10" s="3478">
        <v>43983.333831018521</v>
      </c>
      <c r="GE10" s="3477"/>
      <c r="GF10" s="3477"/>
      <c r="GG10" s="3477"/>
      <c r="GH10" s="3478">
        <v>43952.333831018521</v>
      </c>
      <c r="GI10" s="3477"/>
      <c r="GJ10" s="3477"/>
      <c r="GK10" s="3477"/>
      <c r="GL10" s="3478">
        <v>43922.333831018521</v>
      </c>
      <c r="GM10" s="3477"/>
      <c r="GN10" s="3477"/>
      <c r="GO10" s="3477"/>
      <c r="GP10" s="3478">
        <v>43891.333831018521</v>
      </c>
      <c r="GQ10" s="3477"/>
      <c r="GR10" s="3477"/>
      <c r="GS10" s="3477"/>
      <c r="GT10" s="3478">
        <v>43862.333831018521</v>
      </c>
      <c r="GU10" s="3477"/>
      <c r="GV10" s="3477"/>
      <c r="GW10" s="3477"/>
      <c r="GX10" s="3478">
        <v>43831.333831018521</v>
      </c>
      <c r="GY10" s="3477"/>
      <c r="GZ10" s="3477"/>
      <c r="HA10" s="3477"/>
      <c r="HB10" s="3478">
        <v>43800.333831018521</v>
      </c>
      <c r="HC10" s="3477"/>
      <c r="HD10" s="3477"/>
      <c r="HE10" s="3477"/>
      <c r="HF10" s="3478">
        <v>43770.333831018521</v>
      </c>
      <c r="HG10" s="3477"/>
      <c r="HH10" s="3477"/>
      <c r="HI10" s="3477"/>
      <c r="HJ10" s="3478">
        <v>43739.333831018521</v>
      </c>
      <c r="HK10" s="3477"/>
      <c r="HL10" s="3477"/>
      <c r="HM10" s="3477"/>
      <c r="HN10" s="3478">
        <v>43709.333831018521</v>
      </c>
      <c r="HO10" s="3477"/>
      <c r="HP10" s="3477"/>
      <c r="HQ10" s="3477"/>
      <c r="HR10" s="3478">
        <v>43678.333831018521</v>
      </c>
      <c r="HS10" s="3477"/>
      <c r="HT10" s="3477"/>
      <c r="HU10" s="3477"/>
      <c r="HV10" s="3478">
        <v>43647.333831018521</v>
      </c>
      <c r="HW10" s="3477"/>
      <c r="HX10" s="3477"/>
      <c r="HY10" s="3477"/>
      <c r="HZ10" s="3478">
        <v>43617.333831018521</v>
      </c>
      <c r="IA10" s="3477"/>
      <c r="IB10" s="3477"/>
      <c r="IC10" s="3477"/>
      <c r="ID10" s="3478">
        <v>43586.333831018521</v>
      </c>
      <c r="IE10" s="3477"/>
      <c r="IF10" s="3477"/>
      <c r="IG10" s="3477"/>
      <c r="IH10" s="3478">
        <v>43556.333831018521</v>
      </c>
      <c r="II10" s="3477"/>
      <c r="IJ10" s="3477"/>
      <c r="IK10" s="3477"/>
      <c r="IL10" s="3478">
        <v>43525.333831018521</v>
      </c>
      <c r="IM10" s="3477"/>
      <c r="IN10" s="3477"/>
      <c r="IO10" s="3477"/>
      <c r="IP10" s="3478">
        <v>43497.333831018521</v>
      </c>
      <c r="IQ10" s="3477"/>
      <c r="IR10" s="3477"/>
      <c r="IS10" s="3477"/>
      <c r="IT10" s="3478">
        <v>43466.333831018521</v>
      </c>
      <c r="IU10" s="3477"/>
      <c r="IV10" s="3477"/>
      <c r="IW10" s="3477"/>
      <c r="IX10" s="3478">
        <v>43435.333831018521</v>
      </c>
      <c r="IY10" s="3477"/>
      <c r="IZ10" s="3477"/>
      <c r="JA10" s="3477"/>
      <c r="JB10" s="3478">
        <v>43405.333831018521</v>
      </c>
      <c r="JC10" s="3477"/>
      <c r="JD10" s="3477"/>
      <c r="JE10" s="3477"/>
      <c r="JF10" s="3478">
        <v>43374.333831018521</v>
      </c>
      <c r="JG10" s="3477"/>
      <c r="JH10" s="3477"/>
      <c r="JI10" s="3477"/>
      <c r="JJ10" s="3478">
        <v>43344.333831018521</v>
      </c>
      <c r="JK10" s="3477"/>
      <c r="JL10" s="3477"/>
      <c r="JM10" s="3477"/>
      <c r="JN10" s="3478">
        <v>43313.333831018521</v>
      </c>
      <c r="JO10" s="3477"/>
      <c r="JP10" s="3477"/>
      <c r="JQ10" s="3477"/>
      <c r="JR10" s="3478">
        <v>43282.333831018521</v>
      </c>
      <c r="JS10" s="3477"/>
      <c r="JT10" s="3477"/>
      <c r="JU10" s="3477"/>
      <c r="JV10" s="3478">
        <v>43252.333831018521</v>
      </c>
      <c r="JW10" s="3477"/>
      <c r="JX10" s="3477"/>
      <c r="JY10" s="3477"/>
      <c r="JZ10" s="3478">
        <v>43221.333831018521</v>
      </c>
      <c r="KA10" s="3477"/>
      <c r="KB10" s="3477"/>
      <c r="KC10" s="3477"/>
      <c r="KD10" s="3478">
        <v>43191.333831018521</v>
      </c>
      <c r="KE10" s="3477"/>
      <c r="KF10" s="3477"/>
      <c r="KG10" s="3477"/>
      <c r="KH10" s="3478">
        <v>43160.333831018521</v>
      </c>
      <c r="KI10" s="3477"/>
      <c r="KJ10" s="3477"/>
      <c r="KK10" s="3477"/>
      <c r="KL10" s="3478">
        <v>43132.333831018521</v>
      </c>
      <c r="KM10" s="3477"/>
      <c r="KN10" s="3477"/>
      <c r="KO10" s="3477"/>
      <c r="KP10" s="3478">
        <v>43101.333831018521</v>
      </c>
      <c r="KQ10" s="3477"/>
      <c r="KR10" s="3477"/>
      <c r="KS10" s="3477"/>
    </row>
    <row r="11" spans="1:305">
      <c r="A11" s="3477"/>
      <c r="B11" s="3479" t="s">
        <v>3393</v>
      </c>
      <c r="C11" s="3479" t="s">
        <v>3394</v>
      </c>
      <c r="D11" s="3479" t="s">
        <v>3395</v>
      </c>
      <c r="E11" s="3479" t="s">
        <v>3396</v>
      </c>
      <c r="F11" s="3479" t="s">
        <v>3393</v>
      </c>
      <c r="G11" s="3479" t="s">
        <v>3394</v>
      </c>
      <c r="H11" s="3479" t="s">
        <v>3395</v>
      </c>
      <c r="I11" s="3479" t="s">
        <v>3396</v>
      </c>
      <c r="J11" s="3479" t="s">
        <v>3393</v>
      </c>
      <c r="K11" s="3479" t="s">
        <v>3394</v>
      </c>
      <c r="L11" s="3479" t="s">
        <v>3395</v>
      </c>
      <c r="M11" s="3479" t="s">
        <v>3396</v>
      </c>
      <c r="N11" s="3479" t="s">
        <v>3393</v>
      </c>
      <c r="O11" s="3479" t="s">
        <v>3394</v>
      </c>
      <c r="P11" s="3479" t="s">
        <v>3395</v>
      </c>
      <c r="Q11" s="3479" t="s">
        <v>3396</v>
      </c>
      <c r="R11" s="3479" t="s">
        <v>3393</v>
      </c>
      <c r="S11" s="3479" t="s">
        <v>3394</v>
      </c>
      <c r="T11" s="3479" t="s">
        <v>3395</v>
      </c>
      <c r="U11" s="3479" t="s">
        <v>3396</v>
      </c>
      <c r="V11" s="3479" t="s">
        <v>3393</v>
      </c>
      <c r="W11" s="3479" t="s">
        <v>3394</v>
      </c>
      <c r="X11" s="3479" t="s">
        <v>3395</v>
      </c>
      <c r="Y11" s="3479" t="s">
        <v>3396</v>
      </c>
      <c r="Z11" s="3479" t="s">
        <v>3393</v>
      </c>
      <c r="AA11" s="3479" t="s">
        <v>3394</v>
      </c>
      <c r="AB11" s="3479" t="s">
        <v>3395</v>
      </c>
      <c r="AC11" s="3479" t="s">
        <v>3396</v>
      </c>
      <c r="AD11" s="3479" t="s">
        <v>3393</v>
      </c>
      <c r="AE11" s="3479" t="s">
        <v>3394</v>
      </c>
      <c r="AF11" s="3479" t="s">
        <v>3395</v>
      </c>
      <c r="AG11" s="3479" t="s">
        <v>3396</v>
      </c>
      <c r="AH11" s="3479" t="s">
        <v>3393</v>
      </c>
      <c r="AI11" s="3479" t="s">
        <v>3394</v>
      </c>
      <c r="AJ11" s="3479" t="s">
        <v>3395</v>
      </c>
      <c r="AK11" s="3479" t="s">
        <v>3396</v>
      </c>
      <c r="AL11" s="3479" t="s">
        <v>3393</v>
      </c>
      <c r="AM11" s="3479" t="s">
        <v>3394</v>
      </c>
      <c r="AN11" s="3479" t="s">
        <v>3395</v>
      </c>
      <c r="AO11" s="3479" t="s">
        <v>3396</v>
      </c>
      <c r="AP11" s="3479" t="s">
        <v>3393</v>
      </c>
      <c r="AQ11" s="3479" t="s">
        <v>3394</v>
      </c>
      <c r="AR11" s="3479" t="s">
        <v>3395</v>
      </c>
      <c r="AS11" s="3479" t="s">
        <v>3396</v>
      </c>
      <c r="AT11" s="3479" t="s">
        <v>3393</v>
      </c>
      <c r="AU11" s="3479" t="s">
        <v>3394</v>
      </c>
      <c r="AV11" s="3479" t="s">
        <v>3395</v>
      </c>
      <c r="AW11" s="3479" t="s">
        <v>3396</v>
      </c>
      <c r="AX11" s="3479" t="s">
        <v>3393</v>
      </c>
      <c r="AY11" s="3479" t="s">
        <v>3394</v>
      </c>
      <c r="AZ11" s="3479" t="s">
        <v>3395</v>
      </c>
      <c r="BA11" s="3479" t="s">
        <v>3396</v>
      </c>
      <c r="BB11" s="3479" t="s">
        <v>3393</v>
      </c>
      <c r="BC11" s="3479" t="s">
        <v>3394</v>
      </c>
      <c r="BD11" s="3479" t="s">
        <v>3395</v>
      </c>
      <c r="BE11" s="3479" t="s">
        <v>3396</v>
      </c>
      <c r="BF11" s="3479" t="s">
        <v>3393</v>
      </c>
      <c r="BG11" s="3479" t="s">
        <v>3394</v>
      </c>
      <c r="BH11" s="3479" t="s">
        <v>3395</v>
      </c>
      <c r="BI11" s="3479" t="s">
        <v>3396</v>
      </c>
      <c r="BJ11" s="3479" t="s">
        <v>3393</v>
      </c>
      <c r="BK11" s="3479" t="s">
        <v>3394</v>
      </c>
      <c r="BL11" s="3479" t="s">
        <v>3395</v>
      </c>
      <c r="BM11" s="3479" t="s">
        <v>3396</v>
      </c>
      <c r="BN11" s="3479" t="s">
        <v>3393</v>
      </c>
      <c r="BO11" s="3479" t="s">
        <v>3394</v>
      </c>
      <c r="BP11" s="3479" t="s">
        <v>3395</v>
      </c>
      <c r="BQ11" s="3479" t="s">
        <v>3396</v>
      </c>
      <c r="BR11" s="3479" t="s">
        <v>3393</v>
      </c>
      <c r="BS11" s="3479" t="s">
        <v>3394</v>
      </c>
      <c r="BT11" s="3479" t="s">
        <v>3395</v>
      </c>
      <c r="BU11" s="3479" t="s">
        <v>3396</v>
      </c>
      <c r="BV11" s="3479" t="s">
        <v>3393</v>
      </c>
      <c r="BW11" s="3479" t="s">
        <v>3394</v>
      </c>
      <c r="BX11" s="3479" t="s">
        <v>3395</v>
      </c>
      <c r="BY11" s="3479" t="s">
        <v>3396</v>
      </c>
      <c r="BZ11" s="3479" t="s">
        <v>3393</v>
      </c>
      <c r="CA11" s="3479" t="s">
        <v>3394</v>
      </c>
      <c r="CB11" s="3479" t="s">
        <v>3395</v>
      </c>
      <c r="CC11" s="3479" t="s">
        <v>3396</v>
      </c>
      <c r="CD11" s="3479" t="s">
        <v>3393</v>
      </c>
      <c r="CE11" s="3479" t="s">
        <v>3394</v>
      </c>
      <c r="CF11" s="3479" t="s">
        <v>3395</v>
      </c>
      <c r="CG11" s="3479" t="s">
        <v>3396</v>
      </c>
      <c r="CH11" s="3479" t="s">
        <v>3393</v>
      </c>
      <c r="CI11" s="3479" t="s">
        <v>3394</v>
      </c>
      <c r="CJ11" s="3479" t="s">
        <v>3395</v>
      </c>
      <c r="CK11" s="3479" t="s">
        <v>3396</v>
      </c>
      <c r="CL11" s="3479" t="s">
        <v>3393</v>
      </c>
      <c r="CM11" s="3479" t="s">
        <v>3394</v>
      </c>
      <c r="CN11" s="3479" t="s">
        <v>3395</v>
      </c>
      <c r="CO11" s="3479" t="s">
        <v>3396</v>
      </c>
      <c r="CP11" s="3479" t="s">
        <v>3393</v>
      </c>
      <c r="CQ11" s="3479" t="s">
        <v>3394</v>
      </c>
      <c r="CR11" s="3479" t="s">
        <v>3395</v>
      </c>
      <c r="CS11" s="3479" t="s">
        <v>3396</v>
      </c>
      <c r="CT11" s="3479" t="s">
        <v>3393</v>
      </c>
      <c r="CU11" s="3479" t="s">
        <v>3394</v>
      </c>
      <c r="CV11" s="3479" t="s">
        <v>3395</v>
      </c>
      <c r="CW11" s="3479" t="s">
        <v>3396</v>
      </c>
      <c r="CX11" s="3479" t="s">
        <v>3393</v>
      </c>
      <c r="CY11" s="3479" t="s">
        <v>3394</v>
      </c>
      <c r="CZ11" s="3479" t="s">
        <v>3395</v>
      </c>
      <c r="DA11" s="3479" t="s">
        <v>3396</v>
      </c>
      <c r="DB11" s="3479" t="s">
        <v>3393</v>
      </c>
      <c r="DC11" s="3479" t="s">
        <v>3394</v>
      </c>
      <c r="DD11" s="3479" t="s">
        <v>3395</v>
      </c>
      <c r="DE11" s="3479" t="s">
        <v>3396</v>
      </c>
      <c r="DF11" s="3479" t="s">
        <v>3393</v>
      </c>
      <c r="DG11" s="3479" t="s">
        <v>3394</v>
      </c>
      <c r="DH11" s="3479" t="s">
        <v>3395</v>
      </c>
      <c r="DI11" s="3479" t="s">
        <v>3396</v>
      </c>
      <c r="DJ11" s="3479" t="s">
        <v>3393</v>
      </c>
      <c r="DK11" s="3479" t="s">
        <v>3394</v>
      </c>
      <c r="DL11" s="3479" t="s">
        <v>3395</v>
      </c>
      <c r="DM11" s="3479" t="s">
        <v>3396</v>
      </c>
      <c r="DN11" s="3479" t="s">
        <v>3393</v>
      </c>
      <c r="DO11" s="3479" t="s">
        <v>3394</v>
      </c>
      <c r="DP11" s="3479" t="s">
        <v>3395</v>
      </c>
      <c r="DQ11" s="3479" t="s">
        <v>3396</v>
      </c>
      <c r="DR11" s="3479" t="s">
        <v>3393</v>
      </c>
      <c r="DS11" s="3479" t="s">
        <v>3394</v>
      </c>
      <c r="DT11" s="3479" t="s">
        <v>3395</v>
      </c>
      <c r="DU11" s="3479" t="s">
        <v>3396</v>
      </c>
      <c r="DV11" s="3479" t="s">
        <v>3393</v>
      </c>
      <c r="DW11" s="3479" t="s">
        <v>3394</v>
      </c>
      <c r="DX11" s="3479" t="s">
        <v>3395</v>
      </c>
      <c r="DY11" s="3479" t="s">
        <v>3396</v>
      </c>
      <c r="DZ11" s="3479" t="s">
        <v>3393</v>
      </c>
      <c r="EA11" s="3479" t="s">
        <v>3394</v>
      </c>
      <c r="EB11" s="3479" t="s">
        <v>3395</v>
      </c>
      <c r="EC11" s="3479" t="s">
        <v>3396</v>
      </c>
      <c r="ED11" s="3479" t="s">
        <v>3393</v>
      </c>
      <c r="EE11" s="3479" t="s">
        <v>3394</v>
      </c>
      <c r="EF11" s="3479" t="s">
        <v>3395</v>
      </c>
      <c r="EG11" s="3479" t="s">
        <v>3396</v>
      </c>
      <c r="EH11" s="3479" t="s">
        <v>3393</v>
      </c>
      <c r="EI11" s="3479" t="s">
        <v>3394</v>
      </c>
      <c r="EJ11" s="3479" t="s">
        <v>3395</v>
      </c>
      <c r="EK11" s="3479" t="s">
        <v>3396</v>
      </c>
      <c r="EL11" s="3479" t="s">
        <v>3393</v>
      </c>
      <c r="EM11" s="3479" t="s">
        <v>3394</v>
      </c>
      <c r="EN11" s="3479" t="s">
        <v>3395</v>
      </c>
      <c r="EO11" s="3479" t="s">
        <v>3396</v>
      </c>
      <c r="EP11" s="3479" t="s">
        <v>3393</v>
      </c>
      <c r="EQ11" s="3479" t="s">
        <v>3394</v>
      </c>
      <c r="ER11" s="3479" t="s">
        <v>3395</v>
      </c>
      <c r="ES11" s="3479" t="s">
        <v>3396</v>
      </c>
      <c r="ET11" s="3479" t="s">
        <v>3393</v>
      </c>
      <c r="EU11" s="3479" t="s">
        <v>3394</v>
      </c>
      <c r="EV11" s="3479" t="s">
        <v>3395</v>
      </c>
      <c r="EW11" s="3479" t="s">
        <v>3396</v>
      </c>
      <c r="EX11" s="3479" t="s">
        <v>3393</v>
      </c>
      <c r="EY11" s="3479" t="s">
        <v>3394</v>
      </c>
      <c r="EZ11" s="3479" t="s">
        <v>3395</v>
      </c>
      <c r="FA11" s="3479" t="s">
        <v>3396</v>
      </c>
      <c r="FB11" s="3479" t="s">
        <v>3393</v>
      </c>
      <c r="FC11" s="3479" t="s">
        <v>3394</v>
      </c>
      <c r="FD11" s="3479" t="s">
        <v>3395</v>
      </c>
      <c r="FE11" s="3479" t="s">
        <v>3396</v>
      </c>
      <c r="FF11" s="3479" t="s">
        <v>3393</v>
      </c>
      <c r="FG11" s="3479" t="s">
        <v>3394</v>
      </c>
      <c r="FH11" s="3479" t="s">
        <v>3395</v>
      </c>
      <c r="FI11" s="3479" t="s">
        <v>3396</v>
      </c>
      <c r="FJ11" s="3479" t="s">
        <v>3393</v>
      </c>
      <c r="FK11" s="3479" t="s">
        <v>3394</v>
      </c>
      <c r="FL11" s="3479" t="s">
        <v>3395</v>
      </c>
      <c r="FM11" s="3479" t="s">
        <v>3396</v>
      </c>
      <c r="FN11" s="3479" t="s">
        <v>3393</v>
      </c>
      <c r="FO11" s="3479" t="s">
        <v>3394</v>
      </c>
      <c r="FP11" s="3479" t="s">
        <v>3395</v>
      </c>
      <c r="FQ11" s="3479" t="s">
        <v>3396</v>
      </c>
      <c r="FR11" s="3479" t="s">
        <v>3393</v>
      </c>
      <c r="FS11" s="3479" t="s">
        <v>3394</v>
      </c>
      <c r="FT11" s="3479" t="s">
        <v>3395</v>
      </c>
      <c r="FU11" s="3479" t="s">
        <v>3396</v>
      </c>
      <c r="FV11" s="3479" t="s">
        <v>3393</v>
      </c>
      <c r="FW11" s="3479" t="s">
        <v>3394</v>
      </c>
      <c r="FX11" s="3479" t="s">
        <v>3395</v>
      </c>
      <c r="FY11" s="3479" t="s">
        <v>3396</v>
      </c>
      <c r="FZ11" s="3479" t="s">
        <v>3393</v>
      </c>
      <c r="GA11" s="3479" t="s">
        <v>3394</v>
      </c>
      <c r="GB11" s="3479" t="s">
        <v>3395</v>
      </c>
      <c r="GC11" s="3479" t="s">
        <v>3396</v>
      </c>
      <c r="GD11" s="3479" t="s">
        <v>3393</v>
      </c>
      <c r="GE11" s="3479" t="s">
        <v>3394</v>
      </c>
      <c r="GF11" s="3479" t="s">
        <v>3395</v>
      </c>
      <c r="GG11" s="3479" t="s">
        <v>3396</v>
      </c>
      <c r="GH11" s="3479" t="s">
        <v>3393</v>
      </c>
      <c r="GI11" s="3479" t="s">
        <v>3394</v>
      </c>
      <c r="GJ11" s="3479" t="s">
        <v>3395</v>
      </c>
      <c r="GK11" s="3479" t="s">
        <v>3396</v>
      </c>
      <c r="GL11" s="3479" t="s">
        <v>3393</v>
      </c>
      <c r="GM11" s="3479" t="s">
        <v>3394</v>
      </c>
      <c r="GN11" s="3479" t="s">
        <v>3395</v>
      </c>
      <c r="GO11" s="3479" t="s">
        <v>3396</v>
      </c>
      <c r="GP11" s="3479" t="s">
        <v>3393</v>
      </c>
      <c r="GQ11" s="3479" t="s">
        <v>3394</v>
      </c>
      <c r="GR11" s="3479" t="s">
        <v>3395</v>
      </c>
      <c r="GS11" s="3479" t="s">
        <v>3396</v>
      </c>
      <c r="GT11" s="3479" t="s">
        <v>3393</v>
      </c>
      <c r="GU11" s="3479" t="s">
        <v>3394</v>
      </c>
      <c r="GV11" s="3479" t="s">
        <v>3395</v>
      </c>
      <c r="GW11" s="3479" t="s">
        <v>3396</v>
      </c>
      <c r="GX11" s="3479" t="s">
        <v>3393</v>
      </c>
      <c r="GY11" s="3479" t="s">
        <v>3394</v>
      </c>
      <c r="GZ11" s="3479" t="s">
        <v>3395</v>
      </c>
      <c r="HA11" s="3479" t="s">
        <v>3396</v>
      </c>
      <c r="HB11" s="3479" t="s">
        <v>3393</v>
      </c>
      <c r="HC11" s="3479" t="s">
        <v>3394</v>
      </c>
      <c r="HD11" s="3479" t="s">
        <v>3395</v>
      </c>
      <c r="HE11" s="3479" t="s">
        <v>3396</v>
      </c>
      <c r="HF11" s="3479" t="s">
        <v>3393</v>
      </c>
      <c r="HG11" s="3479" t="s">
        <v>3394</v>
      </c>
      <c r="HH11" s="3479" t="s">
        <v>3395</v>
      </c>
      <c r="HI11" s="3479" t="s">
        <v>3396</v>
      </c>
      <c r="HJ11" s="3479" t="s">
        <v>3393</v>
      </c>
      <c r="HK11" s="3479" t="s">
        <v>3394</v>
      </c>
      <c r="HL11" s="3479" t="s">
        <v>3395</v>
      </c>
      <c r="HM11" s="3479" t="s">
        <v>3396</v>
      </c>
      <c r="HN11" s="3479" t="s">
        <v>3393</v>
      </c>
      <c r="HO11" s="3479" t="s">
        <v>3394</v>
      </c>
      <c r="HP11" s="3479" t="s">
        <v>3395</v>
      </c>
      <c r="HQ11" s="3479" t="s">
        <v>3396</v>
      </c>
      <c r="HR11" s="3479" t="s">
        <v>3393</v>
      </c>
      <c r="HS11" s="3479" t="s">
        <v>3394</v>
      </c>
      <c r="HT11" s="3479" t="s">
        <v>3395</v>
      </c>
      <c r="HU11" s="3479" t="s">
        <v>3396</v>
      </c>
      <c r="HV11" s="3479" t="s">
        <v>3393</v>
      </c>
      <c r="HW11" s="3479" t="s">
        <v>3394</v>
      </c>
      <c r="HX11" s="3479" t="s">
        <v>3395</v>
      </c>
      <c r="HY11" s="3479" t="s">
        <v>3396</v>
      </c>
      <c r="HZ11" s="3479" t="s">
        <v>3393</v>
      </c>
      <c r="IA11" s="3479" t="s">
        <v>3394</v>
      </c>
      <c r="IB11" s="3479" t="s">
        <v>3395</v>
      </c>
      <c r="IC11" s="3479" t="s">
        <v>3396</v>
      </c>
      <c r="ID11" s="3479" t="s">
        <v>3393</v>
      </c>
      <c r="IE11" s="3479" t="s">
        <v>3394</v>
      </c>
      <c r="IF11" s="3479" t="s">
        <v>3395</v>
      </c>
      <c r="IG11" s="3479" t="s">
        <v>3396</v>
      </c>
      <c r="IH11" s="3479" t="s">
        <v>3393</v>
      </c>
      <c r="II11" s="3479" t="s">
        <v>3394</v>
      </c>
      <c r="IJ11" s="3479" t="s">
        <v>3395</v>
      </c>
      <c r="IK11" s="3479" t="s">
        <v>3396</v>
      </c>
      <c r="IL11" s="3479" t="s">
        <v>3393</v>
      </c>
      <c r="IM11" s="3479" t="s">
        <v>3394</v>
      </c>
      <c r="IN11" s="3479" t="s">
        <v>3395</v>
      </c>
      <c r="IO11" s="3479" t="s">
        <v>3396</v>
      </c>
      <c r="IP11" s="3479" t="s">
        <v>3393</v>
      </c>
      <c r="IQ11" s="3479" t="s">
        <v>3394</v>
      </c>
      <c r="IR11" s="3479" t="s">
        <v>3395</v>
      </c>
      <c r="IS11" s="3479" t="s">
        <v>3396</v>
      </c>
      <c r="IT11" s="3479" t="s">
        <v>3393</v>
      </c>
      <c r="IU11" s="3479" t="s">
        <v>3394</v>
      </c>
      <c r="IV11" s="3479" t="s">
        <v>3395</v>
      </c>
      <c r="IW11" s="3479" t="s">
        <v>3396</v>
      </c>
      <c r="IX11" s="3479" t="s">
        <v>3393</v>
      </c>
      <c r="IY11" s="3479" t="s">
        <v>3394</v>
      </c>
      <c r="IZ11" s="3479" t="s">
        <v>3395</v>
      </c>
      <c r="JA11" s="3479" t="s">
        <v>3396</v>
      </c>
      <c r="JB11" s="3479" t="s">
        <v>3393</v>
      </c>
      <c r="JC11" s="3479" t="s">
        <v>3394</v>
      </c>
      <c r="JD11" s="3479" t="s">
        <v>3395</v>
      </c>
      <c r="JE11" s="3479" t="s">
        <v>3396</v>
      </c>
      <c r="JF11" s="3479" t="s">
        <v>3393</v>
      </c>
      <c r="JG11" s="3479" t="s">
        <v>3394</v>
      </c>
      <c r="JH11" s="3479" t="s">
        <v>3395</v>
      </c>
      <c r="JI11" s="3479" t="s">
        <v>3396</v>
      </c>
      <c r="JJ11" s="3479" t="s">
        <v>3393</v>
      </c>
      <c r="JK11" s="3479" t="s">
        <v>3394</v>
      </c>
      <c r="JL11" s="3479" t="s">
        <v>3395</v>
      </c>
      <c r="JM11" s="3479" t="s">
        <v>3396</v>
      </c>
      <c r="JN11" s="3479" t="s">
        <v>3393</v>
      </c>
      <c r="JO11" s="3479" t="s">
        <v>3394</v>
      </c>
      <c r="JP11" s="3479" t="s">
        <v>3395</v>
      </c>
      <c r="JQ11" s="3479" t="s">
        <v>3396</v>
      </c>
      <c r="JR11" s="3479" t="s">
        <v>3393</v>
      </c>
      <c r="JS11" s="3479" t="s">
        <v>3394</v>
      </c>
      <c r="JT11" s="3479" t="s">
        <v>3395</v>
      </c>
      <c r="JU11" s="3479" t="s">
        <v>3396</v>
      </c>
      <c r="JV11" s="3479" t="s">
        <v>3393</v>
      </c>
      <c r="JW11" s="3479" t="s">
        <v>3394</v>
      </c>
      <c r="JX11" s="3479" t="s">
        <v>3395</v>
      </c>
      <c r="JY11" s="3479" t="s">
        <v>3396</v>
      </c>
      <c r="JZ11" s="3479" t="s">
        <v>3393</v>
      </c>
      <c r="KA11" s="3479" t="s">
        <v>3394</v>
      </c>
      <c r="KB11" s="3479" t="s">
        <v>3395</v>
      </c>
      <c r="KC11" s="3479" t="s">
        <v>3396</v>
      </c>
      <c r="KD11" s="3479" t="s">
        <v>3393</v>
      </c>
      <c r="KE11" s="3479" t="s">
        <v>3394</v>
      </c>
      <c r="KF11" s="3479" t="s">
        <v>3395</v>
      </c>
      <c r="KG11" s="3479" t="s">
        <v>3396</v>
      </c>
      <c r="KH11" s="3479" t="s">
        <v>3393</v>
      </c>
      <c r="KI11" s="3479" t="s">
        <v>3394</v>
      </c>
      <c r="KJ11" s="3479" t="s">
        <v>3395</v>
      </c>
      <c r="KK11" s="3479" t="s">
        <v>3396</v>
      </c>
      <c r="KL11" s="3479" t="s">
        <v>3393</v>
      </c>
      <c r="KM11" s="3479" t="s">
        <v>3394</v>
      </c>
      <c r="KN11" s="3479" t="s">
        <v>3395</v>
      </c>
      <c r="KO11" s="3479" t="s">
        <v>3396</v>
      </c>
      <c r="KP11" s="3479" t="s">
        <v>3393</v>
      </c>
      <c r="KQ11" s="3479" t="s">
        <v>3394</v>
      </c>
      <c r="KR11" s="3479" t="s">
        <v>3395</v>
      </c>
      <c r="KS11" s="3479" t="s">
        <v>3396</v>
      </c>
    </row>
    <row r="12" spans="1:305">
      <c r="A12" s="3479" t="s">
        <v>3591</v>
      </c>
      <c r="B12" s="3479">
        <v>117.18</v>
      </c>
      <c r="C12" s="3479">
        <v>9779</v>
      </c>
      <c r="D12" s="3479">
        <v>103715</v>
      </c>
      <c r="E12" s="3481">
        <f>B12*12/D12</f>
        <v>1.3557923154799209E-2</v>
      </c>
      <c r="F12" s="3479">
        <v>116.63</v>
      </c>
      <c r="G12" s="3479">
        <v>9914</v>
      </c>
      <c r="H12" s="3479">
        <v>105133</v>
      </c>
      <c r="I12" s="3479" t="s">
        <v>3592</v>
      </c>
      <c r="J12" s="3479">
        <v>116.59</v>
      </c>
      <c r="K12" s="3479">
        <v>10021</v>
      </c>
      <c r="L12" s="3479">
        <v>105332</v>
      </c>
      <c r="M12" s="3479" t="s">
        <v>3443</v>
      </c>
      <c r="N12" s="3479">
        <v>117.68</v>
      </c>
      <c r="O12" s="3479">
        <v>9464</v>
      </c>
      <c r="P12" s="3479">
        <v>106229</v>
      </c>
      <c r="Q12" s="3479" t="s">
        <v>3443</v>
      </c>
      <c r="R12" s="3479">
        <v>117.24</v>
      </c>
      <c r="S12" s="3479">
        <v>9171</v>
      </c>
      <c r="T12" s="3479">
        <v>106627</v>
      </c>
      <c r="U12" s="3479" t="s">
        <v>3556</v>
      </c>
      <c r="V12" s="3479">
        <v>117.21</v>
      </c>
      <c r="W12" s="3479">
        <v>9480</v>
      </c>
      <c r="X12" s="3479">
        <v>107120</v>
      </c>
      <c r="Y12" s="3479" t="s">
        <v>3441</v>
      </c>
      <c r="Z12" s="3479">
        <v>120.55</v>
      </c>
      <c r="AA12" s="3479">
        <v>9139</v>
      </c>
      <c r="AB12" s="3479">
        <v>109939</v>
      </c>
      <c r="AC12" s="3479" t="s">
        <v>3427</v>
      </c>
      <c r="AD12" s="3479">
        <v>122.19</v>
      </c>
      <c r="AE12" s="3479">
        <v>9274</v>
      </c>
      <c r="AF12" s="3479">
        <v>108470</v>
      </c>
      <c r="AG12" s="3479" t="s">
        <v>3417</v>
      </c>
      <c r="AH12" s="3479">
        <v>118.12</v>
      </c>
      <c r="AI12" s="3479">
        <v>8796</v>
      </c>
      <c r="AJ12" s="3479">
        <v>110279</v>
      </c>
      <c r="AK12" s="3479" t="s">
        <v>3593</v>
      </c>
      <c r="AL12" s="3479">
        <v>128.36000000000001</v>
      </c>
      <c r="AM12" s="3479">
        <v>8862</v>
      </c>
      <c r="AN12" s="3479">
        <v>108842</v>
      </c>
      <c r="AO12" s="3479" t="s">
        <v>3594</v>
      </c>
      <c r="AP12" s="3479">
        <v>124.66</v>
      </c>
      <c r="AQ12" s="3479">
        <v>9001</v>
      </c>
      <c r="AR12" s="3479">
        <v>109778</v>
      </c>
      <c r="AS12" s="3479" t="s">
        <v>3419</v>
      </c>
      <c r="AT12" s="3479">
        <v>126.55</v>
      </c>
      <c r="AU12" s="3479">
        <v>8138</v>
      </c>
      <c r="AV12" s="3479">
        <v>110264</v>
      </c>
      <c r="AW12" s="3479" t="s">
        <v>3512</v>
      </c>
      <c r="AX12" s="3479">
        <v>125.53</v>
      </c>
      <c r="AY12" s="3479">
        <v>8097</v>
      </c>
      <c r="AZ12" s="3479">
        <v>110164</v>
      </c>
      <c r="BA12" s="3479" t="s">
        <v>3418</v>
      </c>
      <c r="BB12" s="3479">
        <v>126.41</v>
      </c>
      <c r="BC12" s="3479">
        <v>8143</v>
      </c>
      <c r="BD12" s="3479">
        <v>109695</v>
      </c>
      <c r="BE12" s="3479" t="s">
        <v>3595</v>
      </c>
      <c r="BF12" s="3479">
        <v>128.02000000000001</v>
      </c>
      <c r="BG12" s="3479">
        <v>8320</v>
      </c>
      <c r="BH12" s="3479">
        <v>109250</v>
      </c>
      <c r="BI12" s="3479" t="s">
        <v>3596</v>
      </c>
      <c r="BJ12" s="3479">
        <v>126.95</v>
      </c>
      <c r="BK12" s="3479">
        <v>8079</v>
      </c>
      <c r="BL12" s="3479">
        <v>108844</v>
      </c>
      <c r="BM12" s="3479" t="s">
        <v>3439</v>
      </c>
      <c r="BN12" s="3479">
        <v>126.5</v>
      </c>
      <c r="BO12" s="3479">
        <v>8616</v>
      </c>
      <c r="BP12" s="3479">
        <v>109730</v>
      </c>
      <c r="BQ12" s="3479" t="s">
        <v>3597</v>
      </c>
      <c r="BR12" s="3479">
        <v>127.28</v>
      </c>
      <c r="BS12" s="3479">
        <v>8449</v>
      </c>
      <c r="BT12" s="3479">
        <v>109004</v>
      </c>
      <c r="BU12" s="3479" t="s">
        <v>3598</v>
      </c>
      <c r="BV12" s="3479">
        <v>127.37</v>
      </c>
      <c r="BW12" s="3479">
        <v>8716</v>
      </c>
      <c r="BX12" s="3479">
        <v>108790</v>
      </c>
      <c r="BY12" s="3479" t="s">
        <v>3599</v>
      </c>
      <c r="BZ12" s="3479">
        <v>128.91999999999999</v>
      </c>
      <c r="CA12" s="3479">
        <v>10690</v>
      </c>
      <c r="CB12" s="3479">
        <v>108844</v>
      </c>
      <c r="CC12" s="3479" t="s">
        <v>3600</v>
      </c>
      <c r="CD12" s="3479">
        <v>124.21</v>
      </c>
      <c r="CE12" s="3479">
        <v>9780</v>
      </c>
      <c r="CF12" s="3479">
        <v>105834</v>
      </c>
      <c r="CG12" s="3479" t="s">
        <v>3601</v>
      </c>
      <c r="CH12" s="3479">
        <v>126.28</v>
      </c>
      <c r="CI12" s="3479">
        <v>9471</v>
      </c>
      <c r="CJ12" s="3479">
        <v>105084</v>
      </c>
      <c r="CK12" s="3479" t="s">
        <v>3511</v>
      </c>
      <c r="CL12" s="3479">
        <v>113.71</v>
      </c>
      <c r="CM12" s="3479">
        <v>10162</v>
      </c>
      <c r="CN12" s="3479">
        <v>101931</v>
      </c>
      <c r="CO12" s="3479" t="s">
        <v>3602</v>
      </c>
      <c r="CP12" s="3479">
        <v>114.99</v>
      </c>
      <c r="CQ12" s="3479">
        <v>11318</v>
      </c>
      <c r="CR12" s="3479">
        <v>102347</v>
      </c>
      <c r="CS12" s="3479" t="s">
        <v>3506</v>
      </c>
      <c r="CT12" s="3479">
        <v>113.01</v>
      </c>
      <c r="CU12" s="3479">
        <v>10268</v>
      </c>
      <c r="CV12" s="3479">
        <v>102093</v>
      </c>
      <c r="CW12" s="3479" t="s">
        <v>3443</v>
      </c>
      <c r="CX12" s="3479">
        <v>115.81</v>
      </c>
      <c r="CY12" s="3479">
        <v>8935</v>
      </c>
      <c r="CZ12" s="3479">
        <v>99748</v>
      </c>
      <c r="DA12" s="3479" t="s">
        <v>3487</v>
      </c>
      <c r="DB12" s="3479">
        <v>115.04</v>
      </c>
      <c r="DC12" s="3479">
        <v>8594</v>
      </c>
      <c r="DD12" s="3479">
        <v>97875</v>
      </c>
      <c r="DE12" s="3479" t="s">
        <v>3530</v>
      </c>
      <c r="DF12" s="3479">
        <v>113.83</v>
      </c>
      <c r="DG12" s="3479">
        <v>8958</v>
      </c>
      <c r="DH12" s="3479">
        <v>97560</v>
      </c>
      <c r="DI12" s="3479" t="s">
        <v>3439</v>
      </c>
      <c r="DJ12" s="3479">
        <v>113.54</v>
      </c>
      <c r="DK12" s="3479">
        <v>9080</v>
      </c>
      <c r="DL12" s="3479">
        <v>97038</v>
      </c>
      <c r="DM12" s="3479" t="s">
        <v>3555</v>
      </c>
      <c r="DN12" s="3479">
        <v>108.85</v>
      </c>
      <c r="DO12" s="3479">
        <v>9269</v>
      </c>
      <c r="DP12" s="3479">
        <v>98477</v>
      </c>
      <c r="DQ12" s="3479" t="s">
        <v>3459</v>
      </c>
      <c r="DR12" s="3479">
        <v>114.45</v>
      </c>
      <c r="DS12" s="3479">
        <v>9549</v>
      </c>
      <c r="DT12" s="3479">
        <v>99633</v>
      </c>
      <c r="DU12" s="3479" t="s">
        <v>3512</v>
      </c>
      <c r="DV12" s="3479">
        <v>110.99</v>
      </c>
      <c r="DW12" s="3479">
        <v>9554</v>
      </c>
      <c r="DX12" s="3479">
        <v>99591</v>
      </c>
      <c r="DY12" s="3479" t="s">
        <v>3603</v>
      </c>
      <c r="DZ12" s="3479">
        <v>113.99</v>
      </c>
      <c r="EA12" s="3479">
        <v>11372</v>
      </c>
      <c r="EB12" s="3479">
        <v>109030</v>
      </c>
      <c r="EC12" s="3479" t="s">
        <v>3604</v>
      </c>
      <c r="ED12" s="3479">
        <v>114.43</v>
      </c>
      <c r="EE12" s="3479">
        <v>10402</v>
      </c>
      <c r="EF12" s="3479">
        <v>104706</v>
      </c>
      <c r="EG12" s="3479" t="s">
        <v>3605</v>
      </c>
      <c r="EH12" s="3479">
        <v>116.87</v>
      </c>
      <c r="EI12" s="3479">
        <v>12393</v>
      </c>
      <c r="EJ12" s="3479">
        <v>108562</v>
      </c>
      <c r="EK12" s="3479" t="s">
        <v>3551</v>
      </c>
      <c r="EL12" s="3479">
        <v>113.73</v>
      </c>
      <c r="EM12" s="3479">
        <v>9941</v>
      </c>
      <c r="EN12" s="3479">
        <v>102740</v>
      </c>
      <c r="EO12" s="3479" t="s">
        <v>3443</v>
      </c>
      <c r="EP12" s="3479">
        <v>102.69</v>
      </c>
      <c r="EQ12" s="3479">
        <v>9755</v>
      </c>
      <c r="ER12" s="3479">
        <v>100219</v>
      </c>
      <c r="ES12" s="3479" t="s">
        <v>3566</v>
      </c>
      <c r="ET12" s="3479">
        <v>96.13</v>
      </c>
      <c r="EU12" s="3479">
        <v>8788</v>
      </c>
      <c r="EV12" s="3479">
        <v>96884</v>
      </c>
      <c r="EW12" s="3479" t="s">
        <v>3429</v>
      </c>
      <c r="EX12" s="3479">
        <v>93.35</v>
      </c>
      <c r="EY12" s="3479">
        <v>8415</v>
      </c>
      <c r="EZ12" s="3479">
        <v>95423</v>
      </c>
      <c r="FA12" s="3479" t="s">
        <v>3435</v>
      </c>
      <c r="FB12" s="3479">
        <v>96.08</v>
      </c>
      <c r="FC12" s="3479">
        <v>8890</v>
      </c>
      <c r="FD12" s="3479">
        <v>91964</v>
      </c>
      <c r="FE12" s="3479" t="s">
        <v>3606</v>
      </c>
      <c r="FF12" s="3479">
        <v>95.09</v>
      </c>
      <c r="FG12" s="3479">
        <v>9181</v>
      </c>
      <c r="FH12" s="3479">
        <v>89227</v>
      </c>
      <c r="FI12" s="3479" t="s">
        <v>3607</v>
      </c>
      <c r="FJ12" s="3479">
        <v>94.63</v>
      </c>
      <c r="FK12" s="3479">
        <v>8798</v>
      </c>
      <c r="FL12" s="3479">
        <v>91669</v>
      </c>
      <c r="FM12" s="3479" t="s">
        <v>3535</v>
      </c>
      <c r="FN12" s="3479">
        <v>99.22</v>
      </c>
      <c r="FO12" s="3479">
        <v>9005</v>
      </c>
      <c r="FP12" s="3479">
        <v>96860</v>
      </c>
      <c r="FQ12" s="3479" t="s">
        <v>3566</v>
      </c>
      <c r="FR12" s="3479">
        <v>100.69</v>
      </c>
      <c r="FS12" s="3479">
        <v>9173</v>
      </c>
      <c r="FT12" s="3479">
        <v>97280</v>
      </c>
      <c r="FU12" s="3479" t="s">
        <v>3440</v>
      </c>
      <c r="FV12" s="3479">
        <v>98.34</v>
      </c>
      <c r="FW12" s="3479">
        <v>9295</v>
      </c>
      <c r="FX12" s="3479">
        <v>92888</v>
      </c>
      <c r="FY12" s="3479" t="s">
        <v>3462</v>
      </c>
      <c r="FZ12" s="3479">
        <v>96.15</v>
      </c>
      <c r="GA12" s="3479">
        <v>9586</v>
      </c>
      <c r="GB12" s="3479">
        <v>90324</v>
      </c>
      <c r="GC12" s="3479" t="s">
        <v>3608</v>
      </c>
      <c r="GD12" s="3479">
        <v>98.26</v>
      </c>
      <c r="GE12" s="3479">
        <v>9898</v>
      </c>
      <c r="GF12" s="3479">
        <v>91739</v>
      </c>
      <c r="GG12" s="3479" t="s">
        <v>3593</v>
      </c>
      <c r="GH12" s="3479">
        <v>98.8</v>
      </c>
      <c r="GI12" s="3479">
        <v>9891</v>
      </c>
      <c r="GJ12" s="3479">
        <v>91632</v>
      </c>
      <c r="GK12" s="3479" t="s">
        <v>3534</v>
      </c>
      <c r="GL12" s="3479">
        <v>100.22</v>
      </c>
      <c r="GM12" s="3479">
        <v>8951</v>
      </c>
      <c r="GN12" s="3479">
        <v>92316</v>
      </c>
      <c r="GO12" s="3479" t="s">
        <v>3609</v>
      </c>
      <c r="GP12" s="3479">
        <v>102.45</v>
      </c>
      <c r="GQ12" s="3479">
        <v>8487</v>
      </c>
      <c r="GR12" s="3479">
        <v>92539</v>
      </c>
      <c r="GS12" s="3479" t="s">
        <v>3443</v>
      </c>
      <c r="GT12" s="3479">
        <v>103.23</v>
      </c>
      <c r="GU12" s="3479">
        <v>9664</v>
      </c>
      <c r="GV12" s="3479">
        <v>93612</v>
      </c>
      <c r="GW12" s="3479" t="s">
        <v>3610</v>
      </c>
      <c r="GX12" s="3479">
        <v>97.6</v>
      </c>
      <c r="GY12" s="3479">
        <v>9705</v>
      </c>
      <c r="GZ12" s="3479">
        <v>90588</v>
      </c>
      <c r="HA12" s="3479" t="s">
        <v>3423</v>
      </c>
      <c r="HB12" s="3479">
        <v>102.75</v>
      </c>
      <c r="HC12" s="3479">
        <v>9066</v>
      </c>
      <c r="HD12" s="3479">
        <v>93906</v>
      </c>
      <c r="HE12" s="3479" t="s">
        <v>3441</v>
      </c>
      <c r="HF12" s="3479">
        <v>99.62</v>
      </c>
      <c r="HG12" s="3479">
        <v>9494</v>
      </c>
      <c r="HH12" s="3479">
        <v>90807</v>
      </c>
      <c r="HI12" s="3479" t="s">
        <v>3427</v>
      </c>
      <c r="HJ12" s="3479">
        <v>104.69</v>
      </c>
      <c r="HK12" s="3479">
        <v>10232</v>
      </c>
      <c r="HL12" s="3479">
        <v>90618</v>
      </c>
      <c r="HM12" s="3479" t="s">
        <v>3481</v>
      </c>
      <c r="HN12" s="3479">
        <v>102.78</v>
      </c>
      <c r="HO12" s="3479">
        <v>8956</v>
      </c>
      <c r="HP12" s="3479">
        <v>90656</v>
      </c>
      <c r="HQ12" s="3479" t="s">
        <v>3457</v>
      </c>
      <c r="HR12" s="3479">
        <v>103.37</v>
      </c>
      <c r="HS12" s="3479">
        <v>9461</v>
      </c>
      <c r="HT12" s="3479">
        <v>93846</v>
      </c>
      <c r="HU12" s="3479" t="s">
        <v>3611</v>
      </c>
      <c r="HV12" s="3479">
        <v>102.22</v>
      </c>
      <c r="HW12" s="3479">
        <v>10769</v>
      </c>
      <c r="HX12" s="3479">
        <v>91908</v>
      </c>
      <c r="HY12" s="3479" t="s">
        <v>3612</v>
      </c>
      <c r="HZ12" s="3479">
        <v>102.56</v>
      </c>
      <c r="IA12" s="3479">
        <v>10160</v>
      </c>
      <c r="IB12" s="3479">
        <v>95185</v>
      </c>
      <c r="IC12" s="3479" t="s">
        <v>3423</v>
      </c>
      <c r="ID12" s="3479">
        <v>98.94</v>
      </c>
      <c r="IE12" s="3479">
        <v>10724</v>
      </c>
      <c r="IF12" s="3479">
        <v>93109</v>
      </c>
      <c r="IG12" s="3479" t="s">
        <v>3514</v>
      </c>
      <c r="IH12" s="3479">
        <v>102.24</v>
      </c>
      <c r="II12" s="3479">
        <v>8766</v>
      </c>
      <c r="IJ12" s="3479">
        <v>93250</v>
      </c>
      <c r="IK12" s="3479" t="s">
        <v>3427</v>
      </c>
      <c r="IL12" s="3479">
        <v>101.43</v>
      </c>
      <c r="IM12" s="3479">
        <v>9567</v>
      </c>
      <c r="IN12" s="3479">
        <v>92392</v>
      </c>
      <c r="IO12" s="3479" t="s">
        <v>3422</v>
      </c>
      <c r="IP12" s="3479">
        <v>103.82</v>
      </c>
      <c r="IQ12" s="3479">
        <v>9620</v>
      </c>
      <c r="IR12" s="3479">
        <v>91675</v>
      </c>
      <c r="IS12" s="3479" t="s">
        <v>3613</v>
      </c>
      <c r="IT12" s="3479">
        <v>102.36</v>
      </c>
      <c r="IU12" s="3479">
        <v>11308</v>
      </c>
      <c r="IV12" s="3479">
        <v>90871</v>
      </c>
      <c r="IW12" s="3479" t="s">
        <v>3417</v>
      </c>
      <c r="IX12" s="3479">
        <v>99.95</v>
      </c>
      <c r="IY12" s="3479">
        <v>9855</v>
      </c>
      <c r="IZ12" s="3479">
        <v>90497</v>
      </c>
      <c r="JA12" s="3479" t="s">
        <v>3459</v>
      </c>
      <c r="JB12" s="3479">
        <v>98.66</v>
      </c>
      <c r="JC12" s="3479">
        <v>9292</v>
      </c>
      <c r="JD12" s="3479">
        <v>89910</v>
      </c>
      <c r="JE12" s="3479" t="s">
        <v>3422</v>
      </c>
      <c r="JF12" s="3479">
        <v>102.17</v>
      </c>
      <c r="JG12" s="3479">
        <v>9421</v>
      </c>
      <c r="JH12" s="3479">
        <v>91063</v>
      </c>
      <c r="JI12" s="3479" t="s">
        <v>3614</v>
      </c>
      <c r="JJ12" s="3479">
        <v>102.56</v>
      </c>
      <c r="JK12" s="3479">
        <v>9443</v>
      </c>
      <c r="JL12" s="3479">
        <v>97170</v>
      </c>
      <c r="JM12" s="3479" t="s">
        <v>3537</v>
      </c>
      <c r="JN12" s="3479">
        <v>97.48</v>
      </c>
      <c r="JO12" s="3479">
        <v>9686</v>
      </c>
      <c r="JP12" s="3479">
        <v>94305</v>
      </c>
      <c r="JQ12" s="3479" t="s">
        <v>3449</v>
      </c>
      <c r="JR12" s="3479">
        <v>95.96</v>
      </c>
      <c r="JS12" s="3479">
        <v>8578</v>
      </c>
      <c r="JT12" s="3479">
        <v>97428</v>
      </c>
      <c r="JU12" s="3479" t="s">
        <v>3615</v>
      </c>
      <c r="JV12" s="3479">
        <v>101.74</v>
      </c>
      <c r="JW12" s="3479">
        <v>9616</v>
      </c>
      <c r="JX12" s="3479">
        <v>90628</v>
      </c>
      <c r="JY12" s="3479" t="s">
        <v>3614</v>
      </c>
      <c r="JZ12" s="3479">
        <v>108.79</v>
      </c>
      <c r="KA12" s="3479">
        <v>10277</v>
      </c>
      <c r="KB12" s="3479">
        <v>92283</v>
      </c>
      <c r="KC12" s="3479" t="s">
        <v>3594</v>
      </c>
      <c r="KD12" s="3479">
        <v>107.7</v>
      </c>
      <c r="KE12" s="3479">
        <v>9831</v>
      </c>
      <c r="KF12" s="3479">
        <v>91331</v>
      </c>
      <c r="KG12" s="3479" t="s">
        <v>3594</v>
      </c>
      <c r="KH12" s="3479">
        <v>99.24</v>
      </c>
      <c r="KI12" s="3479">
        <v>8764</v>
      </c>
      <c r="KJ12" s="3479">
        <v>97544</v>
      </c>
      <c r="KK12" s="3479" t="s">
        <v>3616</v>
      </c>
      <c r="KL12" s="3479">
        <v>94.33</v>
      </c>
      <c r="KM12" s="3479">
        <v>9334</v>
      </c>
      <c r="KN12" s="3479">
        <v>91797</v>
      </c>
      <c r="KO12" s="3479" t="s">
        <v>3617</v>
      </c>
      <c r="KP12" s="3479">
        <v>84.98</v>
      </c>
      <c r="KQ12" s="3479">
        <v>7244</v>
      </c>
      <c r="KR12" s="3479">
        <v>94731</v>
      </c>
      <c r="KS12" s="3479" t="s">
        <v>3401</v>
      </c>
    </row>
    <row r="16" spans="1:305">
      <c r="A16" s="3477" t="s">
        <v>3618</v>
      </c>
      <c r="B16" s="3478">
        <v>45383.333831018521</v>
      </c>
      <c r="C16" s="3477"/>
      <c r="D16" s="3477"/>
      <c r="E16" s="3477"/>
      <c r="F16" s="3478">
        <v>45352.333831018521</v>
      </c>
      <c r="G16" s="3477"/>
      <c r="H16" s="3477"/>
      <c r="I16" s="3477"/>
      <c r="J16" s="3478">
        <v>45323.333831018521</v>
      </c>
      <c r="K16" s="3477"/>
      <c r="L16" s="3477"/>
      <c r="M16" s="3477"/>
      <c r="N16" s="3478">
        <v>45292.333831018521</v>
      </c>
      <c r="O16" s="3477"/>
      <c r="P16" s="3477"/>
      <c r="Q16" s="3477"/>
      <c r="R16" s="3478">
        <v>45261.333831018521</v>
      </c>
      <c r="S16" s="3477"/>
      <c r="T16" s="3477"/>
      <c r="U16" s="3477"/>
      <c r="V16" s="3478">
        <v>45231.333831018521</v>
      </c>
      <c r="W16" s="3477"/>
      <c r="X16" s="3477"/>
      <c r="Y16" s="3477"/>
      <c r="Z16" s="3478">
        <v>45200.333831018521</v>
      </c>
      <c r="AA16" s="3477"/>
      <c r="AB16" s="3477"/>
      <c r="AC16" s="3477"/>
      <c r="AD16" s="3478">
        <v>45170.333831018521</v>
      </c>
      <c r="AE16" s="3477"/>
      <c r="AF16" s="3477"/>
      <c r="AG16" s="3477"/>
      <c r="AH16" s="3478">
        <v>45139.333831018521</v>
      </c>
      <c r="AI16" s="3477"/>
      <c r="AJ16" s="3477"/>
      <c r="AK16" s="3477"/>
      <c r="AL16" s="3478">
        <v>45108.333831018521</v>
      </c>
      <c r="AM16" s="3477"/>
      <c r="AN16" s="3477"/>
      <c r="AO16" s="3477"/>
      <c r="AP16" s="3478">
        <v>45078.333831018521</v>
      </c>
      <c r="AQ16" s="3477"/>
      <c r="AR16" s="3477"/>
      <c r="AS16" s="3477"/>
      <c r="AT16" s="3478">
        <v>45047.333831018521</v>
      </c>
      <c r="AU16" s="3477"/>
      <c r="AV16" s="3477"/>
      <c r="AW16" s="3477"/>
      <c r="AX16" s="3478">
        <v>45017.333831018521</v>
      </c>
      <c r="AY16" s="3477"/>
      <c r="AZ16" s="3477"/>
      <c r="BA16" s="3477"/>
      <c r="BB16" s="3478">
        <v>44986.333831018521</v>
      </c>
      <c r="BC16" s="3477"/>
      <c r="BD16" s="3477"/>
      <c r="BE16" s="3477"/>
      <c r="BF16" s="3478">
        <v>44958.333831018521</v>
      </c>
      <c r="BG16" s="3477"/>
      <c r="BH16" s="3477"/>
      <c r="BI16" s="3477"/>
      <c r="BJ16" s="3478">
        <v>44927.333831018521</v>
      </c>
      <c r="BK16" s="3477"/>
      <c r="BL16" s="3477"/>
      <c r="BM16" s="3477"/>
      <c r="BN16" s="3478">
        <v>44896.333831018521</v>
      </c>
      <c r="BO16" s="3477"/>
      <c r="BP16" s="3477"/>
      <c r="BQ16" s="3477"/>
      <c r="BR16" s="3478">
        <v>44866.333831018521</v>
      </c>
      <c r="BS16" s="3477"/>
      <c r="BT16" s="3477"/>
      <c r="BU16" s="3477"/>
      <c r="BV16" s="3478">
        <v>44835.333831018521</v>
      </c>
      <c r="BW16" s="3477"/>
      <c r="BX16" s="3477"/>
      <c r="BY16" s="3477"/>
      <c r="BZ16" s="3478">
        <v>44805.333831018521</v>
      </c>
      <c r="CA16" s="3477"/>
      <c r="CB16" s="3477"/>
      <c r="CC16" s="3477"/>
      <c r="CD16" s="3478">
        <v>44774.333831018521</v>
      </c>
      <c r="CE16" s="3477"/>
      <c r="CF16" s="3477"/>
      <c r="CG16" s="3477"/>
      <c r="CH16" s="3478">
        <v>44743.333831018521</v>
      </c>
      <c r="CI16" s="3477"/>
      <c r="CJ16" s="3477"/>
      <c r="CK16" s="3477"/>
      <c r="CL16" s="3478">
        <v>44713.333831018521</v>
      </c>
      <c r="CM16" s="3477"/>
      <c r="CN16" s="3477"/>
      <c r="CO16" s="3477"/>
      <c r="CP16" s="3478">
        <v>44682.333831018521</v>
      </c>
      <c r="CQ16" s="3477"/>
      <c r="CR16" s="3477"/>
      <c r="CS16" s="3477"/>
      <c r="CT16" s="3478">
        <v>44652.333831018521</v>
      </c>
      <c r="CU16" s="3477"/>
      <c r="CV16" s="3477"/>
      <c r="CW16" s="3477"/>
      <c r="CX16" s="3478">
        <v>44621.333831018521</v>
      </c>
      <c r="CY16" s="3477"/>
      <c r="CZ16" s="3477"/>
      <c r="DA16" s="3477"/>
      <c r="DB16" s="3478">
        <v>44593.333831018521</v>
      </c>
      <c r="DC16" s="3477"/>
      <c r="DD16" s="3477"/>
      <c r="DE16" s="3477"/>
      <c r="DF16" s="3478">
        <v>44562.333831018521</v>
      </c>
      <c r="DG16" s="3477"/>
      <c r="DH16" s="3477"/>
      <c r="DI16" s="3477"/>
      <c r="DJ16" s="3478">
        <v>44531.333831018521</v>
      </c>
      <c r="DK16" s="3477"/>
      <c r="DL16" s="3477"/>
      <c r="DM16" s="3477"/>
      <c r="DN16" s="3478">
        <v>44501.333831018521</v>
      </c>
      <c r="DO16" s="3477"/>
      <c r="DP16" s="3477"/>
      <c r="DQ16" s="3477"/>
      <c r="DR16" s="3478">
        <v>44470.333831018521</v>
      </c>
      <c r="DS16" s="3477"/>
      <c r="DT16" s="3477"/>
      <c r="DU16" s="3477"/>
      <c r="DV16" s="3478">
        <v>44440.333831018521</v>
      </c>
      <c r="DW16" s="3477"/>
      <c r="DX16" s="3477"/>
      <c r="DY16" s="3477"/>
      <c r="DZ16" s="3478">
        <v>44409.333831018521</v>
      </c>
      <c r="EA16" s="3477"/>
      <c r="EB16" s="3477"/>
      <c r="EC16" s="3477"/>
      <c r="ED16" s="3478">
        <v>44378.333831018521</v>
      </c>
      <c r="EE16" s="3477"/>
      <c r="EF16" s="3477"/>
      <c r="EG16" s="3477"/>
      <c r="EH16" s="3478">
        <v>44348.333831018521</v>
      </c>
      <c r="EI16" s="3477"/>
      <c r="EJ16" s="3477"/>
      <c r="EK16" s="3477"/>
      <c r="EL16" s="3478">
        <v>44317.333831018521</v>
      </c>
      <c r="EM16" s="3477"/>
      <c r="EN16" s="3477"/>
      <c r="EO16" s="3477"/>
      <c r="EP16" s="3478">
        <v>44287.333831018521</v>
      </c>
      <c r="EQ16" s="3477"/>
      <c r="ER16" s="3477"/>
      <c r="ES16" s="3477"/>
      <c r="ET16" s="3478">
        <v>44256.333831018521</v>
      </c>
      <c r="EU16" s="3477"/>
      <c r="EV16" s="3477"/>
      <c r="EW16" s="3477"/>
      <c r="EX16" s="3478">
        <v>44228.333831018521</v>
      </c>
      <c r="EY16" s="3477"/>
      <c r="EZ16" s="3477"/>
      <c r="FA16" s="3477"/>
      <c r="FB16" s="3478">
        <v>44197.333831018521</v>
      </c>
      <c r="FC16" s="3477"/>
      <c r="FD16" s="3477"/>
      <c r="FE16" s="3477"/>
      <c r="FF16" s="3478">
        <v>44166.333831018521</v>
      </c>
      <c r="FG16" s="3477"/>
      <c r="FH16" s="3477"/>
      <c r="FI16" s="3477"/>
      <c r="FJ16" s="3478">
        <v>44136.333831018521</v>
      </c>
      <c r="FK16" s="3477"/>
      <c r="FL16" s="3477"/>
      <c r="FM16" s="3477"/>
      <c r="FN16" s="3478">
        <v>44105.333831018521</v>
      </c>
      <c r="FO16" s="3477"/>
      <c r="FP16" s="3477"/>
      <c r="FQ16" s="3477"/>
      <c r="FR16" s="3478">
        <v>44075.333831018521</v>
      </c>
      <c r="FS16" s="3477"/>
      <c r="FT16" s="3477"/>
      <c r="FU16" s="3477"/>
      <c r="FV16" s="3478">
        <v>44044.333831018521</v>
      </c>
      <c r="FW16" s="3477"/>
      <c r="FX16" s="3477"/>
      <c r="FY16" s="3477"/>
      <c r="FZ16" s="3478">
        <v>44013.333831018521</v>
      </c>
      <c r="GA16" s="3477"/>
      <c r="GB16" s="3477"/>
      <c r="GC16" s="3477"/>
      <c r="GD16" s="3478">
        <v>43983.333831018521</v>
      </c>
      <c r="GE16" s="3477"/>
      <c r="GF16" s="3477"/>
      <c r="GG16" s="3477"/>
      <c r="GH16" s="3478">
        <v>43952.333831018521</v>
      </c>
      <c r="GI16" s="3477"/>
      <c r="GJ16" s="3477"/>
      <c r="GK16" s="3477"/>
      <c r="GL16" s="3478">
        <v>43922.333831018521</v>
      </c>
      <c r="GM16" s="3477"/>
      <c r="GN16" s="3477"/>
      <c r="GO16" s="3477"/>
      <c r="GP16" s="3478">
        <v>43891.333831018521</v>
      </c>
      <c r="GQ16" s="3477"/>
      <c r="GR16" s="3477"/>
      <c r="GS16" s="3477"/>
      <c r="GT16" s="3478">
        <v>43862.333831018521</v>
      </c>
      <c r="GU16" s="3477"/>
      <c r="GV16" s="3477"/>
      <c r="GW16" s="3477"/>
      <c r="GX16" s="3478">
        <v>43831.333831018521</v>
      </c>
      <c r="GY16" s="3477"/>
      <c r="GZ16" s="3477"/>
      <c r="HA16" s="3477"/>
      <c r="HB16" s="3478">
        <v>43800.333831018521</v>
      </c>
      <c r="HC16" s="3477"/>
      <c r="HD16" s="3477"/>
      <c r="HE16" s="3477"/>
      <c r="HF16" s="3478">
        <v>43770.333831018521</v>
      </c>
      <c r="HG16" s="3477"/>
      <c r="HH16" s="3477"/>
      <c r="HI16" s="3477"/>
      <c r="HJ16" s="3478">
        <v>43739.333831018521</v>
      </c>
      <c r="HK16" s="3477"/>
      <c r="HL16" s="3477"/>
      <c r="HM16" s="3477"/>
      <c r="HN16" s="3478">
        <v>43709.333831018521</v>
      </c>
      <c r="HO16" s="3477"/>
      <c r="HP16" s="3477"/>
      <c r="HQ16" s="3477"/>
      <c r="HR16" s="3478">
        <v>43678.333831018521</v>
      </c>
      <c r="HS16" s="3477"/>
      <c r="HT16" s="3477"/>
      <c r="HU16" s="3477"/>
      <c r="HV16" s="3478">
        <v>43647.333831018521</v>
      </c>
      <c r="HW16" s="3477"/>
      <c r="HX16" s="3477"/>
      <c r="HY16" s="3477"/>
      <c r="HZ16" s="3478">
        <v>43617.333831018521</v>
      </c>
      <c r="IA16" s="3477"/>
      <c r="IB16" s="3477"/>
      <c r="IC16" s="3477"/>
      <c r="ID16" s="3478">
        <v>43586.333831018521</v>
      </c>
      <c r="IE16" s="3477"/>
      <c r="IF16" s="3477"/>
      <c r="IG16" s="3477"/>
      <c r="IH16" s="3478">
        <v>43556.333831018521</v>
      </c>
      <c r="II16" s="3477"/>
      <c r="IJ16" s="3477"/>
      <c r="IK16" s="3477"/>
      <c r="IL16" s="3478">
        <v>43525.333831018521</v>
      </c>
      <c r="IM16" s="3477"/>
      <c r="IN16" s="3477"/>
      <c r="IO16" s="3477"/>
      <c r="IP16" s="3478">
        <v>43497.333831018521</v>
      </c>
      <c r="IQ16" s="3477"/>
      <c r="IR16" s="3477"/>
      <c r="IS16" s="3477"/>
      <c r="IT16" s="3478">
        <v>43466.333831018521</v>
      </c>
      <c r="IU16" s="3477"/>
      <c r="IV16" s="3477"/>
      <c r="IW16" s="3477"/>
      <c r="IX16" s="3478">
        <v>43435.333831018521</v>
      </c>
      <c r="IY16" s="3477"/>
      <c r="IZ16" s="3477"/>
      <c r="JA16" s="3477"/>
      <c r="JB16" s="3478">
        <v>43405.333831018521</v>
      </c>
      <c r="JC16" s="3477"/>
      <c r="JD16" s="3477"/>
      <c r="JE16" s="3477"/>
      <c r="JF16" s="3478">
        <v>43374.333831018521</v>
      </c>
      <c r="JG16" s="3477"/>
      <c r="JH16" s="3477"/>
      <c r="JI16" s="3477"/>
      <c r="JJ16" s="3478">
        <v>43344.333831018521</v>
      </c>
      <c r="JK16" s="3477"/>
      <c r="JL16" s="3477"/>
      <c r="JM16" s="3477"/>
      <c r="JN16" s="3478">
        <v>43313.333831018521</v>
      </c>
      <c r="JO16" s="3477"/>
      <c r="JP16" s="3477"/>
      <c r="JQ16" s="3477"/>
      <c r="JR16" s="3478">
        <v>43282.333831018521</v>
      </c>
      <c r="JS16" s="3477"/>
      <c r="JT16" s="3477"/>
      <c r="JU16" s="3477"/>
      <c r="JV16" s="3478">
        <v>43252.333831018521</v>
      </c>
      <c r="JW16" s="3477"/>
      <c r="JX16" s="3477"/>
      <c r="JY16" s="3477"/>
      <c r="JZ16" s="3478">
        <v>43221.333831018521</v>
      </c>
      <c r="KA16" s="3477"/>
      <c r="KB16" s="3477"/>
      <c r="KC16" s="3477"/>
      <c r="KD16" s="3478">
        <v>43191.333831018521</v>
      </c>
      <c r="KE16" s="3477"/>
      <c r="KF16" s="3477"/>
      <c r="KG16" s="3477"/>
      <c r="KH16" s="3478">
        <v>43160.333831018521</v>
      </c>
      <c r="KI16" s="3477"/>
      <c r="KJ16" s="3477"/>
      <c r="KK16" s="3477"/>
      <c r="KL16" s="3478">
        <v>43132.333831018521</v>
      </c>
      <c r="KM16" s="3477"/>
      <c r="KN16" s="3477"/>
      <c r="KO16" s="3477"/>
      <c r="KP16" s="3478">
        <v>43101.333831018521</v>
      </c>
      <c r="KQ16" s="3477"/>
      <c r="KR16" s="3477"/>
      <c r="KS16" s="3477"/>
    </row>
    <row r="17" spans="1:309">
      <c r="A17" s="3477"/>
      <c r="B17" s="3479" t="s">
        <v>3393</v>
      </c>
      <c r="C17" s="3479" t="s">
        <v>3394</v>
      </c>
      <c r="D17" s="3479" t="s">
        <v>3395</v>
      </c>
      <c r="E17" s="3479" t="s">
        <v>3396</v>
      </c>
      <c r="F17" s="3479" t="s">
        <v>3393</v>
      </c>
      <c r="G17" s="3479" t="s">
        <v>3394</v>
      </c>
      <c r="H17" s="3479" t="s">
        <v>3395</v>
      </c>
      <c r="I17" s="3479" t="s">
        <v>3396</v>
      </c>
      <c r="J17" s="3479" t="s">
        <v>3393</v>
      </c>
      <c r="K17" s="3479" t="s">
        <v>3394</v>
      </c>
      <c r="L17" s="3479" t="s">
        <v>3395</v>
      </c>
      <c r="M17" s="3479" t="s">
        <v>3396</v>
      </c>
      <c r="N17" s="3479" t="s">
        <v>3393</v>
      </c>
      <c r="O17" s="3479" t="s">
        <v>3394</v>
      </c>
      <c r="P17" s="3479" t="s">
        <v>3395</v>
      </c>
      <c r="Q17" s="3479" t="s">
        <v>3396</v>
      </c>
      <c r="R17" s="3479" t="s">
        <v>3393</v>
      </c>
      <c r="S17" s="3479" t="s">
        <v>3394</v>
      </c>
      <c r="T17" s="3479" t="s">
        <v>3395</v>
      </c>
      <c r="U17" s="3479" t="s">
        <v>3396</v>
      </c>
      <c r="V17" s="3479" t="s">
        <v>3393</v>
      </c>
      <c r="W17" s="3479" t="s">
        <v>3394</v>
      </c>
      <c r="X17" s="3479" t="s">
        <v>3395</v>
      </c>
      <c r="Y17" s="3479" t="s">
        <v>3396</v>
      </c>
      <c r="Z17" s="3479" t="s">
        <v>3393</v>
      </c>
      <c r="AA17" s="3479" t="s">
        <v>3394</v>
      </c>
      <c r="AB17" s="3479" t="s">
        <v>3395</v>
      </c>
      <c r="AC17" s="3479" t="s">
        <v>3396</v>
      </c>
      <c r="AD17" s="3479" t="s">
        <v>3393</v>
      </c>
      <c r="AE17" s="3479" t="s">
        <v>3394</v>
      </c>
      <c r="AF17" s="3479" t="s">
        <v>3395</v>
      </c>
      <c r="AG17" s="3479" t="s">
        <v>3396</v>
      </c>
      <c r="AH17" s="3479" t="s">
        <v>3393</v>
      </c>
      <c r="AI17" s="3479" t="s">
        <v>3394</v>
      </c>
      <c r="AJ17" s="3479" t="s">
        <v>3395</v>
      </c>
      <c r="AK17" s="3479" t="s">
        <v>3396</v>
      </c>
      <c r="AL17" s="3479" t="s">
        <v>3393</v>
      </c>
      <c r="AM17" s="3479" t="s">
        <v>3394</v>
      </c>
      <c r="AN17" s="3479" t="s">
        <v>3395</v>
      </c>
      <c r="AO17" s="3479" t="s">
        <v>3396</v>
      </c>
      <c r="AP17" s="3479" t="s">
        <v>3393</v>
      </c>
      <c r="AQ17" s="3479" t="s">
        <v>3394</v>
      </c>
      <c r="AR17" s="3479" t="s">
        <v>3395</v>
      </c>
      <c r="AS17" s="3479" t="s">
        <v>3396</v>
      </c>
      <c r="AT17" s="3479" t="s">
        <v>3393</v>
      </c>
      <c r="AU17" s="3479" t="s">
        <v>3394</v>
      </c>
      <c r="AV17" s="3479" t="s">
        <v>3395</v>
      </c>
      <c r="AW17" s="3479" t="s">
        <v>3396</v>
      </c>
      <c r="AX17" s="3479" t="s">
        <v>3393</v>
      </c>
      <c r="AY17" s="3479" t="s">
        <v>3394</v>
      </c>
      <c r="AZ17" s="3479" t="s">
        <v>3395</v>
      </c>
      <c r="BA17" s="3479" t="s">
        <v>3396</v>
      </c>
      <c r="BB17" s="3479" t="s">
        <v>3393</v>
      </c>
      <c r="BC17" s="3479" t="s">
        <v>3394</v>
      </c>
      <c r="BD17" s="3479" t="s">
        <v>3395</v>
      </c>
      <c r="BE17" s="3479" t="s">
        <v>3396</v>
      </c>
      <c r="BF17" s="3479" t="s">
        <v>3393</v>
      </c>
      <c r="BG17" s="3479" t="s">
        <v>3394</v>
      </c>
      <c r="BH17" s="3479" t="s">
        <v>3395</v>
      </c>
      <c r="BI17" s="3479" t="s">
        <v>3396</v>
      </c>
      <c r="BJ17" s="3479" t="s">
        <v>3393</v>
      </c>
      <c r="BK17" s="3479" t="s">
        <v>3394</v>
      </c>
      <c r="BL17" s="3479" t="s">
        <v>3395</v>
      </c>
      <c r="BM17" s="3479" t="s">
        <v>3396</v>
      </c>
      <c r="BN17" s="3479" t="s">
        <v>3393</v>
      </c>
      <c r="BO17" s="3479" t="s">
        <v>3394</v>
      </c>
      <c r="BP17" s="3479" t="s">
        <v>3395</v>
      </c>
      <c r="BQ17" s="3479" t="s">
        <v>3396</v>
      </c>
      <c r="BR17" s="3479" t="s">
        <v>3393</v>
      </c>
      <c r="BS17" s="3479" t="s">
        <v>3394</v>
      </c>
      <c r="BT17" s="3479" t="s">
        <v>3395</v>
      </c>
      <c r="BU17" s="3479" t="s">
        <v>3396</v>
      </c>
      <c r="BV17" s="3479" t="s">
        <v>3393</v>
      </c>
      <c r="BW17" s="3479" t="s">
        <v>3394</v>
      </c>
      <c r="BX17" s="3479" t="s">
        <v>3395</v>
      </c>
      <c r="BY17" s="3479" t="s">
        <v>3396</v>
      </c>
      <c r="BZ17" s="3479" t="s">
        <v>3393</v>
      </c>
      <c r="CA17" s="3479" t="s">
        <v>3394</v>
      </c>
      <c r="CB17" s="3479" t="s">
        <v>3395</v>
      </c>
      <c r="CC17" s="3479" t="s">
        <v>3396</v>
      </c>
      <c r="CD17" s="3479" t="s">
        <v>3393</v>
      </c>
      <c r="CE17" s="3479" t="s">
        <v>3394</v>
      </c>
      <c r="CF17" s="3479" t="s">
        <v>3395</v>
      </c>
      <c r="CG17" s="3479" t="s">
        <v>3396</v>
      </c>
      <c r="CH17" s="3479" t="s">
        <v>3393</v>
      </c>
      <c r="CI17" s="3479" t="s">
        <v>3394</v>
      </c>
      <c r="CJ17" s="3479" t="s">
        <v>3395</v>
      </c>
      <c r="CK17" s="3479" t="s">
        <v>3396</v>
      </c>
      <c r="CL17" s="3479" t="s">
        <v>3393</v>
      </c>
      <c r="CM17" s="3479" t="s">
        <v>3394</v>
      </c>
      <c r="CN17" s="3479" t="s">
        <v>3395</v>
      </c>
      <c r="CO17" s="3479" t="s">
        <v>3396</v>
      </c>
      <c r="CP17" s="3479" t="s">
        <v>3393</v>
      </c>
      <c r="CQ17" s="3479" t="s">
        <v>3394</v>
      </c>
      <c r="CR17" s="3479" t="s">
        <v>3395</v>
      </c>
      <c r="CS17" s="3479" t="s">
        <v>3396</v>
      </c>
      <c r="CT17" s="3479" t="s">
        <v>3393</v>
      </c>
      <c r="CU17" s="3479" t="s">
        <v>3394</v>
      </c>
      <c r="CV17" s="3479" t="s">
        <v>3395</v>
      </c>
      <c r="CW17" s="3479" t="s">
        <v>3396</v>
      </c>
      <c r="CX17" s="3479" t="s">
        <v>3393</v>
      </c>
      <c r="CY17" s="3479" t="s">
        <v>3394</v>
      </c>
      <c r="CZ17" s="3479" t="s">
        <v>3395</v>
      </c>
      <c r="DA17" s="3479" t="s">
        <v>3396</v>
      </c>
      <c r="DB17" s="3479" t="s">
        <v>3393</v>
      </c>
      <c r="DC17" s="3479" t="s">
        <v>3394</v>
      </c>
      <c r="DD17" s="3479" t="s">
        <v>3395</v>
      </c>
      <c r="DE17" s="3479" t="s">
        <v>3396</v>
      </c>
      <c r="DF17" s="3479" t="s">
        <v>3393</v>
      </c>
      <c r="DG17" s="3479" t="s">
        <v>3394</v>
      </c>
      <c r="DH17" s="3479" t="s">
        <v>3395</v>
      </c>
      <c r="DI17" s="3479" t="s">
        <v>3396</v>
      </c>
      <c r="DJ17" s="3479" t="s">
        <v>3393</v>
      </c>
      <c r="DK17" s="3479" t="s">
        <v>3394</v>
      </c>
      <c r="DL17" s="3479" t="s">
        <v>3395</v>
      </c>
      <c r="DM17" s="3479" t="s">
        <v>3396</v>
      </c>
      <c r="DN17" s="3479" t="s">
        <v>3393</v>
      </c>
      <c r="DO17" s="3479" t="s">
        <v>3394</v>
      </c>
      <c r="DP17" s="3479" t="s">
        <v>3395</v>
      </c>
      <c r="DQ17" s="3479" t="s">
        <v>3396</v>
      </c>
      <c r="DR17" s="3479" t="s">
        <v>3393</v>
      </c>
      <c r="DS17" s="3479" t="s">
        <v>3394</v>
      </c>
      <c r="DT17" s="3479" t="s">
        <v>3395</v>
      </c>
      <c r="DU17" s="3479" t="s">
        <v>3396</v>
      </c>
      <c r="DV17" s="3479" t="s">
        <v>3393</v>
      </c>
      <c r="DW17" s="3479" t="s">
        <v>3394</v>
      </c>
      <c r="DX17" s="3479" t="s">
        <v>3395</v>
      </c>
      <c r="DY17" s="3479" t="s">
        <v>3396</v>
      </c>
      <c r="DZ17" s="3479" t="s">
        <v>3393</v>
      </c>
      <c r="EA17" s="3479" t="s">
        <v>3394</v>
      </c>
      <c r="EB17" s="3479" t="s">
        <v>3395</v>
      </c>
      <c r="EC17" s="3479" t="s">
        <v>3396</v>
      </c>
      <c r="ED17" s="3479" t="s">
        <v>3393</v>
      </c>
      <c r="EE17" s="3479" t="s">
        <v>3394</v>
      </c>
      <c r="EF17" s="3479" t="s">
        <v>3395</v>
      </c>
      <c r="EG17" s="3479" t="s">
        <v>3396</v>
      </c>
      <c r="EH17" s="3479" t="s">
        <v>3393</v>
      </c>
      <c r="EI17" s="3479" t="s">
        <v>3394</v>
      </c>
      <c r="EJ17" s="3479" t="s">
        <v>3395</v>
      </c>
      <c r="EK17" s="3479" t="s">
        <v>3396</v>
      </c>
      <c r="EL17" s="3479" t="s">
        <v>3393</v>
      </c>
      <c r="EM17" s="3479" t="s">
        <v>3394</v>
      </c>
      <c r="EN17" s="3479" t="s">
        <v>3395</v>
      </c>
      <c r="EO17" s="3479" t="s">
        <v>3396</v>
      </c>
      <c r="EP17" s="3479" t="s">
        <v>3393</v>
      </c>
      <c r="EQ17" s="3479" t="s">
        <v>3394</v>
      </c>
      <c r="ER17" s="3479" t="s">
        <v>3395</v>
      </c>
      <c r="ES17" s="3479" t="s">
        <v>3396</v>
      </c>
      <c r="ET17" s="3479" t="s">
        <v>3393</v>
      </c>
      <c r="EU17" s="3479" t="s">
        <v>3394</v>
      </c>
      <c r="EV17" s="3479" t="s">
        <v>3395</v>
      </c>
      <c r="EW17" s="3479" t="s">
        <v>3396</v>
      </c>
      <c r="EX17" s="3479" t="s">
        <v>3393</v>
      </c>
      <c r="EY17" s="3479" t="s">
        <v>3394</v>
      </c>
      <c r="EZ17" s="3479" t="s">
        <v>3395</v>
      </c>
      <c r="FA17" s="3479" t="s">
        <v>3396</v>
      </c>
      <c r="FB17" s="3479" t="s">
        <v>3393</v>
      </c>
      <c r="FC17" s="3479" t="s">
        <v>3394</v>
      </c>
      <c r="FD17" s="3479" t="s">
        <v>3395</v>
      </c>
      <c r="FE17" s="3479" t="s">
        <v>3396</v>
      </c>
      <c r="FF17" s="3479" t="s">
        <v>3393</v>
      </c>
      <c r="FG17" s="3479" t="s">
        <v>3394</v>
      </c>
      <c r="FH17" s="3479" t="s">
        <v>3395</v>
      </c>
      <c r="FI17" s="3479" t="s">
        <v>3396</v>
      </c>
      <c r="FJ17" s="3479" t="s">
        <v>3393</v>
      </c>
      <c r="FK17" s="3479" t="s">
        <v>3394</v>
      </c>
      <c r="FL17" s="3479" t="s">
        <v>3395</v>
      </c>
      <c r="FM17" s="3479" t="s">
        <v>3396</v>
      </c>
      <c r="FN17" s="3479" t="s">
        <v>3393</v>
      </c>
      <c r="FO17" s="3479" t="s">
        <v>3394</v>
      </c>
      <c r="FP17" s="3479" t="s">
        <v>3395</v>
      </c>
      <c r="FQ17" s="3479" t="s">
        <v>3396</v>
      </c>
      <c r="FR17" s="3479" t="s">
        <v>3393</v>
      </c>
      <c r="FS17" s="3479" t="s">
        <v>3394</v>
      </c>
      <c r="FT17" s="3479" t="s">
        <v>3395</v>
      </c>
      <c r="FU17" s="3479" t="s">
        <v>3396</v>
      </c>
      <c r="FV17" s="3479" t="s">
        <v>3393</v>
      </c>
      <c r="FW17" s="3479" t="s">
        <v>3394</v>
      </c>
      <c r="FX17" s="3479" t="s">
        <v>3395</v>
      </c>
      <c r="FY17" s="3479" t="s">
        <v>3396</v>
      </c>
      <c r="FZ17" s="3479" t="s">
        <v>3393</v>
      </c>
      <c r="GA17" s="3479" t="s">
        <v>3394</v>
      </c>
      <c r="GB17" s="3479" t="s">
        <v>3395</v>
      </c>
      <c r="GC17" s="3479" t="s">
        <v>3396</v>
      </c>
      <c r="GD17" s="3479" t="s">
        <v>3393</v>
      </c>
      <c r="GE17" s="3479" t="s">
        <v>3394</v>
      </c>
      <c r="GF17" s="3479" t="s">
        <v>3395</v>
      </c>
      <c r="GG17" s="3479" t="s">
        <v>3396</v>
      </c>
      <c r="GH17" s="3479" t="s">
        <v>3393</v>
      </c>
      <c r="GI17" s="3479" t="s">
        <v>3394</v>
      </c>
      <c r="GJ17" s="3479" t="s">
        <v>3395</v>
      </c>
      <c r="GK17" s="3479" t="s">
        <v>3396</v>
      </c>
      <c r="GL17" s="3479" t="s">
        <v>3393</v>
      </c>
      <c r="GM17" s="3479" t="s">
        <v>3394</v>
      </c>
      <c r="GN17" s="3479" t="s">
        <v>3395</v>
      </c>
      <c r="GO17" s="3479" t="s">
        <v>3396</v>
      </c>
      <c r="GP17" s="3479" t="s">
        <v>3393</v>
      </c>
      <c r="GQ17" s="3479" t="s">
        <v>3394</v>
      </c>
      <c r="GR17" s="3479" t="s">
        <v>3395</v>
      </c>
      <c r="GS17" s="3479" t="s">
        <v>3396</v>
      </c>
      <c r="GT17" s="3479" t="s">
        <v>3393</v>
      </c>
      <c r="GU17" s="3479" t="s">
        <v>3394</v>
      </c>
      <c r="GV17" s="3479" t="s">
        <v>3395</v>
      </c>
      <c r="GW17" s="3479" t="s">
        <v>3396</v>
      </c>
      <c r="GX17" s="3479" t="s">
        <v>3393</v>
      </c>
      <c r="GY17" s="3479" t="s">
        <v>3394</v>
      </c>
      <c r="GZ17" s="3479" t="s">
        <v>3395</v>
      </c>
      <c r="HA17" s="3479" t="s">
        <v>3396</v>
      </c>
      <c r="HB17" s="3479" t="s">
        <v>3393</v>
      </c>
      <c r="HC17" s="3479" t="s">
        <v>3394</v>
      </c>
      <c r="HD17" s="3479" t="s">
        <v>3395</v>
      </c>
      <c r="HE17" s="3479" t="s">
        <v>3396</v>
      </c>
      <c r="HF17" s="3479" t="s">
        <v>3393</v>
      </c>
      <c r="HG17" s="3479" t="s">
        <v>3394</v>
      </c>
      <c r="HH17" s="3479" t="s">
        <v>3395</v>
      </c>
      <c r="HI17" s="3479" t="s">
        <v>3396</v>
      </c>
      <c r="HJ17" s="3479" t="s">
        <v>3393</v>
      </c>
      <c r="HK17" s="3479" t="s">
        <v>3394</v>
      </c>
      <c r="HL17" s="3479" t="s">
        <v>3395</v>
      </c>
      <c r="HM17" s="3479" t="s">
        <v>3396</v>
      </c>
      <c r="HN17" s="3479" t="s">
        <v>3393</v>
      </c>
      <c r="HO17" s="3479" t="s">
        <v>3394</v>
      </c>
      <c r="HP17" s="3479" t="s">
        <v>3395</v>
      </c>
      <c r="HQ17" s="3479" t="s">
        <v>3396</v>
      </c>
      <c r="HR17" s="3479" t="s">
        <v>3393</v>
      </c>
      <c r="HS17" s="3479" t="s">
        <v>3394</v>
      </c>
      <c r="HT17" s="3479" t="s">
        <v>3395</v>
      </c>
      <c r="HU17" s="3479" t="s">
        <v>3396</v>
      </c>
      <c r="HV17" s="3479" t="s">
        <v>3393</v>
      </c>
      <c r="HW17" s="3479" t="s">
        <v>3394</v>
      </c>
      <c r="HX17" s="3479" t="s">
        <v>3395</v>
      </c>
      <c r="HY17" s="3479" t="s">
        <v>3396</v>
      </c>
      <c r="HZ17" s="3479" t="s">
        <v>3393</v>
      </c>
      <c r="IA17" s="3479" t="s">
        <v>3394</v>
      </c>
      <c r="IB17" s="3479" t="s">
        <v>3395</v>
      </c>
      <c r="IC17" s="3479" t="s">
        <v>3396</v>
      </c>
      <c r="ID17" s="3479" t="s">
        <v>3393</v>
      </c>
      <c r="IE17" s="3479" t="s">
        <v>3394</v>
      </c>
      <c r="IF17" s="3479" t="s">
        <v>3395</v>
      </c>
      <c r="IG17" s="3479" t="s">
        <v>3396</v>
      </c>
      <c r="IH17" s="3479" t="s">
        <v>3393</v>
      </c>
      <c r="II17" s="3479" t="s">
        <v>3394</v>
      </c>
      <c r="IJ17" s="3479" t="s">
        <v>3395</v>
      </c>
      <c r="IK17" s="3479" t="s">
        <v>3396</v>
      </c>
      <c r="IL17" s="3479" t="s">
        <v>3393</v>
      </c>
      <c r="IM17" s="3479" t="s">
        <v>3394</v>
      </c>
      <c r="IN17" s="3479" t="s">
        <v>3395</v>
      </c>
      <c r="IO17" s="3479" t="s">
        <v>3396</v>
      </c>
      <c r="IP17" s="3479" t="s">
        <v>3393</v>
      </c>
      <c r="IQ17" s="3479" t="s">
        <v>3394</v>
      </c>
      <c r="IR17" s="3479" t="s">
        <v>3395</v>
      </c>
      <c r="IS17" s="3479" t="s">
        <v>3396</v>
      </c>
      <c r="IT17" s="3479" t="s">
        <v>3393</v>
      </c>
      <c r="IU17" s="3479" t="s">
        <v>3394</v>
      </c>
      <c r="IV17" s="3479" t="s">
        <v>3395</v>
      </c>
      <c r="IW17" s="3479" t="s">
        <v>3396</v>
      </c>
      <c r="IX17" s="3479" t="s">
        <v>3393</v>
      </c>
      <c r="IY17" s="3479" t="s">
        <v>3394</v>
      </c>
      <c r="IZ17" s="3479" t="s">
        <v>3395</v>
      </c>
      <c r="JA17" s="3479" t="s">
        <v>3396</v>
      </c>
      <c r="JB17" s="3479" t="s">
        <v>3393</v>
      </c>
      <c r="JC17" s="3479" t="s">
        <v>3394</v>
      </c>
      <c r="JD17" s="3479" t="s">
        <v>3395</v>
      </c>
      <c r="JE17" s="3479" t="s">
        <v>3396</v>
      </c>
      <c r="JF17" s="3479" t="s">
        <v>3393</v>
      </c>
      <c r="JG17" s="3479" t="s">
        <v>3394</v>
      </c>
      <c r="JH17" s="3479" t="s">
        <v>3395</v>
      </c>
      <c r="JI17" s="3479" t="s">
        <v>3396</v>
      </c>
      <c r="JJ17" s="3479" t="s">
        <v>3393</v>
      </c>
      <c r="JK17" s="3479" t="s">
        <v>3394</v>
      </c>
      <c r="JL17" s="3479" t="s">
        <v>3395</v>
      </c>
      <c r="JM17" s="3479" t="s">
        <v>3396</v>
      </c>
      <c r="JN17" s="3479" t="s">
        <v>3393</v>
      </c>
      <c r="JO17" s="3479" t="s">
        <v>3394</v>
      </c>
      <c r="JP17" s="3479" t="s">
        <v>3395</v>
      </c>
      <c r="JQ17" s="3479" t="s">
        <v>3396</v>
      </c>
      <c r="JR17" s="3479" t="s">
        <v>3393</v>
      </c>
      <c r="JS17" s="3479" t="s">
        <v>3394</v>
      </c>
      <c r="JT17" s="3479" t="s">
        <v>3395</v>
      </c>
      <c r="JU17" s="3479" t="s">
        <v>3396</v>
      </c>
      <c r="JV17" s="3479" t="s">
        <v>3393</v>
      </c>
      <c r="JW17" s="3479" t="s">
        <v>3394</v>
      </c>
      <c r="JX17" s="3479" t="s">
        <v>3395</v>
      </c>
      <c r="JY17" s="3479" t="s">
        <v>3396</v>
      </c>
      <c r="JZ17" s="3479" t="s">
        <v>3393</v>
      </c>
      <c r="KA17" s="3479" t="s">
        <v>3394</v>
      </c>
      <c r="KB17" s="3479" t="s">
        <v>3395</v>
      </c>
      <c r="KC17" s="3479" t="s">
        <v>3396</v>
      </c>
      <c r="KD17" s="3479" t="s">
        <v>3393</v>
      </c>
      <c r="KE17" s="3479" t="s">
        <v>3394</v>
      </c>
      <c r="KF17" s="3479" t="s">
        <v>3395</v>
      </c>
      <c r="KG17" s="3479" t="s">
        <v>3396</v>
      </c>
      <c r="KH17" s="3479" t="s">
        <v>3393</v>
      </c>
      <c r="KI17" s="3479" t="s">
        <v>3394</v>
      </c>
      <c r="KJ17" s="3479" t="s">
        <v>3395</v>
      </c>
      <c r="KK17" s="3479" t="s">
        <v>3396</v>
      </c>
      <c r="KL17" s="3479" t="s">
        <v>3393</v>
      </c>
      <c r="KM17" s="3479" t="s">
        <v>3394</v>
      </c>
      <c r="KN17" s="3479" t="s">
        <v>3395</v>
      </c>
      <c r="KO17" s="3479" t="s">
        <v>3396</v>
      </c>
      <c r="KP17" s="3479" t="s">
        <v>3393</v>
      </c>
      <c r="KQ17" s="3479" t="s">
        <v>3394</v>
      </c>
      <c r="KR17" s="3479" t="s">
        <v>3395</v>
      </c>
      <c r="KS17" s="3479" t="s">
        <v>3396</v>
      </c>
    </row>
    <row r="18" spans="1:309">
      <c r="A18" s="3479" t="s">
        <v>3619</v>
      </c>
      <c r="B18" s="3479">
        <v>147.25</v>
      </c>
      <c r="C18" s="3479">
        <v>16192</v>
      </c>
      <c r="D18" s="3479">
        <v>116745</v>
      </c>
      <c r="E18" s="3479" t="s">
        <v>3620</v>
      </c>
      <c r="F18" s="3479">
        <v>147.79</v>
      </c>
      <c r="G18" s="3479">
        <v>16580</v>
      </c>
      <c r="H18" s="3479">
        <v>117009</v>
      </c>
      <c r="I18" s="3479" t="s">
        <v>3621</v>
      </c>
      <c r="J18" s="3479">
        <v>147.28</v>
      </c>
      <c r="K18" s="3479">
        <v>16440</v>
      </c>
      <c r="L18" s="3479">
        <v>117741</v>
      </c>
      <c r="M18" s="3479" t="s">
        <v>3622</v>
      </c>
      <c r="N18" s="3479">
        <v>146.94999999999999</v>
      </c>
      <c r="O18" s="3479">
        <v>16395</v>
      </c>
      <c r="P18" s="3479">
        <v>118051</v>
      </c>
      <c r="Q18" s="3479" t="s">
        <v>3500</v>
      </c>
      <c r="R18" s="3479">
        <v>146.57</v>
      </c>
      <c r="S18" s="3479">
        <v>16673</v>
      </c>
      <c r="T18" s="3479">
        <v>118394</v>
      </c>
      <c r="U18" s="3479" t="s">
        <v>3623</v>
      </c>
      <c r="V18" s="3479">
        <v>148.22999999999999</v>
      </c>
      <c r="W18" s="3479">
        <v>16908</v>
      </c>
      <c r="X18" s="3479">
        <v>118699</v>
      </c>
      <c r="Y18" s="3479" t="s">
        <v>3509</v>
      </c>
      <c r="Z18" s="3479">
        <v>149.47</v>
      </c>
      <c r="AA18" s="3479">
        <v>16954</v>
      </c>
      <c r="AB18" s="3479">
        <v>118996</v>
      </c>
      <c r="AC18" s="3479" t="s">
        <v>3624</v>
      </c>
      <c r="AD18" s="3479">
        <v>150.1</v>
      </c>
      <c r="AE18" s="3479">
        <v>16804</v>
      </c>
      <c r="AF18" s="3479">
        <v>119855</v>
      </c>
      <c r="AG18" s="3479" t="s">
        <v>3622</v>
      </c>
      <c r="AH18" s="3479">
        <v>150.24</v>
      </c>
      <c r="AI18" s="3479">
        <v>16878</v>
      </c>
      <c r="AJ18" s="3479">
        <v>120116</v>
      </c>
      <c r="AK18" s="3479" t="s">
        <v>3622</v>
      </c>
      <c r="AL18" s="3479">
        <v>149.69999999999999</v>
      </c>
      <c r="AM18" s="3479">
        <v>16898</v>
      </c>
      <c r="AN18" s="3479">
        <v>119056</v>
      </c>
      <c r="AO18" s="3479" t="s">
        <v>3625</v>
      </c>
      <c r="AP18" s="3479">
        <v>148.9</v>
      </c>
      <c r="AQ18" s="3479">
        <v>16252</v>
      </c>
      <c r="AR18" s="3479">
        <v>119700</v>
      </c>
      <c r="AS18" s="3479" t="s">
        <v>3508</v>
      </c>
      <c r="AT18" s="3479">
        <v>148.59</v>
      </c>
      <c r="AU18" s="3479">
        <v>15860</v>
      </c>
      <c r="AV18" s="3479">
        <v>119668</v>
      </c>
      <c r="AW18" s="3479" t="s">
        <v>3496</v>
      </c>
      <c r="AX18" s="3479">
        <v>148.47999999999999</v>
      </c>
      <c r="AY18" s="3479">
        <v>15851</v>
      </c>
      <c r="AZ18" s="3479">
        <v>118142</v>
      </c>
      <c r="BA18" s="3479" t="s">
        <v>3624</v>
      </c>
      <c r="BB18" s="3479">
        <v>148.43</v>
      </c>
      <c r="BC18" s="3479">
        <v>15908</v>
      </c>
      <c r="BD18" s="3479">
        <v>117881</v>
      </c>
      <c r="BE18" s="3479" t="s">
        <v>3626</v>
      </c>
      <c r="BF18" s="3479">
        <v>147.94999999999999</v>
      </c>
      <c r="BG18" s="3479">
        <v>15762</v>
      </c>
      <c r="BH18" s="3479">
        <v>116879</v>
      </c>
      <c r="BI18" s="3479" t="s">
        <v>3461</v>
      </c>
      <c r="BJ18" s="3479">
        <v>146.56</v>
      </c>
      <c r="BK18" s="3479">
        <v>15903</v>
      </c>
      <c r="BL18" s="3479">
        <v>116615</v>
      </c>
      <c r="BM18" s="3479" t="s">
        <v>3624</v>
      </c>
      <c r="BN18" s="3479">
        <v>147.16</v>
      </c>
      <c r="BO18" s="3479">
        <v>15941</v>
      </c>
      <c r="BP18" s="3479">
        <v>116735</v>
      </c>
      <c r="BQ18" s="3479" t="s">
        <v>3620</v>
      </c>
      <c r="BR18" s="3479">
        <v>147.86000000000001</v>
      </c>
      <c r="BS18" s="3479">
        <v>16200</v>
      </c>
      <c r="BT18" s="3479">
        <v>116697</v>
      </c>
      <c r="BU18" s="3479" t="s">
        <v>3627</v>
      </c>
      <c r="BV18" s="3479">
        <v>148.24</v>
      </c>
      <c r="BW18" s="3479">
        <v>16240</v>
      </c>
      <c r="BX18" s="3479">
        <v>117564</v>
      </c>
      <c r="BY18" s="3479" t="s">
        <v>3620</v>
      </c>
      <c r="BZ18" s="3479">
        <v>148.91</v>
      </c>
      <c r="CA18" s="3479">
        <v>16534</v>
      </c>
      <c r="CB18" s="3479">
        <v>113270</v>
      </c>
      <c r="CC18" s="3479" t="s">
        <v>3628</v>
      </c>
      <c r="CD18" s="3479">
        <v>148.97</v>
      </c>
      <c r="CE18" s="3479">
        <v>16881</v>
      </c>
      <c r="CF18" s="3479">
        <v>110447</v>
      </c>
      <c r="CG18" s="3479" t="s">
        <v>3629</v>
      </c>
      <c r="CH18" s="3479">
        <v>148.66</v>
      </c>
      <c r="CI18" s="3479">
        <v>17632</v>
      </c>
      <c r="CJ18" s="3479">
        <v>108104</v>
      </c>
      <c r="CK18" s="3479" t="s">
        <v>3630</v>
      </c>
      <c r="CL18" s="3479">
        <v>148.44999999999999</v>
      </c>
      <c r="CM18" s="3479">
        <v>18034</v>
      </c>
      <c r="CN18" s="3479">
        <v>110055</v>
      </c>
      <c r="CO18" s="3479" t="s">
        <v>3629</v>
      </c>
      <c r="CP18" s="3479">
        <v>148.82</v>
      </c>
      <c r="CQ18" s="3479">
        <v>18026</v>
      </c>
      <c r="CR18" s="3479">
        <v>110390</v>
      </c>
      <c r="CS18" s="3479" t="s">
        <v>3631</v>
      </c>
      <c r="CT18" s="3479">
        <v>149.1</v>
      </c>
      <c r="CU18" s="3479">
        <v>18366</v>
      </c>
      <c r="CV18" s="3479">
        <v>109595</v>
      </c>
      <c r="CW18" s="3479" t="s">
        <v>3632</v>
      </c>
      <c r="CX18" s="3479">
        <v>148.94</v>
      </c>
      <c r="CY18" s="3479">
        <v>18565</v>
      </c>
      <c r="CZ18" s="3479">
        <v>109440</v>
      </c>
      <c r="DA18" s="3479" t="s">
        <v>3632</v>
      </c>
      <c r="DB18" s="3479">
        <v>148.57</v>
      </c>
      <c r="DC18" s="3479">
        <v>18294</v>
      </c>
      <c r="DD18" s="3479">
        <v>109773</v>
      </c>
      <c r="DE18" s="3479" t="s">
        <v>3633</v>
      </c>
      <c r="DF18" s="3479">
        <v>148.30000000000001</v>
      </c>
      <c r="DG18" s="3479">
        <v>18557</v>
      </c>
      <c r="DH18" s="3479">
        <v>109306</v>
      </c>
      <c r="DI18" s="3479" t="s">
        <v>3634</v>
      </c>
      <c r="DJ18" s="3479">
        <v>148.84</v>
      </c>
      <c r="DK18" s="3479">
        <v>17900</v>
      </c>
      <c r="DL18" s="3479">
        <v>108931</v>
      </c>
      <c r="DM18" s="3479" t="s">
        <v>3635</v>
      </c>
      <c r="DN18" s="3479">
        <v>150.69</v>
      </c>
      <c r="DO18" s="3479">
        <v>18412</v>
      </c>
      <c r="DP18" s="3479">
        <v>108910</v>
      </c>
      <c r="DQ18" s="3479" t="s">
        <v>3636</v>
      </c>
      <c r="DR18" s="3479">
        <v>152.96</v>
      </c>
      <c r="DS18" s="3479">
        <v>17440</v>
      </c>
      <c r="DT18" s="3479">
        <v>108517</v>
      </c>
      <c r="DU18" s="3479" t="s">
        <v>3637</v>
      </c>
      <c r="DV18" s="3479">
        <v>154.54</v>
      </c>
      <c r="DW18" s="3479">
        <v>17489</v>
      </c>
      <c r="DX18" s="3479">
        <v>108228</v>
      </c>
      <c r="DY18" s="3479" t="s">
        <v>3638</v>
      </c>
      <c r="DZ18" s="3479">
        <v>129.68</v>
      </c>
      <c r="EA18" s="3479">
        <v>11557</v>
      </c>
      <c r="EB18" s="3479">
        <v>107356</v>
      </c>
      <c r="EC18" s="3479" t="s">
        <v>3542</v>
      </c>
      <c r="ED18" s="3479">
        <v>121.52</v>
      </c>
      <c r="EE18" s="3479">
        <v>10805</v>
      </c>
      <c r="EF18" s="3479">
        <v>106183</v>
      </c>
      <c r="EG18" s="3479" t="s">
        <v>3639</v>
      </c>
      <c r="EH18" s="3479">
        <v>126.87</v>
      </c>
      <c r="EI18" s="3479">
        <v>10685</v>
      </c>
      <c r="EJ18" s="3479">
        <v>105294</v>
      </c>
      <c r="EK18" s="3479" t="s">
        <v>3502</v>
      </c>
      <c r="EL18" s="3479">
        <v>156.72</v>
      </c>
      <c r="EM18" s="3479">
        <v>15881</v>
      </c>
      <c r="EN18" s="3479">
        <v>104486</v>
      </c>
      <c r="EO18" s="3479" t="s">
        <v>3640</v>
      </c>
      <c r="EP18" s="3479">
        <v>146.19</v>
      </c>
      <c r="EQ18" s="3479">
        <v>13668</v>
      </c>
      <c r="ER18" s="3479">
        <v>101663</v>
      </c>
      <c r="ES18" s="3479" t="s">
        <v>3641</v>
      </c>
      <c r="ET18" s="3479">
        <v>141.4</v>
      </c>
      <c r="EU18" s="3479">
        <v>13282</v>
      </c>
      <c r="EV18" s="3479">
        <v>99282</v>
      </c>
      <c r="EW18" s="3479" t="s">
        <v>3642</v>
      </c>
      <c r="EX18" s="3479">
        <v>135.47999999999999</v>
      </c>
      <c r="EY18" s="3479">
        <v>12601</v>
      </c>
      <c r="EZ18" s="3479">
        <v>98924</v>
      </c>
      <c r="FA18" s="3479" t="s">
        <v>3643</v>
      </c>
      <c r="FB18" s="3479">
        <v>131.5</v>
      </c>
      <c r="FC18" s="3479">
        <v>11982</v>
      </c>
      <c r="FD18" s="3479">
        <v>99397</v>
      </c>
      <c r="FE18" s="3479" t="s">
        <v>3644</v>
      </c>
      <c r="FF18" s="3479">
        <v>132.55000000000001</v>
      </c>
      <c r="FG18" s="3479">
        <v>12214</v>
      </c>
      <c r="FH18" s="3479">
        <v>99272</v>
      </c>
      <c r="FI18" s="3479" t="s">
        <v>3645</v>
      </c>
      <c r="FJ18" s="3479">
        <v>132.69999999999999</v>
      </c>
      <c r="FK18" s="3479">
        <v>12533</v>
      </c>
      <c r="FL18" s="3479">
        <v>99944</v>
      </c>
      <c r="FM18" s="3479" t="s">
        <v>3501</v>
      </c>
      <c r="FN18" s="3479">
        <v>133.54</v>
      </c>
      <c r="FO18" s="3479">
        <v>12642</v>
      </c>
      <c r="FP18" s="3479">
        <v>105137</v>
      </c>
      <c r="FQ18" s="3479" t="s">
        <v>3646</v>
      </c>
      <c r="FR18" s="3479">
        <v>135.85</v>
      </c>
      <c r="FS18" s="3479">
        <v>12696</v>
      </c>
      <c r="FT18" s="3479">
        <v>104399</v>
      </c>
      <c r="FU18" s="3479" t="s">
        <v>3647</v>
      </c>
      <c r="FV18" s="3479">
        <v>137.74</v>
      </c>
      <c r="FW18" s="3479">
        <v>13368</v>
      </c>
      <c r="FX18" s="3479">
        <v>104682</v>
      </c>
      <c r="FY18" s="3479" t="s">
        <v>3648</v>
      </c>
      <c r="FZ18" s="3479">
        <v>137.91999999999999</v>
      </c>
      <c r="GA18" s="3479">
        <v>13119</v>
      </c>
      <c r="GB18" s="3479">
        <v>104273</v>
      </c>
      <c r="GC18" s="3479" t="s">
        <v>3644</v>
      </c>
      <c r="GD18" s="3479">
        <v>134.22999999999999</v>
      </c>
      <c r="GE18" s="3479">
        <v>12610</v>
      </c>
      <c r="GF18" s="3479">
        <v>104552</v>
      </c>
      <c r="GG18" s="3479" t="s">
        <v>3649</v>
      </c>
      <c r="GH18" s="3479">
        <v>133.55000000000001</v>
      </c>
      <c r="GI18" s="3479">
        <v>12361</v>
      </c>
      <c r="GJ18" s="3479">
        <v>104313</v>
      </c>
      <c r="GK18" s="3479" t="s">
        <v>3650</v>
      </c>
      <c r="GL18" s="3479">
        <v>134.74</v>
      </c>
      <c r="GM18" s="3479">
        <v>12631</v>
      </c>
      <c r="GN18" s="3479">
        <v>104711</v>
      </c>
      <c r="GO18" s="3479" t="s">
        <v>3651</v>
      </c>
      <c r="GP18" s="3479">
        <v>138.5</v>
      </c>
      <c r="GQ18" s="3479">
        <v>12536</v>
      </c>
      <c r="GR18" s="3479">
        <v>95082</v>
      </c>
      <c r="GS18" s="3479" t="s">
        <v>3652</v>
      </c>
      <c r="GT18" s="3479">
        <v>139.85</v>
      </c>
      <c r="GU18" s="3479">
        <v>12958</v>
      </c>
      <c r="GV18" s="3479">
        <v>104076</v>
      </c>
      <c r="GW18" s="3479" t="s">
        <v>3653</v>
      </c>
      <c r="GX18" s="3479">
        <v>141.58000000000001</v>
      </c>
      <c r="GY18" s="3479">
        <v>13451</v>
      </c>
      <c r="GZ18" s="3479">
        <v>104628</v>
      </c>
      <c r="HA18" s="3479" t="s">
        <v>3633</v>
      </c>
      <c r="HB18" s="3479">
        <v>138.82</v>
      </c>
      <c r="HC18" s="3479">
        <v>13146</v>
      </c>
      <c r="HD18" s="3479">
        <v>104193</v>
      </c>
      <c r="HE18" s="3479" t="s">
        <v>3654</v>
      </c>
      <c r="HF18" s="3479">
        <v>132.06</v>
      </c>
      <c r="HG18" s="3479">
        <v>11758</v>
      </c>
      <c r="HH18" s="3479">
        <v>103801</v>
      </c>
      <c r="HI18" s="3479" t="s">
        <v>3655</v>
      </c>
      <c r="HJ18" s="3479">
        <v>127.3</v>
      </c>
      <c r="HK18" s="3479">
        <v>10747</v>
      </c>
      <c r="HL18" s="3479">
        <v>104126</v>
      </c>
      <c r="HM18" s="3479" t="s">
        <v>3656</v>
      </c>
      <c r="HN18" s="3479">
        <v>134.13</v>
      </c>
      <c r="HO18" s="3479">
        <v>12205</v>
      </c>
      <c r="HP18" s="3479">
        <v>104177</v>
      </c>
      <c r="HQ18" s="3479" t="s">
        <v>3651</v>
      </c>
      <c r="HR18" s="3479">
        <v>134.04</v>
      </c>
      <c r="HS18" s="3479">
        <v>12361</v>
      </c>
      <c r="HT18" s="3479">
        <v>104122</v>
      </c>
      <c r="HU18" s="3479" t="s">
        <v>3651</v>
      </c>
      <c r="HV18" s="3479">
        <v>131.88999999999999</v>
      </c>
      <c r="HW18" s="3479">
        <v>11946</v>
      </c>
      <c r="HX18" s="3479">
        <v>102687</v>
      </c>
      <c r="HY18" s="3479" t="s">
        <v>3649</v>
      </c>
      <c r="HZ18" s="3479">
        <v>137.38</v>
      </c>
      <c r="IA18" s="3479">
        <v>12828</v>
      </c>
      <c r="IB18" s="3479">
        <v>102813</v>
      </c>
      <c r="IC18" s="3479" t="s">
        <v>3657</v>
      </c>
      <c r="ID18" s="3479">
        <v>137.15</v>
      </c>
      <c r="IE18" s="3479">
        <v>12922</v>
      </c>
      <c r="IF18" s="3479">
        <v>103498</v>
      </c>
      <c r="IG18" s="3479" t="s">
        <v>3658</v>
      </c>
      <c r="IH18" s="3479">
        <v>132.33000000000001</v>
      </c>
      <c r="II18" s="3479">
        <v>12226</v>
      </c>
      <c r="IJ18" s="3479">
        <v>102009</v>
      </c>
      <c r="IK18" s="3479" t="s">
        <v>3659</v>
      </c>
      <c r="IL18" s="3479">
        <v>130.01</v>
      </c>
      <c r="IM18" s="3479">
        <v>12103</v>
      </c>
      <c r="IN18" s="3479">
        <v>101682</v>
      </c>
      <c r="IO18" s="3479" t="s">
        <v>3660</v>
      </c>
      <c r="IP18" s="3479">
        <v>127.41</v>
      </c>
      <c r="IQ18" s="3479">
        <v>11375</v>
      </c>
      <c r="IR18" s="3479">
        <v>101844</v>
      </c>
      <c r="IS18" s="3479" t="s">
        <v>3622</v>
      </c>
      <c r="IT18" s="3479">
        <v>130.13999999999999</v>
      </c>
      <c r="IU18" s="3479">
        <v>12386</v>
      </c>
      <c r="IV18" s="3479">
        <v>101410</v>
      </c>
      <c r="IW18" s="3479" t="s">
        <v>3649</v>
      </c>
      <c r="IX18" s="3479">
        <v>131.91999999999999</v>
      </c>
      <c r="IY18" s="3479">
        <v>12158</v>
      </c>
      <c r="IZ18" s="3479">
        <v>101712</v>
      </c>
      <c r="JA18" s="3479" t="s">
        <v>3659</v>
      </c>
      <c r="JB18" s="3479">
        <v>126.76</v>
      </c>
      <c r="JC18" s="3479">
        <v>11186</v>
      </c>
      <c r="JD18" s="3479">
        <v>101793</v>
      </c>
      <c r="JE18" s="3479" t="s">
        <v>3500</v>
      </c>
      <c r="JF18" s="3479">
        <v>124.97</v>
      </c>
      <c r="JG18" s="3479">
        <v>10910</v>
      </c>
      <c r="JH18" s="3479">
        <v>102086</v>
      </c>
      <c r="JI18" s="3479" t="s">
        <v>3661</v>
      </c>
      <c r="JJ18" s="3479">
        <v>119.79</v>
      </c>
      <c r="JK18" s="3479">
        <v>10040</v>
      </c>
      <c r="JL18" s="3479">
        <v>102020</v>
      </c>
      <c r="JM18" s="3479" t="s">
        <v>3601</v>
      </c>
      <c r="JN18" s="3479">
        <v>119.75</v>
      </c>
      <c r="JO18" s="3479">
        <v>9981</v>
      </c>
      <c r="JP18" s="3479">
        <v>102699</v>
      </c>
      <c r="JQ18" s="3479" t="s">
        <v>3662</v>
      </c>
      <c r="JR18" s="3479">
        <v>112.98</v>
      </c>
      <c r="JS18" s="3479">
        <v>9093</v>
      </c>
      <c r="JT18" s="3479">
        <v>101416</v>
      </c>
      <c r="JU18" s="3479" t="s">
        <v>3513</v>
      </c>
      <c r="JV18" s="3479">
        <v>132.12</v>
      </c>
      <c r="JW18" s="3479">
        <v>13135</v>
      </c>
      <c r="JX18" s="3479">
        <v>101216</v>
      </c>
      <c r="JY18" s="3479" t="s">
        <v>3663</v>
      </c>
      <c r="JZ18" s="3479">
        <v>125.59</v>
      </c>
      <c r="KA18" s="3479">
        <v>10684</v>
      </c>
      <c r="KB18" s="3479">
        <v>100371</v>
      </c>
      <c r="KC18" s="3479" t="s">
        <v>3622</v>
      </c>
      <c r="KD18" s="3479">
        <v>108.6</v>
      </c>
      <c r="KE18" s="3479">
        <v>8709</v>
      </c>
      <c r="KF18" s="3479">
        <v>93018</v>
      </c>
      <c r="KG18" s="3479" t="s">
        <v>3439</v>
      </c>
      <c r="KH18" s="3479">
        <v>120.09</v>
      </c>
      <c r="KI18" s="3479">
        <v>11751</v>
      </c>
      <c r="KJ18" s="3479">
        <v>103308</v>
      </c>
      <c r="KK18" s="3479" t="s">
        <v>3664</v>
      </c>
      <c r="KL18" s="3479">
        <v>109.26</v>
      </c>
      <c r="KM18" s="3479">
        <v>8946</v>
      </c>
      <c r="KN18" s="3479">
        <v>86142</v>
      </c>
      <c r="KO18" s="3479" t="s">
        <v>3543</v>
      </c>
      <c r="KP18" s="3479">
        <v>98.98</v>
      </c>
      <c r="KQ18" s="3479">
        <v>7782</v>
      </c>
      <c r="KR18" s="3479">
        <v>101616</v>
      </c>
      <c r="KS18" s="3479" t="s">
        <v>3665</v>
      </c>
    </row>
    <row r="23" spans="1:309">
      <c r="E23" s="3479">
        <f>1/1079*12</f>
        <v>1.1121408711770158E-2</v>
      </c>
    </row>
    <row r="25" spans="1:309" s="1156" customFormat="1" ht="13.5">
      <c r="A25" s="3491" t="s">
        <v>3618</v>
      </c>
      <c r="B25" s="3492">
        <v>45413.333831018521</v>
      </c>
      <c r="C25" s="3491"/>
      <c r="D25" s="3491"/>
      <c r="E25" s="3491"/>
      <c r="F25" s="3492">
        <v>45383.333831018521</v>
      </c>
      <c r="G25" s="3491"/>
      <c r="H25" s="3491"/>
      <c r="I25" s="3491"/>
      <c r="J25" s="3492">
        <v>45352.333831018521</v>
      </c>
      <c r="K25" s="3491"/>
      <c r="L25" s="3491"/>
      <c r="M25" s="3491"/>
      <c r="N25" s="3492">
        <v>45323.333831018521</v>
      </c>
      <c r="O25" s="3491"/>
      <c r="P25" s="3491"/>
      <c r="Q25" s="3491"/>
      <c r="R25" s="3492">
        <v>45292.333831018521</v>
      </c>
      <c r="S25" s="3491"/>
      <c r="T25" s="3491"/>
      <c r="U25" s="3491"/>
      <c r="V25" s="3492">
        <v>45261.333831018521</v>
      </c>
      <c r="W25" s="3491"/>
      <c r="X25" s="3491"/>
      <c r="Y25" s="3491"/>
      <c r="Z25" s="3492">
        <v>45231.333831018521</v>
      </c>
      <c r="AA25" s="3491"/>
      <c r="AB25" s="3491"/>
      <c r="AC25" s="3491"/>
      <c r="AD25" s="3492">
        <v>45200.333831018521</v>
      </c>
      <c r="AE25" s="3491"/>
      <c r="AF25" s="3491"/>
      <c r="AG25" s="3491"/>
      <c r="AH25" s="3492">
        <v>45170.333831018521</v>
      </c>
      <c r="AI25" s="3491"/>
      <c r="AJ25" s="3491"/>
      <c r="AK25" s="3491"/>
      <c r="AL25" s="3492">
        <v>45139.333831018521</v>
      </c>
      <c r="AM25" s="3491"/>
      <c r="AN25" s="3491"/>
      <c r="AO25" s="3491"/>
      <c r="AP25" s="3492">
        <v>45108.333831018521</v>
      </c>
      <c r="AQ25" s="3491"/>
      <c r="AR25" s="3491"/>
      <c r="AS25" s="3491"/>
      <c r="AT25" s="3492">
        <v>45078.333831018521</v>
      </c>
      <c r="AU25" s="3491"/>
      <c r="AV25" s="3491"/>
      <c r="AW25" s="3491"/>
      <c r="AX25" s="3492">
        <v>45047.333831018521</v>
      </c>
      <c r="AY25" s="3491"/>
      <c r="AZ25" s="3491"/>
      <c r="BA25" s="3491"/>
      <c r="BB25" s="3492">
        <v>45017.333831018521</v>
      </c>
      <c r="BC25" s="3491"/>
      <c r="BD25" s="3491"/>
      <c r="BE25" s="3491"/>
      <c r="BF25" s="3492">
        <v>44986.333831018521</v>
      </c>
      <c r="BG25" s="3491"/>
      <c r="BH25" s="3491"/>
      <c r="BI25" s="3491"/>
      <c r="BJ25" s="3492">
        <v>44958.333831018521</v>
      </c>
      <c r="BK25" s="3491"/>
      <c r="BL25" s="3491"/>
      <c r="BM25" s="3491"/>
      <c r="BN25" s="3492">
        <v>44927.333831018521</v>
      </c>
      <c r="BO25" s="3491"/>
      <c r="BP25" s="3491"/>
      <c r="BQ25" s="3491"/>
      <c r="BR25" s="3492">
        <v>44896.333831018521</v>
      </c>
      <c r="BS25" s="3491"/>
      <c r="BT25" s="3491"/>
      <c r="BU25" s="3491"/>
      <c r="BV25" s="3492">
        <v>44866.333831018521</v>
      </c>
      <c r="BW25" s="3491"/>
      <c r="BX25" s="3491"/>
      <c r="BY25" s="3491"/>
      <c r="BZ25" s="3492">
        <v>44835.333831018521</v>
      </c>
      <c r="CA25" s="3491"/>
      <c r="CB25" s="3491"/>
      <c r="CC25" s="3491"/>
      <c r="CD25" s="3492">
        <v>44805.333831018521</v>
      </c>
      <c r="CE25" s="3491"/>
      <c r="CF25" s="3491"/>
      <c r="CG25" s="3491"/>
      <c r="CH25" s="3492">
        <v>44774.333831018521</v>
      </c>
      <c r="CI25" s="3491"/>
      <c r="CJ25" s="3491"/>
      <c r="CK25" s="3491"/>
      <c r="CL25" s="3492">
        <v>44743.333831018521</v>
      </c>
      <c r="CM25" s="3491"/>
      <c r="CN25" s="3491"/>
      <c r="CO25" s="3491"/>
      <c r="CP25" s="3492">
        <v>44713.333831018521</v>
      </c>
      <c r="CQ25" s="3491"/>
      <c r="CR25" s="3491"/>
      <c r="CS25" s="3491"/>
      <c r="CT25" s="3492">
        <v>44682.333831018521</v>
      </c>
      <c r="CU25" s="3491"/>
      <c r="CV25" s="3491"/>
      <c r="CW25" s="3491"/>
      <c r="CX25" s="3492">
        <v>44652.333831018521</v>
      </c>
      <c r="CY25" s="3491"/>
      <c r="CZ25" s="3491"/>
      <c r="DA25" s="3491"/>
      <c r="DB25" s="3492">
        <v>44621.333831018521</v>
      </c>
      <c r="DC25" s="3491"/>
      <c r="DD25" s="3491"/>
      <c r="DE25" s="3491"/>
      <c r="DF25" s="3492">
        <v>44593.333831018521</v>
      </c>
      <c r="DG25" s="3491"/>
      <c r="DH25" s="3491"/>
      <c r="DI25" s="3491"/>
      <c r="DJ25" s="3492">
        <v>44562.333831018521</v>
      </c>
      <c r="DK25" s="3491"/>
      <c r="DL25" s="3491"/>
      <c r="DM25" s="3491"/>
      <c r="DN25" s="3492">
        <v>44531.333831018521</v>
      </c>
      <c r="DO25" s="3491"/>
      <c r="DP25" s="3491"/>
      <c r="DQ25" s="3491"/>
      <c r="DR25" s="3492">
        <v>44501.333831018521</v>
      </c>
      <c r="DS25" s="3491"/>
      <c r="DT25" s="3491"/>
      <c r="DU25" s="3491"/>
      <c r="DV25" s="3492">
        <v>44470.333831018521</v>
      </c>
      <c r="DW25" s="3491"/>
      <c r="DX25" s="3491"/>
      <c r="DY25" s="3491"/>
      <c r="DZ25" s="3492">
        <v>44440.333831018521</v>
      </c>
      <c r="EA25" s="3491"/>
      <c r="EB25" s="3491"/>
      <c r="EC25" s="3491"/>
      <c r="ED25" s="3492">
        <v>44409.333831018521</v>
      </c>
      <c r="EE25" s="3491"/>
      <c r="EF25" s="3491"/>
      <c r="EG25" s="3491"/>
      <c r="EH25" s="3492">
        <v>44378.333831018521</v>
      </c>
      <c r="EI25" s="3491"/>
      <c r="EJ25" s="3491"/>
      <c r="EK25" s="3491"/>
      <c r="EL25" s="3492">
        <v>44348.333831018521</v>
      </c>
      <c r="EM25" s="3491"/>
      <c r="EN25" s="3491"/>
      <c r="EO25" s="3491"/>
      <c r="EP25" s="3492">
        <v>44317.333831018521</v>
      </c>
      <c r="EQ25" s="3491"/>
      <c r="ER25" s="3491"/>
      <c r="ES25" s="3491"/>
      <c r="ET25" s="3492">
        <v>44287.333831018521</v>
      </c>
      <c r="EU25" s="3491"/>
      <c r="EV25" s="3491"/>
      <c r="EW25" s="3491"/>
      <c r="EX25" s="3492">
        <v>44256.333831018521</v>
      </c>
      <c r="EY25" s="3491"/>
      <c r="EZ25" s="3491"/>
      <c r="FA25" s="3491"/>
      <c r="FB25" s="3492">
        <v>44228.333831018521</v>
      </c>
      <c r="FC25" s="3491"/>
      <c r="FD25" s="3491"/>
      <c r="FE25" s="3491"/>
      <c r="FF25" s="3492">
        <v>44197.333831018521</v>
      </c>
      <c r="FG25" s="3491"/>
      <c r="FH25" s="3491"/>
      <c r="FI25" s="3491"/>
      <c r="FJ25" s="3492">
        <v>44166.333831018521</v>
      </c>
      <c r="FK25" s="3491"/>
      <c r="FL25" s="3491"/>
      <c r="FM25" s="3491"/>
      <c r="FN25" s="3492">
        <v>44136.333831018521</v>
      </c>
      <c r="FO25" s="3491"/>
      <c r="FP25" s="3491"/>
      <c r="FQ25" s="3491"/>
      <c r="FR25" s="3492">
        <v>44105.333831018521</v>
      </c>
      <c r="FS25" s="3491"/>
      <c r="FT25" s="3491"/>
      <c r="FU25" s="3491"/>
      <c r="FV25" s="3492">
        <v>44075.333831018521</v>
      </c>
      <c r="FW25" s="3491"/>
      <c r="FX25" s="3491"/>
      <c r="FY25" s="3491"/>
      <c r="FZ25" s="3492">
        <v>44044.333831018521</v>
      </c>
      <c r="GA25" s="3491"/>
      <c r="GB25" s="3491"/>
      <c r="GC25" s="3491"/>
      <c r="GD25" s="3492">
        <v>44013.333831018521</v>
      </c>
      <c r="GE25" s="3491"/>
      <c r="GF25" s="3491"/>
      <c r="GG25" s="3491"/>
      <c r="GH25" s="3492">
        <v>43983.333831018521</v>
      </c>
      <c r="GI25" s="3491"/>
      <c r="GJ25" s="3491"/>
      <c r="GK25" s="3491"/>
      <c r="GL25" s="3492">
        <v>43952.333831018521</v>
      </c>
      <c r="GM25" s="3491"/>
      <c r="GN25" s="3491"/>
      <c r="GO25" s="3491"/>
      <c r="GP25" s="3492">
        <v>43922.333831018521</v>
      </c>
      <c r="GQ25" s="3491"/>
      <c r="GR25" s="3491"/>
      <c r="GS25" s="3491"/>
      <c r="GT25" s="3492">
        <v>43891.333831018521</v>
      </c>
      <c r="GU25" s="3491"/>
      <c r="GV25" s="3491"/>
      <c r="GW25" s="3491"/>
      <c r="GX25" s="3492">
        <v>43862.333831018521</v>
      </c>
      <c r="GY25" s="3491"/>
      <c r="GZ25" s="3491"/>
      <c r="HA25" s="3491"/>
      <c r="HB25" s="3492">
        <v>43831.333831018521</v>
      </c>
      <c r="HC25" s="3491"/>
      <c r="HD25" s="3491"/>
      <c r="HE25" s="3491"/>
      <c r="HF25" s="3492">
        <v>43800.333831018521</v>
      </c>
      <c r="HG25" s="3491"/>
      <c r="HH25" s="3491"/>
      <c r="HI25" s="3491"/>
      <c r="HJ25" s="3492">
        <v>43770.333831018521</v>
      </c>
      <c r="HK25" s="3491"/>
      <c r="HL25" s="3491"/>
      <c r="HM25" s="3491"/>
      <c r="HN25" s="3492">
        <v>43739.333831018521</v>
      </c>
      <c r="HO25" s="3491"/>
      <c r="HP25" s="3491"/>
      <c r="HQ25" s="3491"/>
      <c r="HR25" s="3492">
        <v>43709.333831018521</v>
      </c>
      <c r="HS25" s="3491"/>
      <c r="HT25" s="3491"/>
      <c r="HU25" s="3491"/>
      <c r="HV25" s="3492">
        <v>43678.333831018521</v>
      </c>
      <c r="HW25" s="3491"/>
      <c r="HX25" s="3491"/>
      <c r="HY25" s="3491"/>
      <c r="HZ25" s="3492">
        <v>43647.333831018521</v>
      </c>
      <c r="IA25" s="3491"/>
      <c r="IB25" s="3491"/>
      <c r="IC25" s="3491"/>
      <c r="ID25" s="3492">
        <v>43617.333831018521</v>
      </c>
      <c r="IE25" s="3491"/>
      <c r="IF25" s="3491"/>
      <c r="IG25" s="3491"/>
      <c r="IH25" s="3492">
        <v>43586.333831018521</v>
      </c>
      <c r="II25" s="3491"/>
      <c r="IJ25" s="3491"/>
      <c r="IK25" s="3491"/>
      <c r="IL25" s="3492">
        <v>43556.333831018521</v>
      </c>
      <c r="IM25" s="3491"/>
      <c r="IN25" s="3491"/>
      <c r="IO25" s="3491"/>
      <c r="IP25" s="3492">
        <v>43525.333831018521</v>
      </c>
      <c r="IQ25" s="3491"/>
      <c r="IR25" s="3491"/>
      <c r="IS25" s="3491"/>
      <c r="IT25" s="3492">
        <v>43497.333831018521</v>
      </c>
      <c r="IU25" s="3491"/>
      <c r="IV25" s="3491"/>
      <c r="IW25" s="3491"/>
      <c r="IX25" s="3492">
        <v>43466.333831018521</v>
      </c>
      <c r="IY25" s="3491"/>
      <c r="IZ25" s="3491"/>
      <c r="JA25" s="3491"/>
      <c r="JB25" s="3492">
        <v>43435.333831018521</v>
      </c>
      <c r="JC25" s="3491"/>
      <c r="JD25" s="3491"/>
      <c r="JE25" s="3491"/>
      <c r="JF25" s="3492">
        <v>43405.333831018521</v>
      </c>
      <c r="JG25" s="3491"/>
      <c r="JH25" s="3491"/>
      <c r="JI25" s="3491"/>
      <c r="JJ25" s="3492">
        <v>43374.333831018521</v>
      </c>
      <c r="JK25" s="3491"/>
      <c r="JL25" s="3491"/>
      <c r="JM25" s="3491"/>
      <c r="JN25" s="3492">
        <v>43344.333831018521</v>
      </c>
      <c r="JO25" s="3491"/>
      <c r="JP25" s="3491"/>
      <c r="JQ25" s="3491"/>
      <c r="JR25" s="3492">
        <v>43313.333831018521</v>
      </c>
      <c r="JS25" s="3491"/>
      <c r="JT25" s="3491"/>
      <c r="JU25" s="3491"/>
      <c r="JV25" s="3492">
        <v>43282.333831018521</v>
      </c>
      <c r="JW25" s="3491"/>
      <c r="JX25" s="3491"/>
      <c r="JY25" s="3491"/>
      <c r="JZ25" s="3492">
        <v>43252.333831018521</v>
      </c>
      <c r="KA25" s="3491"/>
      <c r="KB25" s="3491"/>
      <c r="KC25" s="3491"/>
      <c r="KD25" s="3492">
        <v>43221.333831018521</v>
      </c>
      <c r="KE25" s="3491"/>
      <c r="KF25" s="3491"/>
      <c r="KG25" s="3491"/>
      <c r="KH25" s="3492">
        <v>43191.333831018521</v>
      </c>
      <c r="KI25" s="3491"/>
      <c r="KJ25" s="3491"/>
      <c r="KK25" s="3491"/>
      <c r="KL25" s="3492">
        <v>43160.333831018521</v>
      </c>
      <c r="KM25" s="3491"/>
      <c r="KN25" s="3491"/>
      <c r="KO25" s="3491"/>
      <c r="KP25" s="3492">
        <v>43132.333831018521</v>
      </c>
      <c r="KQ25" s="3491"/>
      <c r="KR25" s="3491"/>
      <c r="KS25" s="3491"/>
      <c r="KT25" s="3492">
        <v>43101.333831018521</v>
      </c>
      <c r="KU25" s="3491"/>
      <c r="KV25" s="3491"/>
      <c r="KW25" s="3491"/>
    </row>
    <row r="26" spans="1:309" s="1156" customFormat="1" ht="13.5">
      <c r="A26" s="3491"/>
      <c r="B26" s="1156" t="s">
        <v>3393</v>
      </c>
      <c r="C26" s="1156" t="s">
        <v>3394</v>
      </c>
      <c r="D26" s="1156" t="s">
        <v>3395</v>
      </c>
      <c r="E26" s="1156" t="s">
        <v>3396</v>
      </c>
      <c r="F26" s="1156" t="s">
        <v>3393</v>
      </c>
      <c r="G26" s="1156" t="s">
        <v>3394</v>
      </c>
      <c r="H26" s="1156" t="s">
        <v>3395</v>
      </c>
      <c r="I26" s="1156" t="s">
        <v>3396</v>
      </c>
      <c r="J26" s="1156" t="s">
        <v>3393</v>
      </c>
      <c r="K26" s="1156" t="s">
        <v>3394</v>
      </c>
      <c r="L26" s="1156" t="s">
        <v>3395</v>
      </c>
      <c r="M26" s="1156" t="s">
        <v>3396</v>
      </c>
      <c r="N26" s="1156" t="s">
        <v>3393</v>
      </c>
      <c r="O26" s="1156" t="s">
        <v>3394</v>
      </c>
      <c r="P26" s="1156" t="s">
        <v>3395</v>
      </c>
      <c r="Q26" s="1156" t="s">
        <v>3396</v>
      </c>
      <c r="R26" s="1156" t="s">
        <v>3393</v>
      </c>
      <c r="S26" s="1156" t="s">
        <v>3394</v>
      </c>
      <c r="T26" s="1156" t="s">
        <v>3395</v>
      </c>
      <c r="U26" s="1156" t="s">
        <v>3396</v>
      </c>
      <c r="V26" s="1156" t="s">
        <v>3393</v>
      </c>
      <c r="W26" s="1156" t="s">
        <v>3394</v>
      </c>
      <c r="X26" s="1156" t="s">
        <v>3395</v>
      </c>
      <c r="Y26" s="1156" t="s">
        <v>3396</v>
      </c>
      <c r="Z26" s="1156" t="s">
        <v>3393</v>
      </c>
      <c r="AA26" s="1156" t="s">
        <v>3394</v>
      </c>
      <c r="AB26" s="1156" t="s">
        <v>3395</v>
      </c>
      <c r="AC26" s="1156" t="s">
        <v>3396</v>
      </c>
      <c r="AD26" s="1156" t="s">
        <v>3393</v>
      </c>
      <c r="AE26" s="1156" t="s">
        <v>3394</v>
      </c>
      <c r="AF26" s="1156" t="s">
        <v>3395</v>
      </c>
      <c r="AG26" s="1156" t="s">
        <v>3396</v>
      </c>
      <c r="AH26" s="1156" t="s">
        <v>3393</v>
      </c>
      <c r="AI26" s="1156" t="s">
        <v>3394</v>
      </c>
      <c r="AJ26" s="1156" t="s">
        <v>3395</v>
      </c>
      <c r="AK26" s="1156" t="s">
        <v>3396</v>
      </c>
      <c r="AL26" s="1156" t="s">
        <v>3393</v>
      </c>
      <c r="AM26" s="1156" t="s">
        <v>3394</v>
      </c>
      <c r="AN26" s="1156" t="s">
        <v>3395</v>
      </c>
      <c r="AO26" s="1156" t="s">
        <v>3396</v>
      </c>
      <c r="AP26" s="1156" t="s">
        <v>3393</v>
      </c>
      <c r="AQ26" s="1156" t="s">
        <v>3394</v>
      </c>
      <c r="AR26" s="1156" t="s">
        <v>3395</v>
      </c>
      <c r="AS26" s="1156" t="s">
        <v>3396</v>
      </c>
      <c r="AT26" s="1156" t="s">
        <v>3393</v>
      </c>
      <c r="AU26" s="1156" t="s">
        <v>3394</v>
      </c>
      <c r="AV26" s="1156" t="s">
        <v>3395</v>
      </c>
      <c r="AW26" s="1156" t="s">
        <v>3396</v>
      </c>
      <c r="AX26" s="1156" t="s">
        <v>3393</v>
      </c>
      <c r="AY26" s="1156" t="s">
        <v>3394</v>
      </c>
      <c r="AZ26" s="1156" t="s">
        <v>3395</v>
      </c>
      <c r="BA26" s="1156" t="s">
        <v>3396</v>
      </c>
      <c r="BB26" s="1156" t="s">
        <v>3393</v>
      </c>
      <c r="BC26" s="1156" t="s">
        <v>3394</v>
      </c>
      <c r="BD26" s="1156" t="s">
        <v>3395</v>
      </c>
      <c r="BE26" s="1156" t="s">
        <v>3396</v>
      </c>
      <c r="BF26" s="1156" t="s">
        <v>3393</v>
      </c>
      <c r="BG26" s="1156" t="s">
        <v>3394</v>
      </c>
      <c r="BH26" s="1156" t="s">
        <v>3395</v>
      </c>
      <c r="BI26" s="1156" t="s">
        <v>3396</v>
      </c>
      <c r="BJ26" s="1156" t="s">
        <v>3393</v>
      </c>
      <c r="BK26" s="1156" t="s">
        <v>3394</v>
      </c>
      <c r="BL26" s="1156" t="s">
        <v>3395</v>
      </c>
      <c r="BM26" s="1156" t="s">
        <v>3396</v>
      </c>
      <c r="BN26" s="1156" t="s">
        <v>3393</v>
      </c>
      <c r="BO26" s="1156" t="s">
        <v>3394</v>
      </c>
      <c r="BP26" s="1156" t="s">
        <v>3395</v>
      </c>
      <c r="BQ26" s="1156" t="s">
        <v>3396</v>
      </c>
      <c r="BR26" s="1156" t="s">
        <v>3393</v>
      </c>
      <c r="BS26" s="1156" t="s">
        <v>3394</v>
      </c>
      <c r="BT26" s="1156" t="s">
        <v>3395</v>
      </c>
      <c r="BU26" s="1156" t="s">
        <v>3396</v>
      </c>
      <c r="BV26" s="1156" t="s">
        <v>3393</v>
      </c>
      <c r="BW26" s="1156" t="s">
        <v>3394</v>
      </c>
      <c r="BX26" s="1156" t="s">
        <v>3395</v>
      </c>
      <c r="BY26" s="1156" t="s">
        <v>3396</v>
      </c>
      <c r="BZ26" s="1156" t="s">
        <v>3393</v>
      </c>
      <c r="CA26" s="1156" t="s">
        <v>3394</v>
      </c>
      <c r="CB26" s="1156" t="s">
        <v>3395</v>
      </c>
      <c r="CC26" s="1156" t="s">
        <v>3396</v>
      </c>
      <c r="CD26" s="1156" t="s">
        <v>3393</v>
      </c>
      <c r="CE26" s="1156" t="s">
        <v>3394</v>
      </c>
      <c r="CF26" s="1156" t="s">
        <v>3395</v>
      </c>
      <c r="CG26" s="1156" t="s">
        <v>3396</v>
      </c>
      <c r="CH26" s="1156" t="s">
        <v>3393</v>
      </c>
      <c r="CI26" s="1156" t="s">
        <v>3394</v>
      </c>
      <c r="CJ26" s="1156" t="s">
        <v>3395</v>
      </c>
      <c r="CK26" s="1156" t="s">
        <v>3396</v>
      </c>
      <c r="CL26" s="1156" t="s">
        <v>3393</v>
      </c>
      <c r="CM26" s="1156" t="s">
        <v>3394</v>
      </c>
      <c r="CN26" s="1156" t="s">
        <v>3395</v>
      </c>
      <c r="CO26" s="1156" t="s">
        <v>3396</v>
      </c>
      <c r="CP26" s="1156" t="s">
        <v>3393</v>
      </c>
      <c r="CQ26" s="1156" t="s">
        <v>3394</v>
      </c>
      <c r="CR26" s="1156" t="s">
        <v>3395</v>
      </c>
      <c r="CS26" s="1156" t="s">
        <v>3396</v>
      </c>
      <c r="CT26" s="1156" t="s">
        <v>3393</v>
      </c>
      <c r="CU26" s="1156" t="s">
        <v>3394</v>
      </c>
      <c r="CV26" s="1156" t="s">
        <v>3395</v>
      </c>
      <c r="CW26" s="1156" t="s">
        <v>3396</v>
      </c>
      <c r="CX26" s="1156" t="s">
        <v>3393</v>
      </c>
      <c r="CY26" s="1156" t="s">
        <v>3394</v>
      </c>
      <c r="CZ26" s="1156" t="s">
        <v>3395</v>
      </c>
      <c r="DA26" s="1156" t="s">
        <v>3396</v>
      </c>
      <c r="DB26" s="1156" t="s">
        <v>3393</v>
      </c>
      <c r="DC26" s="1156" t="s">
        <v>3394</v>
      </c>
      <c r="DD26" s="1156" t="s">
        <v>3395</v>
      </c>
      <c r="DE26" s="1156" t="s">
        <v>3396</v>
      </c>
      <c r="DF26" s="1156" t="s">
        <v>3393</v>
      </c>
      <c r="DG26" s="1156" t="s">
        <v>3394</v>
      </c>
      <c r="DH26" s="1156" t="s">
        <v>3395</v>
      </c>
      <c r="DI26" s="1156" t="s">
        <v>3396</v>
      </c>
      <c r="DJ26" s="1156" t="s">
        <v>3393</v>
      </c>
      <c r="DK26" s="1156" t="s">
        <v>3394</v>
      </c>
      <c r="DL26" s="1156" t="s">
        <v>3395</v>
      </c>
      <c r="DM26" s="1156" t="s">
        <v>3396</v>
      </c>
      <c r="DN26" s="1156" t="s">
        <v>3393</v>
      </c>
      <c r="DO26" s="1156" t="s">
        <v>3394</v>
      </c>
      <c r="DP26" s="1156" t="s">
        <v>3395</v>
      </c>
      <c r="DQ26" s="1156" t="s">
        <v>3396</v>
      </c>
      <c r="DR26" s="1156" t="s">
        <v>3393</v>
      </c>
      <c r="DS26" s="1156" t="s">
        <v>3394</v>
      </c>
      <c r="DT26" s="1156" t="s">
        <v>3395</v>
      </c>
      <c r="DU26" s="1156" t="s">
        <v>3396</v>
      </c>
      <c r="DV26" s="1156" t="s">
        <v>3393</v>
      </c>
      <c r="DW26" s="1156" t="s">
        <v>3394</v>
      </c>
      <c r="DX26" s="1156" t="s">
        <v>3395</v>
      </c>
      <c r="DY26" s="1156" t="s">
        <v>3396</v>
      </c>
      <c r="DZ26" s="1156" t="s">
        <v>3393</v>
      </c>
      <c r="EA26" s="1156" t="s">
        <v>3394</v>
      </c>
      <c r="EB26" s="1156" t="s">
        <v>3395</v>
      </c>
      <c r="EC26" s="1156" t="s">
        <v>3396</v>
      </c>
      <c r="ED26" s="1156" t="s">
        <v>3393</v>
      </c>
      <c r="EE26" s="1156" t="s">
        <v>3394</v>
      </c>
      <c r="EF26" s="1156" t="s">
        <v>3395</v>
      </c>
      <c r="EG26" s="1156" t="s">
        <v>3396</v>
      </c>
      <c r="EH26" s="1156" t="s">
        <v>3393</v>
      </c>
      <c r="EI26" s="1156" t="s">
        <v>3394</v>
      </c>
      <c r="EJ26" s="1156" t="s">
        <v>3395</v>
      </c>
      <c r="EK26" s="1156" t="s">
        <v>3396</v>
      </c>
      <c r="EL26" s="1156" t="s">
        <v>3393</v>
      </c>
      <c r="EM26" s="1156" t="s">
        <v>3394</v>
      </c>
      <c r="EN26" s="1156" t="s">
        <v>3395</v>
      </c>
      <c r="EO26" s="1156" t="s">
        <v>3396</v>
      </c>
      <c r="EP26" s="1156" t="s">
        <v>3393</v>
      </c>
      <c r="EQ26" s="1156" t="s">
        <v>3394</v>
      </c>
      <c r="ER26" s="1156" t="s">
        <v>3395</v>
      </c>
      <c r="ES26" s="1156" t="s">
        <v>3396</v>
      </c>
      <c r="ET26" s="1156" t="s">
        <v>3393</v>
      </c>
      <c r="EU26" s="1156" t="s">
        <v>3394</v>
      </c>
      <c r="EV26" s="1156" t="s">
        <v>3395</v>
      </c>
      <c r="EW26" s="1156" t="s">
        <v>3396</v>
      </c>
      <c r="EX26" s="1156" t="s">
        <v>3393</v>
      </c>
      <c r="EY26" s="1156" t="s">
        <v>3394</v>
      </c>
      <c r="EZ26" s="1156" t="s">
        <v>3395</v>
      </c>
      <c r="FA26" s="1156" t="s">
        <v>3396</v>
      </c>
      <c r="FB26" s="1156" t="s">
        <v>3393</v>
      </c>
      <c r="FC26" s="1156" t="s">
        <v>3394</v>
      </c>
      <c r="FD26" s="1156" t="s">
        <v>3395</v>
      </c>
      <c r="FE26" s="1156" t="s">
        <v>3396</v>
      </c>
      <c r="FF26" s="1156" t="s">
        <v>3393</v>
      </c>
      <c r="FG26" s="1156" t="s">
        <v>3394</v>
      </c>
      <c r="FH26" s="1156" t="s">
        <v>3395</v>
      </c>
      <c r="FI26" s="1156" t="s">
        <v>3396</v>
      </c>
      <c r="FJ26" s="1156" t="s">
        <v>3393</v>
      </c>
      <c r="FK26" s="1156" t="s">
        <v>3394</v>
      </c>
      <c r="FL26" s="1156" t="s">
        <v>3395</v>
      </c>
      <c r="FM26" s="1156" t="s">
        <v>3396</v>
      </c>
      <c r="FN26" s="1156" t="s">
        <v>3393</v>
      </c>
      <c r="FO26" s="1156" t="s">
        <v>3394</v>
      </c>
      <c r="FP26" s="1156" t="s">
        <v>3395</v>
      </c>
      <c r="FQ26" s="1156" t="s">
        <v>3396</v>
      </c>
      <c r="FR26" s="1156" t="s">
        <v>3393</v>
      </c>
      <c r="FS26" s="1156" t="s">
        <v>3394</v>
      </c>
      <c r="FT26" s="1156" t="s">
        <v>3395</v>
      </c>
      <c r="FU26" s="1156" t="s">
        <v>3396</v>
      </c>
      <c r="FV26" s="1156" t="s">
        <v>3393</v>
      </c>
      <c r="FW26" s="1156" t="s">
        <v>3394</v>
      </c>
      <c r="FX26" s="1156" t="s">
        <v>3395</v>
      </c>
      <c r="FY26" s="1156" t="s">
        <v>3396</v>
      </c>
      <c r="FZ26" s="1156" t="s">
        <v>3393</v>
      </c>
      <c r="GA26" s="1156" t="s">
        <v>3394</v>
      </c>
      <c r="GB26" s="1156" t="s">
        <v>3395</v>
      </c>
      <c r="GC26" s="1156" t="s">
        <v>3396</v>
      </c>
      <c r="GD26" s="1156" t="s">
        <v>3393</v>
      </c>
      <c r="GE26" s="1156" t="s">
        <v>3394</v>
      </c>
      <c r="GF26" s="1156" t="s">
        <v>3395</v>
      </c>
      <c r="GG26" s="1156" t="s">
        <v>3396</v>
      </c>
      <c r="GH26" s="1156" t="s">
        <v>3393</v>
      </c>
      <c r="GI26" s="1156" t="s">
        <v>3394</v>
      </c>
      <c r="GJ26" s="1156" t="s">
        <v>3395</v>
      </c>
      <c r="GK26" s="1156" t="s">
        <v>3396</v>
      </c>
      <c r="GL26" s="1156" t="s">
        <v>3393</v>
      </c>
      <c r="GM26" s="1156" t="s">
        <v>3394</v>
      </c>
      <c r="GN26" s="1156" t="s">
        <v>3395</v>
      </c>
      <c r="GO26" s="1156" t="s">
        <v>3396</v>
      </c>
      <c r="GP26" s="1156" t="s">
        <v>3393</v>
      </c>
      <c r="GQ26" s="1156" t="s">
        <v>3394</v>
      </c>
      <c r="GR26" s="1156" t="s">
        <v>3395</v>
      </c>
      <c r="GS26" s="1156" t="s">
        <v>3396</v>
      </c>
      <c r="GT26" s="1156" t="s">
        <v>3393</v>
      </c>
      <c r="GU26" s="1156" t="s">
        <v>3394</v>
      </c>
      <c r="GV26" s="1156" t="s">
        <v>3395</v>
      </c>
      <c r="GW26" s="1156" t="s">
        <v>3396</v>
      </c>
      <c r="GX26" s="1156" t="s">
        <v>3393</v>
      </c>
      <c r="GY26" s="1156" t="s">
        <v>3394</v>
      </c>
      <c r="GZ26" s="1156" t="s">
        <v>3395</v>
      </c>
      <c r="HA26" s="1156" t="s">
        <v>3396</v>
      </c>
      <c r="HB26" s="1156" t="s">
        <v>3393</v>
      </c>
      <c r="HC26" s="1156" t="s">
        <v>3394</v>
      </c>
      <c r="HD26" s="1156" t="s">
        <v>3395</v>
      </c>
      <c r="HE26" s="1156" t="s">
        <v>3396</v>
      </c>
      <c r="HF26" s="1156" t="s">
        <v>3393</v>
      </c>
      <c r="HG26" s="1156" t="s">
        <v>3394</v>
      </c>
      <c r="HH26" s="1156" t="s">
        <v>3395</v>
      </c>
      <c r="HI26" s="1156" t="s">
        <v>3396</v>
      </c>
      <c r="HJ26" s="1156" t="s">
        <v>3393</v>
      </c>
      <c r="HK26" s="1156" t="s">
        <v>3394</v>
      </c>
      <c r="HL26" s="1156" t="s">
        <v>3395</v>
      </c>
      <c r="HM26" s="1156" t="s">
        <v>3396</v>
      </c>
      <c r="HN26" s="1156" t="s">
        <v>3393</v>
      </c>
      <c r="HO26" s="1156" t="s">
        <v>3394</v>
      </c>
      <c r="HP26" s="1156" t="s">
        <v>3395</v>
      </c>
      <c r="HQ26" s="1156" t="s">
        <v>3396</v>
      </c>
      <c r="HR26" s="1156" t="s">
        <v>3393</v>
      </c>
      <c r="HS26" s="1156" t="s">
        <v>3394</v>
      </c>
      <c r="HT26" s="1156" t="s">
        <v>3395</v>
      </c>
      <c r="HU26" s="1156" t="s">
        <v>3396</v>
      </c>
      <c r="HV26" s="1156" t="s">
        <v>3393</v>
      </c>
      <c r="HW26" s="1156" t="s">
        <v>3394</v>
      </c>
      <c r="HX26" s="1156" t="s">
        <v>3395</v>
      </c>
      <c r="HY26" s="1156" t="s">
        <v>3396</v>
      </c>
      <c r="HZ26" s="1156" t="s">
        <v>3393</v>
      </c>
      <c r="IA26" s="1156" t="s">
        <v>3394</v>
      </c>
      <c r="IB26" s="1156" t="s">
        <v>3395</v>
      </c>
      <c r="IC26" s="1156" t="s">
        <v>3396</v>
      </c>
      <c r="ID26" s="1156" t="s">
        <v>3393</v>
      </c>
      <c r="IE26" s="1156" t="s">
        <v>3394</v>
      </c>
      <c r="IF26" s="1156" t="s">
        <v>3395</v>
      </c>
      <c r="IG26" s="1156" t="s">
        <v>3396</v>
      </c>
      <c r="IH26" s="1156" t="s">
        <v>3393</v>
      </c>
      <c r="II26" s="1156" t="s">
        <v>3394</v>
      </c>
      <c r="IJ26" s="1156" t="s">
        <v>3395</v>
      </c>
      <c r="IK26" s="1156" t="s">
        <v>3396</v>
      </c>
      <c r="IL26" s="1156" t="s">
        <v>3393</v>
      </c>
      <c r="IM26" s="1156" t="s">
        <v>3394</v>
      </c>
      <c r="IN26" s="1156" t="s">
        <v>3395</v>
      </c>
      <c r="IO26" s="1156" t="s">
        <v>3396</v>
      </c>
      <c r="IP26" s="1156" t="s">
        <v>3393</v>
      </c>
      <c r="IQ26" s="1156" t="s">
        <v>3394</v>
      </c>
      <c r="IR26" s="1156" t="s">
        <v>3395</v>
      </c>
      <c r="IS26" s="1156" t="s">
        <v>3396</v>
      </c>
      <c r="IT26" s="1156" t="s">
        <v>3393</v>
      </c>
      <c r="IU26" s="1156" t="s">
        <v>3394</v>
      </c>
      <c r="IV26" s="1156" t="s">
        <v>3395</v>
      </c>
      <c r="IW26" s="1156" t="s">
        <v>3396</v>
      </c>
      <c r="IX26" s="1156" t="s">
        <v>3393</v>
      </c>
      <c r="IY26" s="1156" t="s">
        <v>3394</v>
      </c>
      <c r="IZ26" s="1156" t="s">
        <v>3395</v>
      </c>
      <c r="JA26" s="1156" t="s">
        <v>3396</v>
      </c>
      <c r="JB26" s="1156" t="s">
        <v>3393</v>
      </c>
      <c r="JC26" s="1156" t="s">
        <v>3394</v>
      </c>
      <c r="JD26" s="1156" t="s">
        <v>3395</v>
      </c>
      <c r="JE26" s="1156" t="s">
        <v>3396</v>
      </c>
      <c r="JF26" s="1156" t="s">
        <v>3393</v>
      </c>
      <c r="JG26" s="1156" t="s">
        <v>3394</v>
      </c>
      <c r="JH26" s="1156" t="s">
        <v>3395</v>
      </c>
      <c r="JI26" s="1156" t="s">
        <v>3396</v>
      </c>
      <c r="JJ26" s="1156" t="s">
        <v>3393</v>
      </c>
      <c r="JK26" s="1156" t="s">
        <v>3394</v>
      </c>
      <c r="JL26" s="1156" t="s">
        <v>3395</v>
      </c>
      <c r="JM26" s="1156" t="s">
        <v>3396</v>
      </c>
      <c r="JN26" s="1156" t="s">
        <v>3393</v>
      </c>
      <c r="JO26" s="1156" t="s">
        <v>3394</v>
      </c>
      <c r="JP26" s="1156" t="s">
        <v>3395</v>
      </c>
      <c r="JQ26" s="1156" t="s">
        <v>3396</v>
      </c>
      <c r="JR26" s="1156" t="s">
        <v>3393</v>
      </c>
      <c r="JS26" s="1156" t="s">
        <v>3394</v>
      </c>
      <c r="JT26" s="1156" t="s">
        <v>3395</v>
      </c>
      <c r="JU26" s="1156" t="s">
        <v>3396</v>
      </c>
      <c r="JV26" s="1156" t="s">
        <v>3393</v>
      </c>
      <c r="JW26" s="1156" t="s">
        <v>3394</v>
      </c>
      <c r="JX26" s="1156" t="s">
        <v>3395</v>
      </c>
      <c r="JY26" s="1156" t="s">
        <v>3396</v>
      </c>
      <c r="JZ26" s="1156" t="s">
        <v>3393</v>
      </c>
      <c r="KA26" s="1156" t="s">
        <v>3394</v>
      </c>
      <c r="KB26" s="1156" t="s">
        <v>3395</v>
      </c>
      <c r="KC26" s="1156" t="s">
        <v>3396</v>
      </c>
      <c r="KD26" s="1156" t="s">
        <v>3393</v>
      </c>
      <c r="KE26" s="1156" t="s">
        <v>3394</v>
      </c>
      <c r="KF26" s="1156" t="s">
        <v>3395</v>
      </c>
      <c r="KG26" s="1156" t="s">
        <v>3396</v>
      </c>
      <c r="KH26" s="1156" t="s">
        <v>3393</v>
      </c>
      <c r="KI26" s="1156" t="s">
        <v>3394</v>
      </c>
      <c r="KJ26" s="1156" t="s">
        <v>3395</v>
      </c>
      <c r="KK26" s="1156" t="s">
        <v>3396</v>
      </c>
      <c r="KL26" s="1156" t="s">
        <v>3393</v>
      </c>
      <c r="KM26" s="1156" t="s">
        <v>3394</v>
      </c>
      <c r="KN26" s="1156" t="s">
        <v>3395</v>
      </c>
      <c r="KO26" s="1156" t="s">
        <v>3396</v>
      </c>
      <c r="KP26" s="1156" t="s">
        <v>3393</v>
      </c>
      <c r="KQ26" s="1156" t="s">
        <v>3394</v>
      </c>
      <c r="KR26" s="1156" t="s">
        <v>3395</v>
      </c>
      <c r="KS26" s="1156" t="s">
        <v>3396</v>
      </c>
      <c r="KT26" s="1156" t="s">
        <v>3393</v>
      </c>
      <c r="KU26" s="1156" t="s">
        <v>3394</v>
      </c>
      <c r="KV26" s="1156" t="s">
        <v>3395</v>
      </c>
      <c r="KW26" s="1156" t="s">
        <v>3396</v>
      </c>
    </row>
    <row r="27" spans="1:309" s="1156" customFormat="1" ht="13.5">
      <c r="A27" s="1156" t="s">
        <v>3697</v>
      </c>
      <c r="B27" s="1156">
        <v>56.37</v>
      </c>
      <c r="C27" s="1156">
        <v>6704</v>
      </c>
      <c r="D27" s="1156">
        <v>38394</v>
      </c>
      <c r="E27" s="1156" t="s">
        <v>3698</v>
      </c>
      <c r="F27" s="1156">
        <v>56.42</v>
      </c>
      <c r="G27" s="1156">
        <v>6775</v>
      </c>
      <c r="H27" s="1156">
        <v>38619</v>
      </c>
      <c r="I27" s="1156" t="s">
        <v>3699</v>
      </c>
      <c r="J27" s="1156">
        <v>56.89</v>
      </c>
      <c r="K27" s="1156">
        <v>6827</v>
      </c>
      <c r="L27" s="1156">
        <v>38992</v>
      </c>
      <c r="M27" s="1156" t="s">
        <v>3700</v>
      </c>
      <c r="N27" s="1156">
        <v>56.59</v>
      </c>
      <c r="O27" s="1156">
        <v>6830</v>
      </c>
      <c r="P27" s="1156">
        <v>39063</v>
      </c>
      <c r="Q27" s="1156" t="s">
        <v>3701</v>
      </c>
      <c r="R27" s="1156">
        <v>56.84</v>
      </c>
      <c r="S27" s="1156">
        <v>6833</v>
      </c>
      <c r="T27" s="1156">
        <v>39391</v>
      </c>
      <c r="U27" s="1156" t="s">
        <v>3702</v>
      </c>
      <c r="V27" s="1156">
        <v>57.04</v>
      </c>
      <c r="W27" s="1156">
        <v>6885</v>
      </c>
      <c r="X27" s="1156">
        <v>39756</v>
      </c>
      <c r="Y27" s="1156" t="s">
        <v>3703</v>
      </c>
      <c r="Z27" s="1156">
        <v>57.8</v>
      </c>
      <c r="AA27" s="1156">
        <v>6935</v>
      </c>
      <c r="AB27" s="1156">
        <v>39967</v>
      </c>
      <c r="AC27" s="1156" t="s">
        <v>3704</v>
      </c>
      <c r="AD27" s="1156">
        <v>58.22</v>
      </c>
      <c r="AE27" s="1156">
        <v>6966</v>
      </c>
      <c r="AF27" s="1156">
        <v>39539</v>
      </c>
      <c r="AG27" s="1156" t="s">
        <v>3705</v>
      </c>
      <c r="AH27" s="1156">
        <v>58.29</v>
      </c>
      <c r="AI27" s="1156">
        <v>6973</v>
      </c>
      <c r="AJ27" s="1156">
        <v>39535</v>
      </c>
      <c r="AK27" s="1156" t="s">
        <v>3706</v>
      </c>
      <c r="AL27" s="1156">
        <v>58.17</v>
      </c>
      <c r="AM27" s="1156">
        <v>6927</v>
      </c>
      <c r="AN27" s="1156">
        <v>39703</v>
      </c>
      <c r="AO27" s="1156" t="s">
        <v>3707</v>
      </c>
      <c r="AP27" s="1156">
        <v>58.2</v>
      </c>
      <c r="AQ27" s="1156">
        <v>6957</v>
      </c>
      <c r="AR27" s="1156">
        <v>40904</v>
      </c>
      <c r="AS27" s="1156" t="s">
        <v>3708</v>
      </c>
      <c r="AT27" s="1156">
        <v>58.01</v>
      </c>
      <c r="AU27" s="1156">
        <v>6938</v>
      </c>
      <c r="AV27" s="1156">
        <v>41402</v>
      </c>
      <c r="AW27" s="1156" t="s">
        <v>3709</v>
      </c>
      <c r="AX27" s="1156">
        <v>58</v>
      </c>
      <c r="AY27" s="1156">
        <v>6961</v>
      </c>
      <c r="AZ27" s="1156">
        <v>41015</v>
      </c>
      <c r="BA27" s="1156" t="s">
        <v>3710</v>
      </c>
      <c r="BB27" s="1156">
        <v>57.95</v>
      </c>
      <c r="BC27" s="1156">
        <v>6908</v>
      </c>
      <c r="BD27" s="1156">
        <v>39810</v>
      </c>
      <c r="BE27" s="1156" t="s">
        <v>3652</v>
      </c>
      <c r="BF27" s="1156">
        <v>57.5</v>
      </c>
      <c r="BG27" s="1156">
        <v>6902</v>
      </c>
      <c r="BH27" s="1156">
        <v>39553</v>
      </c>
      <c r="BI27" s="1156" t="s">
        <v>3711</v>
      </c>
      <c r="BJ27" s="1156">
        <v>57.1</v>
      </c>
      <c r="BK27" s="1156">
        <v>6873</v>
      </c>
      <c r="BL27" s="1156">
        <v>39655</v>
      </c>
      <c r="BM27" s="1156" t="s">
        <v>3712</v>
      </c>
      <c r="BN27" s="1156">
        <v>56.75</v>
      </c>
      <c r="BO27" s="1156">
        <v>6831</v>
      </c>
      <c r="BP27" s="1156">
        <v>39629</v>
      </c>
      <c r="BQ27" s="1156" t="s">
        <v>3713</v>
      </c>
      <c r="BR27" s="1156">
        <v>56.97</v>
      </c>
      <c r="BS27" s="1156">
        <v>6850</v>
      </c>
      <c r="BT27" s="1156">
        <v>39704</v>
      </c>
      <c r="BU27" s="1156" t="s">
        <v>3703</v>
      </c>
      <c r="BV27" s="1156">
        <v>57.29</v>
      </c>
      <c r="BW27" s="1156">
        <v>6849</v>
      </c>
      <c r="BX27" s="1156">
        <v>39839</v>
      </c>
      <c r="BY27" s="1156" t="s">
        <v>3641</v>
      </c>
      <c r="BZ27" s="1156">
        <v>57.53</v>
      </c>
      <c r="CA27" s="1156">
        <v>6875</v>
      </c>
      <c r="CB27" s="1156">
        <v>39890</v>
      </c>
      <c r="CC27" s="1156" t="s">
        <v>3702</v>
      </c>
      <c r="CD27" s="1156">
        <v>57.79</v>
      </c>
      <c r="CE27" s="1156">
        <v>6882</v>
      </c>
      <c r="CF27" s="1156">
        <v>40397</v>
      </c>
      <c r="CG27" s="1156" t="s">
        <v>3714</v>
      </c>
      <c r="CH27" s="1156">
        <v>57.92</v>
      </c>
      <c r="CI27" s="1156">
        <v>6934</v>
      </c>
      <c r="CJ27" s="1156">
        <v>39125</v>
      </c>
      <c r="CK27" s="1156" t="s">
        <v>3715</v>
      </c>
      <c r="CL27" s="1156">
        <v>57.78</v>
      </c>
      <c r="CM27" s="1156">
        <v>6924</v>
      </c>
      <c r="CN27" s="1156">
        <v>39164</v>
      </c>
      <c r="CO27" s="1156" t="s">
        <v>3706</v>
      </c>
      <c r="CP27" s="1156">
        <v>57.58</v>
      </c>
      <c r="CQ27" s="1156">
        <v>6875</v>
      </c>
      <c r="CR27" s="1156">
        <v>39329</v>
      </c>
      <c r="CS27" s="1156" t="s">
        <v>3707</v>
      </c>
      <c r="CT27" s="1156">
        <v>57.58</v>
      </c>
      <c r="CU27" s="1156">
        <v>6860</v>
      </c>
      <c r="CV27" s="1156">
        <v>39616</v>
      </c>
      <c r="CW27" s="1156" t="s">
        <v>3711</v>
      </c>
      <c r="CX27" s="1156">
        <v>57.93</v>
      </c>
      <c r="CY27" s="1156">
        <v>6939</v>
      </c>
      <c r="CZ27" s="1156">
        <v>39504</v>
      </c>
      <c r="DA27" s="1156" t="s">
        <v>3716</v>
      </c>
      <c r="DB27" s="1156">
        <v>57.4</v>
      </c>
      <c r="DC27" s="1156">
        <v>6872</v>
      </c>
      <c r="DD27" s="1156">
        <v>38821</v>
      </c>
      <c r="DE27" s="1156" t="s">
        <v>3715</v>
      </c>
      <c r="DF27" s="1156">
        <v>56.71</v>
      </c>
      <c r="DG27" s="1156">
        <v>6831</v>
      </c>
      <c r="DH27" s="1156">
        <v>39105</v>
      </c>
      <c r="DI27" s="1156" t="s">
        <v>3701</v>
      </c>
      <c r="DJ27" s="1156">
        <v>56.9</v>
      </c>
      <c r="DK27" s="1156">
        <v>6863</v>
      </c>
      <c r="DL27" s="1156">
        <v>38876</v>
      </c>
      <c r="DM27" s="1156" t="s">
        <v>3707</v>
      </c>
      <c r="DN27" s="1156">
        <v>57.31</v>
      </c>
      <c r="DO27" s="1156">
        <v>6939</v>
      </c>
      <c r="DP27" s="1156">
        <v>38967</v>
      </c>
      <c r="DQ27" s="1156" t="s">
        <v>3717</v>
      </c>
      <c r="DR27" s="1156">
        <v>57.8</v>
      </c>
      <c r="DS27" s="1156">
        <v>7016</v>
      </c>
      <c r="DT27" s="1156">
        <v>38724</v>
      </c>
      <c r="DU27" s="1156" t="s">
        <v>3718</v>
      </c>
      <c r="DV27" s="1156">
        <v>59.08</v>
      </c>
      <c r="DW27" s="1156">
        <v>7164</v>
      </c>
      <c r="DX27" s="1156">
        <v>38752</v>
      </c>
      <c r="DY27" s="1156" t="s">
        <v>3719</v>
      </c>
      <c r="DZ27" s="1156">
        <v>59.59</v>
      </c>
      <c r="EA27" s="1156">
        <v>7156</v>
      </c>
      <c r="EB27" s="1156">
        <v>38981</v>
      </c>
      <c r="EC27" s="1156" t="s">
        <v>3720</v>
      </c>
      <c r="ED27" s="1156">
        <v>59.71</v>
      </c>
      <c r="EE27" s="1156">
        <v>5989</v>
      </c>
      <c r="EF27" s="1156">
        <v>39045</v>
      </c>
      <c r="EG27" s="1156" t="s">
        <v>3720</v>
      </c>
      <c r="EH27" s="1156">
        <v>58.47</v>
      </c>
      <c r="EI27" s="1156">
        <v>5774</v>
      </c>
      <c r="EJ27" s="1156">
        <v>39440</v>
      </c>
      <c r="EK27" s="1156" t="s">
        <v>3721</v>
      </c>
      <c r="EL27" s="1156">
        <v>56.16</v>
      </c>
      <c r="EM27" s="1156">
        <v>5579</v>
      </c>
      <c r="EN27" s="1156">
        <v>39474</v>
      </c>
      <c r="EO27" s="1156" t="s">
        <v>3708</v>
      </c>
      <c r="EP27" s="1156">
        <v>53.04</v>
      </c>
      <c r="EQ27" s="1156">
        <v>5112</v>
      </c>
      <c r="ER27" s="1156">
        <v>39455</v>
      </c>
      <c r="ES27" s="1156" t="s">
        <v>3653</v>
      </c>
      <c r="ET27" s="1156">
        <v>52.28</v>
      </c>
      <c r="EU27" s="1156">
        <v>5168</v>
      </c>
      <c r="EV27" s="1156">
        <v>38468</v>
      </c>
      <c r="EW27" s="1156" t="s">
        <v>3722</v>
      </c>
      <c r="EX27" s="1156">
        <v>52.29</v>
      </c>
      <c r="EY27" s="1156">
        <v>5304</v>
      </c>
      <c r="EZ27" s="1156">
        <v>38125</v>
      </c>
      <c r="FA27" s="1156" t="s">
        <v>3723</v>
      </c>
      <c r="FB27" s="1156">
        <v>53.93</v>
      </c>
      <c r="FC27" s="1156">
        <v>5441</v>
      </c>
      <c r="FD27" s="1156">
        <v>37617</v>
      </c>
      <c r="FE27" s="1156" t="s">
        <v>3713</v>
      </c>
      <c r="FF27" s="1156">
        <v>54.29</v>
      </c>
      <c r="FG27" s="1156">
        <v>5385</v>
      </c>
      <c r="FH27" s="1156">
        <v>37937</v>
      </c>
      <c r="FI27" s="1156" t="s">
        <v>3714</v>
      </c>
      <c r="FJ27" s="1156">
        <v>57.74</v>
      </c>
      <c r="FK27" s="1156">
        <v>6001</v>
      </c>
      <c r="FL27" s="1156">
        <v>37887</v>
      </c>
      <c r="FM27" s="1156" t="s">
        <v>3719</v>
      </c>
      <c r="FN27" s="1156">
        <v>52.47</v>
      </c>
      <c r="FO27" s="1156">
        <v>4985</v>
      </c>
      <c r="FP27" s="1156">
        <v>38266</v>
      </c>
      <c r="FQ27" s="1156" t="s">
        <v>3723</v>
      </c>
      <c r="FR27" s="1156">
        <v>52.19</v>
      </c>
      <c r="FS27" s="1156">
        <v>4990</v>
      </c>
      <c r="FT27" s="1156">
        <v>39474</v>
      </c>
      <c r="FU27" s="1156" t="s">
        <v>3644</v>
      </c>
      <c r="FV27" s="1156">
        <v>52.97</v>
      </c>
      <c r="FW27" s="1156">
        <v>5101</v>
      </c>
      <c r="FX27" s="1156">
        <v>39308</v>
      </c>
      <c r="FY27" s="1156" t="s">
        <v>3631</v>
      </c>
      <c r="FZ27" s="1156">
        <v>52.38</v>
      </c>
      <c r="GA27" s="1156">
        <v>4967</v>
      </c>
      <c r="GB27" s="1156">
        <v>39366</v>
      </c>
      <c r="GC27" s="1156" t="s">
        <v>3724</v>
      </c>
      <c r="GD27" s="1156">
        <v>53.64</v>
      </c>
      <c r="GE27" s="1156">
        <v>4937</v>
      </c>
      <c r="GF27" s="1156">
        <v>39369</v>
      </c>
      <c r="GG27" s="1156" t="s">
        <v>3725</v>
      </c>
      <c r="GH27" s="1156">
        <v>54.35</v>
      </c>
      <c r="GI27" s="1156">
        <v>4936</v>
      </c>
      <c r="GJ27" s="1156">
        <v>39017</v>
      </c>
      <c r="GK27" s="1156" t="s">
        <v>3726</v>
      </c>
      <c r="GL27" s="1156">
        <v>53.53</v>
      </c>
      <c r="GM27" s="1156">
        <v>4815</v>
      </c>
      <c r="GN27" s="1156">
        <v>39249</v>
      </c>
      <c r="GO27" s="1156" t="s">
        <v>3727</v>
      </c>
      <c r="GP27" s="1156">
        <v>52.83</v>
      </c>
      <c r="GQ27" s="1156">
        <v>4733</v>
      </c>
      <c r="GR27" s="1156">
        <v>39179</v>
      </c>
      <c r="GS27" s="1156" t="s">
        <v>3631</v>
      </c>
      <c r="GT27" s="1156">
        <v>52.44</v>
      </c>
      <c r="GU27" s="1156">
        <v>4736</v>
      </c>
      <c r="GV27" s="1156">
        <v>38981</v>
      </c>
      <c r="GW27" s="1156" t="s">
        <v>3728</v>
      </c>
      <c r="GX27" s="1156">
        <v>55.28</v>
      </c>
      <c r="GY27" s="1156">
        <v>4933</v>
      </c>
      <c r="GZ27" s="1156">
        <v>39074</v>
      </c>
      <c r="HA27" s="1156" t="s">
        <v>3710</v>
      </c>
      <c r="HB27" s="1156">
        <v>54.58</v>
      </c>
      <c r="HC27" s="1156">
        <v>4882</v>
      </c>
      <c r="HD27" s="1156">
        <v>39622</v>
      </c>
      <c r="HE27" s="1156" t="s">
        <v>3729</v>
      </c>
      <c r="HF27" s="1156">
        <v>51.8</v>
      </c>
      <c r="HG27" s="1156">
        <v>4821</v>
      </c>
      <c r="HH27" s="1156">
        <v>39879</v>
      </c>
      <c r="HI27" s="1156" t="s">
        <v>3491</v>
      </c>
      <c r="HJ27" s="1156">
        <v>50.52</v>
      </c>
      <c r="HK27" s="1156">
        <v>4453</v>
      </c>
      <c r="HL27" s="1156">
        <v>40480</v>
      </c>
      <c r="HM27" s="1156" t="s">
        <v>3509</v>
      </c>
      <c r="HN27" s="1156">
        <v>52.23</v>
      </c>
      <c r="HO27" s="1156">
        <v>4599</v>
      </c>
      <c r="HP27" s="1156">
        <v>40759</v>
      </c>
      <c r="HQ27" s="1156" t="s">
        <v>3730</v>
      </c>
      <c r="HR27" s="1156">
        <v>52.88</v>
      </c>
      <c r="HS27" s="1156">
        <v>4698</v>
      </c>
      <c r="HT27" s="1156">
        <v>40808</v>
      </c>
      <c r="HU27" s="1156" t="s">
        <v>3731</v>
      </c>
      <c r="HV27" s="1156">
        <v>53.2</v>
      </c>
      <c r="HW27" s="1156">
        <v>4794</v>
      </c>
      <c r="HX27" s="1156">
        <v>40649</v>
      </c>
      <c r="HY27" s="1156" t="s">
        <v>3732</v>
      </c>
      <c r="HZ27" s="1156">
        <v>52.49</v>
      </c>
      <c r="IA27" s="1156">
        <v>4423</v>
      </c>
      <c r="IB27" s="1156">
        <v>40776</v>
      </c>
      <c r="IC27" s="1156" t="s">
        <v>3651</v>
      </c>
      <c r="ID27" s="1156">
        <v>54.04</v>
      </c>
      <c r="IE27" s="1156">
        <v>4772</v>
      </c>
      <c r="IF27" s="1156">
        <v>41039</v>
      </c>
      <c r="IG27" s="1156" t="s">
        <v>3733</v>
      </c>
      <c r="IH27" s="1156">
        <v>54.34</v>
      </c>
      <c r="II27" s="1156">
        <v>4818</v>
      </c>
      <c r="IJ27" s="1156">
        <v>41546</v>
      </c>
      <c r="IK27" s="1156" t="s">
        <v>3416</v>
      </c>
      <c r="IL27" s="1156">
        <v>56.58</v>
      </c>
      <c r="IM27" s="1156">
        <v>5000</v>
      </c>
      <c r="IN27" s="1156">
        <v>41876</v>
      </c>
      <c r="IO27" s="1156" t="s">
        <v>3526</v>
      </c>
      <c r="IP27" s="1156">
        <v>55.03</v>
      </c>
      <c r="IQ27" s="1156">
        <v>5032</v>
      </c>
      <c r="IR27" s="1156">
        <v>41856</v>
      </c>
      <c r="IS27" s="1156" t="s">
        <v>3628</v>
      </c>
      <c r="IT27" s="1156">
        <v>56.92</v>
      </c>
      <c r="IU27" s="1156">
        <v>5212</v>
      </c>
      <c r="IV27" s="1156">
        <v>42207</v>
      </c>
      <c r="IW27" s="1156" t="s">
        <v>3631</v>
      </c>
      <c r="IX27" s="1156">
        <v>54.37</v>
      </c>
      <c r="IY27" s="1156">
        <v>5112</v>
      </c>
      <c r="IZ27" s="1156">
        <v>41793</v>
      </c>
      <c r="JA27" s="1156" t="s">
        <v>3734</v>
      </c>
      <c r="JB27" s="1156">
        <v>50.99</v>
      </c>
      <c r="JC27" s="1156">
        <v>4566</v>
      </c>
      <c r="JD27" s="1156">
        <v>41189</v>
      </c>
      <c r="JE27" s="1156" t="s">
        <v>3623</v>
      </c>
      <c r="JF27" s="1156">
        <v>52.65</v>
      </c>
      <c r="JG27" s="1156">
        <v>4718</v>
      </c>
      <c r="JH27" s="1156">
        <v>41651</v>
      </c>
      <c r="JI27" s="1156" t="s">
        <v>3498</v>
      </c>
      <c r="JJ27" s="1156">
        <v>53.33</v>
      </c>
      <c r="JK27" s="1156">
        <v>4613</v>
      </c>
      <c r="JL27" s="1156">
        <v>42058</v>
      </c>
      <c r="JM27" s="1156" t="s">
        <v>3627</v>
      </c>
      <c r="JN27" s="1156">
        <v>54.46</v>
      </c>
      <c r="JO27" s="1156">
        <v>4761</v>
      </c>
      <c r="JP27" s="1156">
        <v>42016</v>
      </c>
      <c r="JQ27" s="1156" t="s">
        <v>3731</v>
      </c>
      <c r="JR27" s="1156">
        <v>54.02</v>
      </c>
      <c r="JS27" s="1156">
        <v>4806</v>
      </c>
      <c r="JT27" s="1156">
        <v>42002</v>
      </c>
      <c r="JU27" s="1156" t="s">
        <v>3735</v>
      </c>
      <c r="JV27" s="1156">
        <v>50.11</v>
      </c>
      <c r="JW27" s="1156">
        <v>4993</v>
      </c>
      <c r="JX27" s="1156">
        <v>41817</v>
      </c>
      <c r="JY27" s="1156" t="s">
        <v>3541</v>
      </c>
      <c r="JZ27" s="1156">
        <v>69.760000000000005</v>
      </c>
      <c r="KA27" s="1156">
        <v>6914</v>
      </c>
      <c r="KB27" s="1156">
        <v>41538</v>
      </c>
      <c r="KC27" s="1156" t="s">
        <v>3736</v>
      </c>
      <c r="KD27" s="1156">
        <v>64.34</v>
      </c>
      <c r="KE27" s="1156">
        <v>6370</v>
      </c>
      <c r="KF27" s="1156">
        <v>40905</v>
      </c>
      <c r="KG27" s="1156" t="s">
        <v>3737</v>
      </c>
      <c r="KH27" s="1156">
        <v>50.33</v>
      </c>
      <c r="KI27" s="1156">
        <v>4083</v>
      </c>
      <c r="KJ27" s="1156">
        <v>40942</v>
      </c>
      <c r="KK27" s="1156" t="s">
        <v>3499</v>
      </c>
      <c r="KL27" s="1156">
        <v>55.56</v>
      </c>
      <c r="KM27" s="1156">
        <v>5991</v>
      </c>
      <c r="KN27" s="1156">
        <v>41355</v>
      </c>
      <c r="KO27" s="1156" t="s">
        <v>3653</v>
      </c>
      <c r="KP27" s="1156">
        <v>49.45</v>
      </c>
      <c r="KQ27" s="1156">
        <v>4814</v>
      </c>
      <c r="KR27" s="1156">
        <v>41885</v>
      </c>
      <c r="KS27" s="1156" t="s">
        <v>3456</v>
      </c>
      <c r="KT27" s="1156">
        <v>45.31</v>
      </c>
      <c r="KU27" s="1156">
        <v>4056</v>
      </c>
      <c r="KV27" s="1156">
        <v>46501</v>
      </c>
      <c r="KW27" s="1156" t="s">
        <v>3738</v>
      </c>
    </row>
    <row r="28" spans="1:309" s="1156" customFormat="1" ht="13.5">
      <c r="A28" s="1156" t="s">
        <v>3739</v>
      </c>
      <c r="B28" s="1156">
        <v>109.02</v>
      </c>
      <c r="C28" s="1156">
        <v>12717</v>
      </c>
      <c r="D28" s="1156">
        <v>70144</v>
      </c>
      <c r="E28" s="1156" t="s">
        <v>3740</v>
      </c>
      <c r="F28" s="1156">
        <v>109.51</v>
      </c>
      <c r="G28" s="1156">
        <v>12672</v>
      </c>
      <c r="H28" s="1156">
        <v>71058</v>
      </c>
      <c r="I28" s="1156" t="s">
        <v>3741</v>
      </c>
      <c r="J28" s="1156">
        <v>110.33</v>
      </c>
      <c r="K28" s="1156">
        <v>12848</v>
      </c>
      <c r="L28" s="1156">
        <v>71512</v>
      </c>
      <c r="M28" s="1156" t="s">
        <v>3742</v>
      </c>
      <c r="N28" s="1156">
        <v>110.06</v>
      </c>
      <c r="O28" s="1156">
        <v>12788</v>
      </c>
      <c r="P28" s="1156">
        <v>71924</v>
      </c>
      <c r="Q28" s="1156" t="s">
        <v>3720</v>
      </c>
      <c r="R28" s="1156">
        <v>110.36</v>
      </c>
      <c r="S28" s="1156">
        <v>12862</v>
      </c>
      <c r="T28" s="1156">
        <v>72508</v>
      </c>
      <c r="U28" s="1156" t="s">
        <v>3743</v>
      </c>
      <c r="V28" s="1156">
        <v>111.09</v>
      </c>
      <c r="W28" s="1156">
        <v>12936</v>
      </c>
      <c r="X28" s="1156">
        <v>72722</v>
      </c>
      <c r="Y28" s="1156" t="s">
        <v>3744</v>
      </c>
      <c r="Z28" s="1156">
        <v>112.11</v>
      </c>
      <c r="AA28" s="1156">
        <v>13029</v>
      </c>
      <c r="AB28" s="1156">
        <v>73261</v>
      </c>
      <c r="AC28" s="1156" t="s">
        <v>3745</v>
      </c>
      <c r="AD28" s="1156">
        <v>113.21</v>
      </c>
      <c r="AE28" s="1156">
        <v>13203</v>
      </c>
      <c r="AF28" s="1156">
        <v>73610</v>
      </c>
      <c r="AG28" s="1156" t="s">
        <v>3746</v>
      </c>
      <c r="AH28" s="1156">
        <v>113.64</v>
      </c>
      <c r="AI28" s="1156">
        <v>13289</v>
      </c>
      <c r="AJ28" s="1156">
        <v>73837</v>
      </c>
      <c r="AK28" s="1156" t="s">
        <v>3746</v>
      </c>
      <c r="AL28" s="1156">
        <v>113.72</v>
      </c>
      <c r="AM28" s="1156">
        <v>13295</v>
      </c>
      <c r="AN28" s="1156">
        <v>74060</v>
      </c>
      <c r="AO28" s="1156" t="s">
        <v>3747</v>
      </c>
      <c r="AP28" s="1156">
        <v>113.41</v>
      </c>
      <c r="AQ28" s="1156">
        <v>13234</v>
      </c>
      <c r="AR28" s="1156">
        <v>74952</v>
      </c>
      <c r="AS28" s="1156" t="s">
        <v>3748</v>
      </c>
      <c r="AT28" s="1156">
        <v>113.11</v>
      </c>
      <c r="AU28" s="1156">
        <v>13127</v>
      </c>
      <c r="AV28" s="1156">
        <v>75607</v>
      </c>
      <c r="AW28" s="1156" t="s">
        <v>3749</v>
      </c>
      <c r="AX28" s="1156">
        <v>112.98</v>
      </c>
      <c r="AY28" s="1156">
        <v>13175</v>
      </c>
      <c r="AZ28" s="1156">
        <v>75488</v>
      </c>
      <c r="BA28" s="1156" t="s">
        <v>3749</v>
      </c>
      <c r="BB28" s="1156">
        <v>112.91</v>
      </c>
      <c r="BC28" s="1156">
        <v>13192</v>
      </c>
      <c r="BD28" s="1156">
        <v>74417</v>
      </c>
      <c r="BE28" s="1156" t="s">
        <v>3750</v>
      </c>
      <c r="BF28" s="1156">
        <v>112.42</v>
      </c>
      <c r="BG28" s="1156">
        <v>13073</v>
      </c>
      <c r="BH28" s="1156">
        <v>74307</v>
      </c>
      <c r="BI28" s="1156" t="s">
        <v>3748</v>
      </c>
      <c r="BJ28" s="1156">
        <v>112.01</v>
      </c>
      <c r="BK28" s="1156">
        <v>13023</v>
      </c>
      <c r="BL28" s="1156">
        <v>74203</v>
      </c>
      <c r="BM28" s="1156" t="s">
        <v>3751</v>
      </c>
      <c r="BN28" s="1156">
        <v>111.29</v>
      </c>
      <c r="BO28" s="1156">
        <v>12953</v>
      </c>
      <c r="BP28" s="1156">
        <v>74307</v>
      </c>
      <c r="BQ28" s="1156" t="s">
        <v>3749</v>
      </c>
      <c r="BR28" s="1156">
        <v>111.81</v>
      </c>
      <c r="BS28" s="1156">
        <v>12962</v>
      </c>
      <c r="BT28" s="1156">
        <v>74441</v>
      </c>
      <c r="BU28" s="1156" t="s">
        <v>3752</v>
      </c>
      <c r="BV28" s="1156">
        <v>112.63</v>
      </c>
      <c r="BW28" s="1156">
        <v>13142</v>
      </c>
      <c r="BX28" s="1156">
        <v>74632</v>
      </c>
      <c r="BY28" s="1156" t="s">
        <v>3753</v>
      </c>
      <c r="BZ28" s="1156">
        <v>113.24</v>
      </c>
      <c r="CA28" s="1156">
        <v>13253</v>
      </c>
      <c r="CB28" s="1156">
        <v>74870</v>
      </c>
      <c r="CC28" s="1156" t="s">
        <v>3748</v>
      </c>
      <c r="CD28" s="1156">
        <v>113.65</v>
      </c>
      <c r="CE28" s="1156">
        <v>13452</v>
      </c>
      <c r="CF28" s="1156">
        <v>75044</v>
      </c>
      <c r="CG28" s="1156" t="s">
        <v>3754</v>
      </c>
      <c r="CH28" s="1156">
        <v>113.61</v>
      </c>
      <c r="CI28" s="1156">
        <v>13402</v>
      </c>
      <c r="CJ28" s="1156">
        <v>73926</v>
      </c>
      <c r="CK28" s="1156" t="s">
        <v>3747</v>
      </c>
      <c r="CL28" s="1156">
        <v>113.4</v>
      </c>
      <c r="CM28" s="1156">
        <v>13445</v>
      </c>
      <c r="CN28" s="1156">
        <v>73397</v>
      </c>
      <c r="CO28" s="1156" t="s">
        <v>3755</v>
      </c>
      <c r="CP28" s="1156">
        <v>113.38</v>
      </c>
      <c r="CQ28" s="1156">
        <v>13298</v>
      </c>
      <c r="CR28" s="1156">
        <v>73899</v>
      </c>
      <c r="CS28" s="1156" t="s">
        <v>3756</v>
      </c>
      <c r="CT28" s="1156">
        <v>113.35</v>
      </c>
      <c r="CU28" s="1156">
        <v>13418</v>
      </c>
      <c r="CV28" s="1156">
        <v>73843</v>
      </c>
      <c r="CW28" s="1156" t="s">
        <v>3747</v>
      </c>
      <c r="CX28" s="1156">
        <v>113.21</v>
      </c>
      <c r="CY28" s="1156">
        <v>13539</v>
      </c>
      <c r="CZ28" s="1156">
        <v>73909</v>
      </c>
      <c r="DA28" s="1156" t="s">
        <v>3745</v>
      </c>
      <c r="DB28" s="1156">
        <v>113.03</v>
      </c>
      <c r="DC28" s="1156">
        <v>13443</v>
      </c>
      <c r="DD28" s="1156">
        <v>73600</v>
      </c>
      <c r="DE28" s="1156" t="s">
        <v>3747</v>
      </c>
      <c r="DF28" s="1156">
        <v>112.42</v>
      </c>
      <c r="DG28" s="1156">
        <v>13352</v>
      </c>
      <c r="DH28" s="1156">
        <v>73276</v>
      </c>
      <c r="DI28" s="1156" t="s">
        <v>3756</v>
      </c>
      <c r="DJ28" s="1156">
        <v>112.24</v>
      </c>
      <c r="DK28" s="1156">
        <v>13294</v>
      </c>
      <c r="DL28" s="1156">
        <v>72927</v>
      </c>
      <c r="DM28" s="1156" t="s">
        <v>3746</v>
      </c>
      <c r="DN28" s="1156">
        <v>113.02</v>
      </c>
      <c r="DO28" s="1156">
        <v>13418</v>
      </c>
      <c r="DP28" s="1156">
        <v>72693</v>
      </c>
      <c r="DQ28" s="1156" t="s">
        <v>3740</v>
      </c>
      <c r="DR28" s="1156">
        <v>114.4</v>
      </c>
      <c r="DS28" s="1156">
        <v>13765</v>
      </c>
      <c r="DT28" s="1156">
        <v>72581</v>
      </c>
      <c r="DU28" s="1156" t="s">
        <v>3757</v>
      </c>
      <c r="DV28" s="1156">
        <v>116.61</v>
      </c>
      <c r="DW28" s="1156">
        <v>13936</v>
      </c>
      <c r="DX28" s="1156">
        <v>72536</v>
      </c>
      <c r="DY28" s="1156" t="s">
        <v>3758</v>
      </c>
      <c r="DZ28" s="1156">
        <v>117.86</v>
      </c>
      <c r="EA28" s="1156">
        <v>13984</v>
      </c>
      <c r="EB28" s="1156">
        <v>72392</v>
      </c>
      <c r="EC28" s="1156" t="s">
        <v>3759</v>
      </c>
      <c r="ED28" s="1156">
        <v>124.87</v>
      </c>
      <c r="EE28" s="1156">
        <v>14722</v>
      </c>
      <c r="EF28" s="1156">
        <v>71762</v>
      </c>
      <c r="EG28" s="1156" t="s">
        <v>3760</v>
      </c>
      <c r="EH28" s="1156">
        <v>121.57</v>
      </c>
      <c r="EI28" s="1156">
        <v>14190</v>
      </c>
      <c r="EJ28" s="1156">
        <v>71039</v>
      </c>
      <c r="EK28" s="1156" t="s">
        <v>3761</v>
      </c>
      <c r="EL28" s="1156">
        <v>109.66</v>
      </c>
      <c r="EM28" s="1156">
        <v>11039</v>
      </c>
      <c r="EN28" s="1156">
        <v>70632</v>
      </c>
      <c r="EO28" s="1156" t="s">
        <v>3762</v>
      </c>
      <c r="EP28" s="1156">
        <v>119</v>
      </c>
      <c r="EQ28" s="1156">
        <v>12896</v>
      </c>
      <c r="ER28" s="1156">
        <v>70402</v>
      </c>
      <c r="ES28" s="1156" t="s">
        <v>3763</v>
      </c>
      <c r="ET28" s="1156">
        <v>111.12</v>
      </c>
      <c r="EU28" s="1156">
        <v>11022</v>
      </c>
      <c r="EV28" s="1156">
        <v>67469</v>
      </c>
      <c r="EW28" s="1156" t="s">
        <v>3764</v>
      </c>
      <c r="EX28" s="1156">
        <v>109.78</v>
      </c>
      <c r="EY28" s="1156">
        <v>10950</v>
      </c>
      <c r="EZ28" s="1156">
        <v>66497</v>
      </c>
      <c r="FA28" s="1156" t="s">
        <v>3765</v>
      </c>
      <c r="FB28" s="1156">
        <v>111.76</v>
      </c>
      <c r="FC28" s="1156">
        <v>11630</v>
      </c>
      <c r="FD28" s="1156">
        <v>66054</v>
      </c>
      <c r="FE28" s="1156" t="s">
        <v>3766</v>
      </c>
      <c r="FF28" s="1156">
        <v>109.34</v>
      </c>
      <c r="FG28" s="1156">
        <v>11225</v>
      </c>
      <c r="FH28" s="1156">
        <v>66233</v>
      </c>
      <c r="FI28" s="1156" t="s">
        <v>3765</v>
      </c>
      <c r="FJ28" s="1156">
        <v>108.96</v>
      </c>
      <c r="FK28" s="1156">
        <v>11249</v>
      </c>
      <c r="FL28" s="1156">
        <v>66077</v>
      </c>
      <c r="FM28" s="1156" t="s">
        <v>3765</v>
      </c>
      <c r="FN28" s="1156">
        <v>107.99</v>
      </c>
      <c r="FO28" s="1156">
        <v>10970</v>
      </c>
      <c r="FP28" s="1156">
        <v>66567</v>
      </c>
      <c r="FQ28" s="1156" t="s">
        <v>3767</v>
      </c>
      <c r="FR28" s="1156">
        <v>108.58</v>
      </c>
      <c r="FS28" s="1156">
        <v>10877</v>
      </c>
      <c r="FT28" s="1156">
        <v>70248</v>
      </c>
      <c r="FU28" s="1156" t="s">
        <v>3755</v>
      </c>
      <c r="FV28" s="1156">
        <v>108.16</v>
      </c>
      <c r="FW28" s="1156">
        <v>10878</v>
      </c>
      <c r="FX28" s="1156">
        <v>70112</v>
      </c>
      <c r="FY28" s="1156" t="s">
        <v>3742</v>
      </c>
      <c r="FZ28" s="1156">
        <v>110.94</v>
      </c>
      <c r="GA28" s="1156">
        <v>11321</v>
      </c>
      <c r="GB28" s="1156">
        <v>69906</v>
      </c>
      <c r="GC28" s="1156" t="s">
        <v>3768</v>
      </c>
      <c r="GD28" s="1156">
        <v>110.07</v>
      </c>
      <c r="GE28" s="1156">
        <v>10827</v>
      </c>
      <c r="GF28" s="1156">
        <v>69733</v>
      </c>
      <c r="GG28" s="1156" t="s">
        <v>3757</v>
      </c>
      <c r="GH28" s="1156">
        <v>108.81</v>
      </c>
      <c r="GI28" s="1156">
        <v>10634</v>
      </c>
      <c r="GJ28" s="1156">
        <v>69427</v>
      </c>
      <c r="GK28" s="1156" t="s">
        <v>3769</v>
      </c>
      <c r="GL28" s="1156">
        <v>109.58</v>
      </c>
      <c r="GM28" s="1156">
        <v>10455</v>
      </c>
      <c r="GN28" s="1156">
        <v>69282</v>
      </c>
      <c r="GO28" s="1156" t="s">
        <v>3770</v>
      </c>
      <c r="GP28" s="1156">
        <v>109.94</v>
      </c>
      <c r="GQ28" s="1156">
        <v>10434</v>
      </c>
      <c r="GR28" s="1156">
        <v>69397</v>
      </c>
      <c r="GS28" s="1156" t="s">
        <v>3771</v>
      </c>
      <c r="GT28" s="1156">
        <v>114.26</v>
      </c>
      <c r="GU28" s="1156">
        <v>11184</v>
      </c>
      <c r="GV28" s="1156">
        <v>69552</v>
      </c>
      <c r="GW28" s="1156" t="s">
        <v>3772</v>
      </c>
      <c r="GX28" s="1156">
        <v>114.45</v>
      </c>
      <c r="GY28" s="1156">
        <v>11236</v>
      </c>
      <c r="GZ28" s="1156">
        <v>69550</v>
      </c>
      <c r="HA28" s="1156" t="s">
        <v>3773</v>
      </c>
      <c r="HB28" s="1156">
        <v>113.02</v>
      </c>
      <c r="HC28" s="1156">
        <v>11104</v>
      </c>
      <c r="HD28" s="1156">
        <v>69431</v>
      </c>
      <c r="HE28" s="1156" t="s">
        <v>3759</v>
      </c>
      <c r="HF28" s="1156">
        <v>109.98</v>
      </c>
      <c r="HG28" s="1156">
        <v>10611</v>
      </c>
      <c r="HH28" s="1156">
        <v>69830</v>
      </c>
      <c r="HI28" s="1156" t="s">
        <v>3774</v>
      </c>
      <c r="HJ28" s="1156">
        <v>107.39</v>
      </c>
      <c r="HK28" s="1156">
        <v>9941</v>
      </c>
      <c r="HL28" s="1156">
        <v>69704</v>
      </c>
      <c r="HM28" s="1156" t="s">
        <v>3741</v>
      </c>
      <c r="HN28" s="1156">
        <v>106.88</v>
      </c>
      <c r="HO28" s="1156">
        <v>9687</v>
      </c>
      <c r="HP28" s="1156">
        <v>70549</v>
      </c>
      <c r="HQ28" s="1156" t="s">
        <v>3754</v>
      </c>
      <c r="HR28" s="1156">
        <v>108.39</v>
      </c>
      <c r="HS28" s="1156">
        <v>9992</v>
      </c>
      <c r="HT28" s="1156">
        <v>70891</v>
      </c>
      <c r="HU28" s="1156" t="s">
        <v>3720</v>
      </c>
      <c r="HV28" s="1156">
        <v>110.09</v>
      </c>
      <c r="HW28" s="1156">
        <v>10639</v>
      </c>
      <c r="HX28" s="1156">
        <v>71164</v>
      </c>
      <c r="HY28" s="1156" t="s">
        <v>3775</v>
      </c>
      <c r="HZ28" s="1156">
        <v>111.28</v>
      </c>
      <c r="IA28" s="1156">
        <v>10610</v>
      </c>
      <c r="IB28" s="1156">
        <v>71277</v>
      </c>
      <c r="IC28" s="1156" t="s">
        <v>3776</v>
      </c>
      <c r="ID28" s="1156">
        <v>113.38</v>
      </c>
      <c r="IE28" s="1156">
        <v>11381</v>
      </c>
      <c r="IF28" s="1156">
        <v>71480</v>
      </c>
      <c r="IG28" s="1156" t="s">
        <v>3768</v>
      </c>
      <c r="IH28" s="1156">
        <v>112.99</v>
      </c>
      <c r="II28" s="1156">
        <v>11298</v>
      </c>
      <c r="IJ28" s="1156">
        <v>71289</v>
      </c>
      <c r="IK28" s="1156" t="s">
        <v>3771</v>
      </c>
      <c r="IL28" s="1156">
        <v>112.28</v>
      </c>
      <c r="IM28" s="1156">
        <v>10958</v>
      </c>
      <c r="IN28" s="1156">
        <v>71419</v>
      </c>
      <c r="IO28" s="1156" t="s">
        <v>3737</v>
      </c>
      <c r="IP28" s="1156">
        <v>112.41</v>
      </c>
      <c r="IQ28" s="1156">
        <v>10987</v>
      </c>
      <c r="IR28" s="1156">
        <v>71402</v>
      </c>
      <c r="IS28" s="1156" t="s">
        <v>3774</v>
      </c>
      <c r="IT28" s="1156">
        <v>111.02</v>
      </c>
      <c r="IU28" s="1156">
        <v>10629</v>
      </c>
      <c r="IV28" s="1156">
        <v>71330</v>
      </c>
      <c r="IW28" s="1156" t="s">
        <v>3740</v>
      </c>
      <c r="IX28" s="1156">
        <v>113.28</v>
      </c>
      <c r="IY28" s="1156">
        <v>11536</v>
      </c>
      <c r="IZ28" s="1156">
        <v>70961</v>
      </c>
      <c r="JA28" s="1156" t="s">
        <v>3777</v>
      </c>
      <c r="JB28" s="1156">
        <v>111.91</v>
      </c>
      <c r="JC28" s="1156">
        <v>11081</v>
      </c>
      <c r="JD28" s="1156">
        <v>71115</v>
      </c>
      <c r="JE28" s="1156" t="s">
        <v>3774</v>
      </c>
      <c r="JF28" s="1156">
        <v>113.32</v>
      </c>
      <c r="JG28" s="1156">
        <v>11329</v>
      </c>
      <c r="JH28" s="1156">
        <v>71486</v>
      </c>
      <c r="JI28" s="1156" t="s">
        <v>3771</v>
      </c>
      <c r="JJ28" s="1156">
        <v>112.96</v>
      </c>
      <c r="JK28" s="1156">
        <v>11192</v>
      </c>
      <c r="JL28" s="1156">
        <v>71825</v>
      </c>
      <c r="JM28" s="1156" t="s">
        <v>3737</v>
      </c>
      <c r="JN28" s="1156">
        <v>112.1</v>
      </c>
      <c r="JO28" s="1156">
        <v>11017</v>
      </c>
      <c r="JP28" s="1156">
        <v>72190</v>
      </c>
      <c r="JQ28" s="1156" t="s">
        <v>3762</v>
      </c>
      <c r="JR28" s="1156">
        <v>109.77</v>
      </c>
      <c r="JS28" s="1156">
        <v>10462</v>
      </c>
      <c r="JT28" s="1156">
        <v>71738</v>
      </c>
      <c r="JU28" s="1156" t="s">
        <v>3720</v>
      </c>
      <c r="JV28" s="1156">
        <v>104.29</v>
      </c>
      <c r="JW28" s="1156">
        <v>9585</v>
      </c>
      <c r="JX28" s="1156">
        <v>71845</v>
      </c>
      <c r="JY28" s="1156" t="s">
        <v>3778</v>
      </c>
      <c r="JZ28" s="1156">
        <v>117.28</v>
      </c>
      <c r="KA28" s="1156">
        <v>12375</v>
      </c>
      <c r="KB28" s="1156">
        <v>71641</v>
      </c>
      <c r="KC28" s="1156" t="s">
        <v>3779</v>
      </c>
      <c r="KD28" s="1156">
        <v>105.24</v>
      </c>
      <c r="KE28" s="1156">
        <v>9989</v>
      </c>
      <c r="KF28" s="1156">
        <v>71214</v>
      </c>
      <c r="KG28" s="1156" t="s">
        <v>3780</v>
      </c>
      <c r="KH28" s="1156">
        <v>100.97</v>
      </c>
      <c r="KI28" s="1156">
        <v>8034</v>
      </c>
      <c r="KJ28" s="1156">
        <v>71756</v>
      </c>
      <c r="KK28" s="1156" t="s">
        <v>3781</v>
      </c>
      <c r="KL28" s="1156">
        <v>116.23</v>
      </c>
      <c r="KM28" s="1156">
        <v>13671</v>
      </c>
      <c r="KN28" s="1156">
        <v>71713</v>
      </c>
      <c r="KO28" s="1156" t="s">
        <v>3782</v>
      </c>
      <c r="KP28" s="1156">
        <v>96.19</v>
      </c>
      <c r="KQ28" s="1156">
        <v>8463</v>
      </c>
      <c r="KR28" s="1156">
        <v>71952</v>
      </c>
      <c r="KS28" s="1156" t="s">
        <v>3657</v>
      </c>
      <c r="KT28" s="1156">
        <v>91.84</v>
      </c>
      <c r="KU28" s="1156">
        <v>8147</v>
      </c>
      <c r="KV28" s="1156">
        <v>75016</v>
      </c>
      <c r="KW28" s="1156" t="s">
        <v>3661</v>
      </c>
    </row>
    <row r="29" spans="1:309" s="1156" customFormat="1" ht="13.5">
      <c r="A29" s="1156" t="s">
        <v>3783</v>
      </c>
      <c r="B29" s="1156">
        <v>24.91</v>
      </c>
      <c r="C29" s="1156">
        <v>2501</v>
      </c>
      <c r="D29" s="1156">
        <v>22504</v>
      </c>
      <c r="E29" s="1156" t="s">
        <v>3443</v>
      </c>
      <c r="F29" s="1156">
        <v>24.77</v>
      </c>
      <c r="G29" s="1156">
        <v>2509</v>
      </c>
      <c r="H29" s="1156">
        <v>22788</v>
      </c>
      <c r="I29" s="1156" t="s">
        <v>3784</v>
      </c>
      <c r="J29" s="1156">
        <v>24.95</v>
      </c>
      <c r="K29" s="1156">
        <v>2526</v>
      </c>
      <c r="L29" s="1156">
        <v>22862</v>
      </c>
      <c r="M29" s="1156" t="s">
        <v>3785</v>
      </c>
      <c r="N29" s="1156">
        <v>24.96</v>
      </c>
      <c r="O29" s="1156">
        <v>2533</v>
      </c>
      <c r="P29" s="1156">
        <v>22960</v>
      </c>
      <c r="Q29" s="1156" t="s">
        <v>3784</v>
      </c>
      <c r="R29" s="1156">
        <v>25.04</v>
      </c>
      <c r="S29" s="1156">
        <v>2514</v>
      </c>
      <c r="T29" s="1156">
        <v>23114</v>
      </c>
      <c r="U29" s="1156" t="s">
        <v>3786</v>
      </c>
      <c r="V29" s="1156">
        <v>25.36</v>
      </c>
      <c r="W29" s="1156">
        <v>2567</v>
      </c>
      <c r="X29" s="1156">
        <v>23221</v>
      </c>
      <c r="Y29" s="1156" t="s">
        <v>3785</v>
      </c>
      <c r="Z29" s="1156">
        <v>25.98</v>
      </c>
      <c r="AA29" s="1156">
        <v>2611</v>
      </c>
      <c r="AB29" s="1156">
        <v>23320</v>
      </c>
      <c r="AC29" s="1156" t="s">
        <v>3513</v>
      </c>
      <c r="AD29" s="1156">
        <v>26.48</v>
      </c>
      <c r="AE29" s="1156">
        <v>2671</v>
      </c>
      <c r="AF29" s="1156">
        <v>23581</v>
      </c>
      <c r="AG29" s="1156" t="s">
        <v>3614</v>
      </c>
      <c r="AH29" s="1156">
        <v>26.64</v>
      </c>
      <c r="AI29" s="1156">
        <v>2673</v>
      </c>
      <c r="AJ29" s="1156">
        <v>23622</v>
      </c>
      <c r="AK29" s="1156" t="s">
        <v>3527</v>
      </c>
      <c r="AL29" s="1156">
        <v>26.63</v>
      </c>
      <c r="AM29" s="1156">
        <v>2713</v>
      </c>
      <c r="AN29" s="1156">
        <v>23732</v>
      </c>
      <c r="AO29" s="1156" t="s">
        <v>3614</v>
      </c>
      <c r="AP29" s="1156">
        <v>26.79</v>
      </c>
      <c r="AQ29" s="1156">
        <v>2771</v>
      </c>
      <c r="AR29" s="1156">
        <v>24914</v>
      </c>
      <c r="AS29" s="1156" t="s">
        <v>3787</v>
      </c>
      <c r="AT29" s="1156">
        <v>26.71</v>
      </c>
      <c r="AU29" s="1156">
        <v>2720</v>
      </c>
      <c r="AV29" s="1156">
        <v>25551</v>
      </c>
      <c r="AW29" s="1156" t="s">
        <v>3606</v>
      </c>
      <c r="AX29" s="1156">
        <v>26.78</v>
      </c>
      <c r="AY29" s="1156">
        <v>2751</v>
      </c>
      <c r="AZ29" s="1156">
        <v>25524</v>
      </c>
      <c r="BA29" s="1156" t="s">
        <v>3788</v>
      </c>
      <c r="BB29" s="1156">
        <v>26.52</v>
      </c>
      <c r="BC29" s="1156">
        <v>2728</v>
      </c>
      <c r="BD29" s="1156">
        <v>24157</v>
      </c>
      <c r="BE29" s="1156" t="s">
        <v>3422</v>
      </c>
      <c r="BF29" s="1156">
        <v>26.31</v>
      </c>
      <c r="BG29" s="1156">
        <v>2735</v>
      </c>
      <c r="BH29" s="1156">
        <v>23995</v>
      </c>
      <c r="BI29" s="1156" t="s">
        <v>3427</v>
      </c>
      <c r="BJ29" s="1156">
        <v>26.15</v>
      </c>
      <c r="BK29" s="1156">
        <v>2707</v>
      </c>
      <c r="BL29" s="1156">
        <v>24083</v>
      </c>
      <c r="BM29" s="1156" t="s">
        <v>3609</v>
      </c>
      <c r="BN29" s="1156">
        <v>26.13</v>
      </c>
      <c r="BO29" s="1156">
        <v>2697</v>
      </c>
      <c r="BP29" s="1156">
        <v>24082</v>
      </c>
      <c r="BQ29" s="1156" t="s">
        <v>3789</v>
      </c>
      <c r="BR29" s="1156">
        <v>26.33</v>
      </c>
      <c r="BS29" s="1156">
        <v>2682</v>
      </c>
      <c r="BT29" s="1156">
        <v>24240</v>
      </c>
      <c r="BU29" s="1156" t="s">
        <v>3609</v>
      </c>
      <c r="BV29" s="1156">
        <v>26.5</v>
      </c>
      <c r="BW29" s="1156">
        <v>2721</v>
      </c>
      <c r="BX29" s="1156">
        <v>24208</v>
      </c>
      <c r="BY29" s="1156" t="s">
        <v>3441</v>
      </c>
      <c r="BZ29" s="1156">
        <v>26.81</v>
      </c>
      <c r="CA29" s="1156">
        <v>2734</v>
      </c>
      <c r="CB29" s="1156">
        <v>24816</v>
      </c>
      <c r="CC29" s="1156" t="s">
        <v>3790</v>
      </c>
      <c r="CD29" s="1156">
        <v>26.88</v>
      </c>
      <c r="CE29" s="1156">
        <v>2770</v>
      </c>
      <c r="CF29" s="1156">
        <v>24601</v>
      </c>
      <c r="CG29" s="1156" t="s">
        <v>3605</v>
      </c>
      <c r="CH29" s="1156">
        <v>26.86</v>
      </c>
      <c r="CI29" s="1156">
        <v>2768</v>
      </c>
      <c r="CJ29" s="1156">
        <v>24147</v>
      </c>
      <c r="CK29" s="1156" t="s">
        <v>3612</v>
      </c>
      <c r="CL29" s="1156">
        <v>26.72</v>
      </c>
      <c r="CM29" s="1156">
        <v>2776</v>
      </c>
      <c r="CN29" s="1156">
        <v>24523</v>
      </c>
      <c r="CO29" s="1156" t="s">
        <v>3430</v>
      </c>
      <c r="CP29" s="1156">
        <v>26.59</v>
      </c>
      <c r="CQ29" s="1156">
        <v>2753</v>
      </c>
      <c r="CR29" s="1156">
        <v>24635</v>
      </c>
      <c r="CS29" s="1156" t="s">
        <v>3790</v>
      </c>
      <c r="CT29" s="1156">
        <v>26.68</v>
      </c>
      <c r="CU29" s="1156">
        <v>2753</v>
      </c>
      <c r="CV29" s="1156">
        <v>24455</v>
      </c>
      <c r="CW29" s="1156" t="s">
        <v>3482</v>
      </c>
      <c r="CX29" s="1156">
        <v>26.62</v>
      </c>
      <c r="CY29" s="1156">
        <v>2762</v>
      </c>
      <c r="CZ29" s="1156">
        <v>24484</v>
      </c>
      <c r="DA29" s="1156" t="s">
        <v>3784</v>
      </c>
      <c r="DB29" s="1156">
        <v>26.56</v>
      </c>
      <c r="DC29" s="1156">
        <v>2760</v>
      </c>
      <c r="DD29" s="1156">
        <v>24275</v>
      </c>
      <c r="DE29" s="1156" t="s">
        <v>3441</v>
      </c>
      <c r="DF29" s="1156">
        <v>26.17</v>
      </c>
      <c r="DG29" s="1156">
        <v>2711</v>
      </c>
      <c r="DH29" s="1156">
        <v>24520</v>
      </c>
      <c r="DI29" s="1156" t="s">
        <v>3791</v>
      </c>
      <c r="DJ29" s="1156">
        <v>26.14</v>
      </c>
      <c r="DK29" s="1156">
        <v>2660</v>
      </c>
      <c r="DL29" s="1156">
        <v>24494</v>
      </c>
      <c r="DM29" s="1156" t="s">
        <v>3791</v>
      </c>
      <c r="DN29" s="1156">
        <v>26.24</v>
      </c>
      <c r="DO29" s="1156">
        <v>2665</v>
      </c>
      <c r="DP29" s="1156">
        <v>24455</v>
      </c>
      <c r="DQ29" s="1156" t="s">
        <v>3792</v>
      </c>
      <c r="DR29" s="1156">
        <v>26.49</v>
      </c>
      <c r="DS29" s="1156">
        <v>2694</v>
      </c>
      <c r="DT29" s="1156">
        <v>24624</v>
      </c>
      <c r="DU29" s="1156" t="s">
        <v>3787</v>
      </c>
      <c r="DV29" s="1156">
        <v>26.67</v>
      </c>
      <c r="DW29" s="1156">
        <v>2700</v>
      </c>
      <c r="DX29" s="1156">
        <v>24752</v>
      </c>
      <c r="DY29" s="1156" t="s">
        <v>3423</v>
      </c>
      <c r="DZ29" s="1156">
        <v>27</v>
      </c>
      <c r="EA29" s="1156">
        <v>2716</v>
      </c>
      <c r="EB29" s="1156">
        <v>24897</v>
      </c>
      <c r="EC29" s="1156" t="s">
        <v>3789</v>
      </c>
      <c r="ED29" s="1156">
        <v>30.42</v>
      </c>
      <c r="EE29" s="1156">
        <v>2499</v>
      </c>
      <c r="EF29" s="1156">
        <v>24873</v>
      </c>
      <c r="EG29" s="1156" t="s">
        <v>3656</v>
      </c>
      <c r="EH29" s="1156">
        <v>30.73</v>
      </c>
      <c r="EI29" s="1156">
        <v>2489</v>
      </c>
      <c r="EJ29" s="1156">
        <v>25007</v>
      </c>
      <c r="EK29" s="1156" t="s">
        <v>3793</v>
      </c>
      <c r="EL29" s="1156">
        <v>31.32</v>
      </c>
      <c r="EM29" s="1156">
        <v>2579</v>
      </c>
      <c r="EN29" s="1156">
        <v>25013</v>
      </c>
      <c r="EO29" s="1156" t="s">
        <v>3622</v>
      </c>
      <c r="EP29" s="1156">
        <v>32.369999999999997</v>
      </c>
      <c r="EQ29" s="1156">
        <v>2760</v>
      </c>
      <c r="ER29" s="1156">
        <v>24994</v>
      </c>
      <c r="ES29" s="1156" t="s">
        <v>3731</v>
      </c>
      <c r="ET29" s="1156">
        <v>31.75</v>
      </c>
      <c r="EU29" s="1156">
        <v>2762</v>
      </c>
      <c r="EV29" s="1156">
        <v>24670</v>
      </c>
      <c r="EW29" s="1156" t="s">
        <v>3651</v>
      </c>
      <c r="EX29" s="1156">
        <v>31.86</v>
      </c>
      <c r="EY29" s="1156">
        <v>2814</v>
      </c>
      <c r="EZ29" s="1156">
        <v>24462</v>
      </c>
      <c r="FA29" s="1156" t="s">
        <v>3647</v>
      </c>
      <c r="FB29" s="1156">
        <v>31.09</v>
      </c>
      <c r="FC29" s="1156">
        <v>2486</v>
      </c>
      <c r="FD29" s="1156">
        <v>24059</v>
      </c>
      <c r="FE29" s="1156" t="s">
        <v>3493</v>
      </c>
      <c r="FF29" s="1156">
        <v>31.75</v>
      </c>
      <c r="FG29" s="1156">
        <v>2584</v>
      </c>
      <c r="FH29" s="1156">
        <v>24053</v>
      </c>
      <c r="FI29" s="1156" t="s">
        <v>3794</v>
      </c>
      <c r="FJ29" s="1156">
        <v>32.28</v>
      </c>
      <c r="FK29" s="1156">
        <v>2618</v>
      </c>
      <c r="FL29" s="1156">
        <v>23986</v>
      </c>
      <c r="FM29" s="1156" t="s">
        <v>3728</v>
      </c>
      <c r="FN29" s="1156">
        <v>31.14</v>
      </c>
      <c r="FO29" s="1156">
        <v>2517</v>
      </c>
      <c r="FP29" s="1156">
        <v>24030</v>
      </c>
      <c r="FQ29" s="1156" t="s">
        <v>3731</v>
      </c>
      <c r="FR29" s="1156">
        <v>31.03</v>
      </c>
      <c r="FS29" s="1156">
        <v>2572</v>
      </c>
      <c r="FT29" s="1156">
        <v>23794</v>
      </c>
      <c r="FU29" s="1156" t="s">
        <v>3795</v>
      </c>
      <c r="FV29" s="1156">
        <v>31.33</v>
      </c>
      <c r="FW29" s="1156">
        <v>2530</v>
      </c>
      <c r="FX29" s="1156">
        <v>23512</v>
      </c>
      <c r="FY29" s="1156" t="s">
        <v>3796</v>
      </c>
      <c r="FZ29" s="1156">
        <v>31.05</v>
      </c>
      <c r="GA29" s="1156">
        <v>2501</v>
      </c>
      <c r="GB29" s="1156">
        <v>23496</v>
      </c>
      <c r="GC29" s="1156" t="s">
        <v>3797</v>
      </c>
      <c r="GD29" s="1156">
        <v>31.12</v>
      </c>
      <c r="GE29" s="1156">
        <v>2509</v>
      </c>
      <c r="GF29" s="1156">
        <v>23064</v>
      </c>
      <c r="GG29" s="1156" t="s">
        <v>3629</v>
      </c>
      <c r="GH29" s="1156">
        <v>31.45</v>
      </c>
      <c r="GI29" s="1156">
        <v>2494</v>
      </c>
      <c r="GJ29" s="1156">
        <v>23150</v>
      </c>
      <c r="GK29" s="1156" t="s">
        <v>3722</v>
      </c>
      <c r="GL29" s="1156">
        <v>31.14</v>
      </c>
      <c r="GM29" s="1156">
        <v>2487</v>
      </c>
      <c r="GN29" s="1156">
        <v>23071</v>
      </c>
      <c r="GO29" s="1156" t="s">
        <v>3629</v>
      </c>
      <c r="GP29" s="1156">
        <v>30.71</v>
      </c>
      <c r="GQ29" s="1156">
        <v>2374</v>
      </c>
      <c r="GR29" s="1156">
        <v>22693</v>
      </c>
      <c r="GS29" s="1156" t="s">
        <v>3633</v>
      </c>
      <c r="GT29" s="1156">
        <v>31.66</v>
      </c>
      <c r="GU29" s="1156">
        <v>2496</v>
      </c>
      <c r="GV29" s="1156">
        <v>23419</v>
      </c>
      <c r="GW29" s="1156" t="s">
        <v>3526</v>
      </c>
      <c r="GX29" s="1156">
        <v>32.909999999999997</v>
      </c>
      <c r="GY29" s="1156">
        <v>2702</v>
      </c>
      <c r="GZ29" s="1156">
        <v>22506</v>
      </c>
      <c r="HA29" s="1156" t="s">
        <v>3699</v>
      </c>
      <c r="HB29" s="1156">
        <v>30.82</v>
      </c>
      <c r="HC29" s="1156">
        <v>2400</v>
      </c>
      <c r="HD29" s="1156">
        <v>22852</v>
      </c>
      <c r="HE29" s="1156" t="s">
        <v>3629</v>
      </c>
      <c r="HF29" s="1156">
        <v>30.56</v>
      </c>
      <c r="HG29" s="1156">
        <v>2383</v>
      </c>
      <c r="HH29" s="1156">
        <v>22988</v>
      </c>
      <c r="HI29" s="1156" t="s">
        <v>3724</v>
      </c>
      <c r="HJ29" s="1156">
        <v>30.91</v>
      </c>
      <c r="HK29" s="1156">
        <v>2404</v>
      </c>
      <c r="HL29" s="1156">
        <v>23008</v>
      </c>
      <c r="HM29" s="1156" t="s">
        <v>3653</v>
      </c>
      <c r="HN29" s="1156">
        <v>32.630000000000003</v>
      </c>
      <c r="HO29" s="1156">
        <v>2571</v>
      </c>
      <c r="HP29" s="1156">
        <v>23098</v>
      </c>
      <c r="HQ29" s="1156" t="s">
        <v>3798</v>
      </c>
      <c r="HR29" s="1156">
        <v>32.49</v>
      </c>
      <c r="HS29" s="1156">
        <v>2503</v>
      </c>
      <c r="HT29" s="1156">
        <v>23228</v>
      </c>
      <c r="HU29" s="1156" t="s">
        <v>3799</v>
      </c>
      <c r="HV29" s="1156">
        <v>33.6</v>
      </c>
      <c r="HW29" s="1156">
        <v>2676</v>
      </c>
      <c r="HX29" s="1156">
        <v>23312</v>
      </c>
      <c r="HY29" s="1156" t="s">
        <v>3712</v>
      </c>
      <c r="HZ29" s="1156">
        <v>33.28</v>
      </c>
      <c r="IA29" s="1156">
        <v>2643</v>
      </c>
      <c r="IB29" s="1156">
        <v>23243</v>
      </c>
      <c r="IC29" s="1156" t="s">
        <v>3713</v>
      </c>
      <c r="ID29" s="1156">
        <v>36.67</v>
      </c>
      <c r="IE29" s="1156">
        <v>2837</v>
      </c>
      <c r="IF29" s="1156">
        <v>22911</v>
      </c>
      <c r="IG29" s="1156" t="s">
        <v>3800</v>
      </c>
      <c r="IH29" s="1156">
        <v>36.44</v>
      </c>
      <c r="II29" s="1156">
        <v>2818</v>
      </c>
      <c r="IJ29" s="1156">
        <v>22696</v>
      </c>
      <c r="IK29" s="1156" t="s">
        <v>3801</v>
      </c>
      <c r="IL29" s="1156">
        <v>42.94</v>
      </c>
      <c r="IM29" s="1156">
        <v>3219</v>
      </c>
      <c r="IN29" s="1156">
        <v>22565</v>
      </c>
      <c r="IO29" s="1156" t="s">
        <v>3802</v>
      </c>
      <c r="IP29" s="1156">
        <v>43.79</v>
      </c>
      <c r="IQ29" s="1156">
        <v>3358</v>
      </c>
      <c r="IR29" s="1156">
        <v>22673</v>
      </c>
      <c r="IS29" s="1156" t="s">
        <v>3803</v>
      </c>
      <c r="IT29" s="1156">
        <v>45.55</v>
      </c>
      <c r="IU29" s="1156">
        <v>3453</v>
      </c>
      <c r="IV29" s="1156">
        <v>22750</v>
      </c>
      <c r="IW29" s="1156" t="s">
        <v>3804</v>
      </c>
      <c r="IX29" s="1156">
        <v>39.700000000000003</v>
      </c>
      <c r="IY29" s="1156">
        <v>3055</v>
      </c>
      <c r="IZ29" s="1156">
        <v>22888</v>
      </c>
      <c r="JA29" s="1156" t="s">
        <v>3805</v>
      </c>
      <c r="JB29" s="1156">
        <v>38.17</v>
      </c>
      <c r="JC29" s="1156">
        <v>2910</v>
      </c>
      <c r="JD29" s="1156">
        <v>23041</v>
      </c>
      <c r="JE29" s="1156" t="s">
        <v>3806</v>
      </c>
      <c r="JF29" s="1156">
        <v>35.06</v>
      </c>
      <c r="JG29" s="1156">
        <v>2729</v>
      </c>
      <c r="JH29" s="1156">
        <v>23253</v>
      </c>
      <c r="JI29" s="1156" t="s">
        <v>3753</v>
      </c>
      <c r="JJ29" s="1156">
        <v>36.21</v>
      </c>
      <c r="JK29" s="1156">
        <v>2828</v>
      </c>
      <c r="JL29" s="1156">
        <v>23631</v>
      </c>
      <c r="JM29" s="1156" t="s">
        <v>3745</v>
      </c>
      <c r="JN29" s="1156">
        <v>43.86</v>
      </c>
      <c r="JO29" s="1156">
        <v>3378</v>
      </c>
      <c r="JP29" s="1156">
        <v>23714</v>
      </c>
      <c r="JQ29" s="1156" t="s">
        <v>3807</v>
      </c>
      <c r="JR29" s="1156">
        <v>40.590000000000003</v>
      </c>
      <c r="JS29" s="1156">
        <v>3083</v>
      </c>
      <c r="JT29" s="1156">
        <v>23542</v>
      </c>
      <c r="JU29" s="1156" t="s">
        <v>3808</v>
      </c>
      <c r="JV29" s="1156">
        <v>35.21</v>
      </c>
      <c r="JW29" s="1156">
        <v>2984</v>
      </c>
      <c r="JX29" s="1156">
        <v>23315</v>
      </c>
      <c r="JY29" s="1156" t="s">
        <v>3751</v>
      </c>
      <c r="JZ29" s="1156">
        <v>27.95</v>
      </c>
      <c r="KA29" s="1156">
        <v>2392</v>
      </c>
      <c r="KB29" s="1156">
        <v>23295</v>
      </c>
      <c r="KC29" s="1156" t="s">
        <v>3809</v>
      </c>
      <c r="KD29" s="1156">
        <v>39.54</v>
      </c>
      <c r="KE29" s="1156">
        <v>3049</v>
      </c>
      <c r="KF29" s="1156">
        <v>22990</v>
      </c>
      <c r="KG29" s="1156" t="s">
        <v>3810</v>
      </c>
      <c r="KH29" s="1156">
        <v>27.74</v>
      </c>
      <c r="KI29" s="1156">
        <v>2087</v>
      </c>
      <c r="KJ29" s="1156">
        <v>23968</v>
      </c>
      <c r="KK29" s="1156" t="s">
        <v>3811</v>
      </c>
      <c r="KL29" s="1156">
        <v>33.01</v>
      </c>
      <c r="KM29" s="1156">
        <v>2758</v>
      </c>
      <c r="KN29" s="1156">
        <v>23604</v>
      </c>
      <c r="KO29" s="1156" t="s">
        <v>3799</v>
      </c>
      <c r="KP29" s="1156">
        <v>44.64</v>
      </c>
      <c r="KQ29" s="1156">
        <v>4564</v>
      </c>
      <c r="KR29" s="1156">
        <v>23789</v>
      </c>
      <c r="KS29" s="1156" t="s">
        <v>3812</v>
      </c>
      <c r="KT29" s="1156">
        <v>24.54</v>
      </c>
      <c r="KU29" s="1156">
        <v>2185</v>
      </c>
      <c r="KV29" s="1156">
        <v>24412</v>
      </c>
      <c r="KW29" s="1156" t="s">
        <v>3813</v>
      </c>
    </row>
    <row r="30" spans="1:309" s="1156" customFormat="1" ht="13.5">
      <c r="A30" s="1156" t="s">
        <v>3814</v>
      </c>
      <c r="B30" s="1156">
        <v>32.770000000000003</v>
      </c>
      <c r="C30" s="1156">
        <v>3613</v>
      </c>
      <c r="D30" s="1156">
        <v>29061</v>
      </c>
      <c r="E30" s="1156" t="s">
        <v>3527</v>
      </c>
      <c r="F30" s="1156">
        <v>32.700000000000003</v>
      </c>
      <c r="G30" s="1156">
        <v>3559</v>
      </c>
      <c r="H30" s="1156">
        <v>29365</v>
      </c>
      <c r="I30" s="1156" t="s">
        <v>3513</v>
      </c>
      <c r="J30" s="1156">
        <v>32.869999999999997</v>
      </c>
      <c r="K30" s="1156">
        <v>3592</v>
      </c>
      <c r="L30" s="1156">
        <v>29483</v>
      </c>
      <c r="M30" s="1156" t="s">
        <v>3603</v>
      </c>
      <c r="N30" s="1156">
        <v>32.86</v>
      </c>
      <c r="O30" s="1156">
        <v>3599</v>
      </c>
      <c r="P30" s="1156">
        <v>29622</v>
      </c>
      <c r="Q30" s="1156" t="s">
        <v>3592</v>
      </c>
      <c r="R30" s="1156">
        <v>32.99</v>
      </c>
      <c r="S30" s="1156">
        <v>3615</v>
      </c>
      <c r="T30" s="1156">
        <v>29911</v>
      </c>
      <c r="U30" s="1156" t="s">
        <v>3610</v>
      </c>
      <c r="V30" s="1156">
        <v>33.200000000000003</v>
      </c>
      <c r="W30" s="1156">
        <v>3623</v>
      </c>
      <c r="X30" s="1156">
        <v>30022</v>
      </c>
      <c r="Y30" s="1156" t="s">
        <v>3815</v>
      </c>
      <c r="Z30" s="1156">
        <v>33.450000000000003</v>
      </c>
      <c r="AA30" s="1156">
        <v>3631</v>
      </c>
      <c r="AB30" s="1156">
        <v>30197</v>
      </c>
      <c r="AC30" s="1156" t="s">
        <v>3443</v>
      </c>
      <c r="AD30" s="1156">
        <v>33.81</v>
      </c>
      <c r="AE30" s="1156">
        <v>3708</v>
      </c>
      <c r="AF30" s="1156">
        <v>30330</v>
      </c>
      <c r="AG30" s="1156" t="s">
        <v>3603</v>
      </c>
      <c r="AH30" s="1156">
        <v>34.17</v>
      </c>
      <c r="AI30" s="1156">
        <v>3734</v>
      </c>
      <c r="AJ30" s="1156">
        <v>30509</v>
      </c>
      <c r="AK30" s="1156" t="s">
        <v>3816</v>
      </c>
      <c r="AL30" s="1156">
        <v>34.409999999999997</v>
      </c>
      <c r="AM30" s="1156">
        <v>3758</v>
      </c>
      <c r="AN30" s="1156">
        <v>30772</v>
      </c>
      <c r="AO30" s="1156" t="s">
        <v>3817</v>
      </c>
      <c r="AP30" s="1156">
        <v>34.11</v>
      </c>
      <c r="AQ30" s="1156">
        <v>3736</v>
      </c>
      <c r="AR30" s="1156">
        <v>31287</v>
      </c>
      <c r="AS30" s="1156" t="s">
        <v>3482</v>
      </c>
      <c r="AT30" s="1156">
        <v>34.1</v>
      </c>
      <c r="AU30" s="1156">
        <v>3714</v>
      </c>
      <c r="AV30" s="1156">
        <v>31373</v>
      </c>
      <c r="AW30" s="1156" t="s">
        <v>3784</v>
      </c>
      <c r="AX30" s="1156">
        <v>34.11</v>
      </c>
      <c r="AY30" s="1156">
        <v>3744</v>
      </c>
      <c r="AZ30" s="1156">
        <v>31329</v>
      </c>
      <c r="BA30" s="1156" t="s">
        <v>3430</v>
      </c>
      <c r="BB30" s="1156">
        <v>34.36</v>
      </c>
      <c r="BC30" s="1156">
        <v>3744</v>
      </c>
      <c r="BD30" s="1156">
        <v>31228</v>
      </c>
      <c r="BE30" s="1156" t="s">
        <v>3556</v>
      </c>
      <c r="BF30" s="1156">
        <v>34.28</v>
      </c>
      <c r="BG30" s="1156">
        <v>3694</v>
      </c>
      <c r="BH30" s="1156">
        <v>31127</v>
      </c>
      <c r="BI30" s="1156" t="s">
        <v>3611</v>
      </c>
      <c r="BJ30" s="1156">
        <v>33.69</v>
      </c>
      <c r="BK30" s="1156">
        <v>3669</v>
      </c>
      <c r="BL30" s="1156">
        <v>31310</v>
      </c>
      <c r="BM30" s="1156" t="s">
        <v>3551</v>
      </c>
      <c r="BN30" s="1156">
        <v>33.93</v>
      </c>
      <c r="BO30" s="1156">
        <v>3649</v>
      </c>
      <c r="BP30" s="1156">
        <v>31282</v>
      </c>
      <c r="BQ30" s="1156" t="s">
        <v>3789</v>
      </c>
      <c r="BR30" s="1156">
        <v>33.83</v>
      </c>
      <c r="BS30" s="1156">
        <v>3656</v>
      </c>
      <c r="BT30" s="1156">
        <v>31463</v>
      </c>
      <c r="BU30" s="1156" t="s">
        <v>3787</v>
      </c>
      <c r="BV30" s="1156">
        <v>33.96</v>
      </c>
      <c r="BW30" s="1156">
        <v>3692</v>
      </c>
      <c r="BX30" s="1156">
        <v>31820</v>
      </c>
      <c r="BY30" s="1156" t="s">
        <v>3791</v>
      </c>
      <c r="BZ30" s="1156">
        <v>33.93</v>
      </c>
      <c r="CA30" s="1156">
        <v>3703</v>
      </c>
      <c r="CB30" s="1156">
        <v>31995</v>
      </c>
      <c r="CC30" s="1156" t="s">
        <v>3519</v>
      </c>
      <c r="CD30" s="1156">
        <v>33.9</v>
      </c>
      <c r="CE30" s="1156">
        <v>3758</v>
      </c>
      <c r="CF30" s="1156">
        <v>32116</v>
      </c>
      <c r="CG30" s="1156" t="s">
        <v>3537</v>
      </c>
      <c r="CH30" s="1156">
        <v>33.69</v>
      </c>
      <c r="CI30" s="1156">
        <v>3759</v>
      </c>
      <c r="CJ30" s="1156">
        <v>30668</v>
      </c>
      <c r="CK30" s="1156" t="s">
        <v>3818</v>
      </c>
      <c r="CL30" s="1156">
        <v>33.450000000000003</v>
      </c>
      <c r="CM30" s="1156">
        <v>3735</v>
      </c>
      <c r="CN30" s="1156">
        <v>30609</v>
      </c>
      <c r="CO30" s="1156" t="s">
        <v>3605</v>
      </c>
      <c r="CP30" s="1156">
        <v>33.42</v>
      </c>
      <c r="CQ30" s="1156">
        <v>3731</v>
      </c>
      <c r="CR30" s="1156">
        <v>30718</v>
      </c>
      <c r="CS30" s="1156" t="s">
        <v>3431</v>
      </c>
      <c r="CT30" s="1156">
        <v>33.24</v>
      </c>
      <c r="CU30" s="1156">
        <v>3760</v>
      </c>
      <c r="CV30" s="1156">
        <v>30888</v>
      </c>
      <c r="CW30" s="1156" t="s">
        <v>3551</v>
      </c>
      <c r="CX30" s="1156">
        <v>33.03</v>
      </c>
      <c r="CY30" s="1156">
        <v>3776</v>
      </c>
      <c r="CZ30" s="1156">
        <v>30814</v>
      </c>
      <c r="DA30" s="1156" t="s">
        <v>3521</v>
      </c>
      <c r="DB30" s="1156">
        <v>32.880000000000003</v>
      </c>
      <c r="DC30" s="1156">
        <v>3761</v>
      </c>
      <c r="DD30" s="1156">
        <v>30649</v>
      </c>
      <c r="DE30" s="1156" t="s">
        <v>3792</v>
      </c>
      <c r="DF30" s="1156">
        <v>32.840000000000003</v>
      </c>
      <c r="DG30" s="1156">
        <v>3779</v>
      </c>
      <c r="DH30" s="1156">
        <v>30609</v>
      </c>
      <c r="DI30" s="1156" t="s">
        <v>3792</v>
      </c>
      <c r="DJ30" s="1156">
        <v>32.75</v>
      </c>
      <c r="DK30" s="1156">
        <v>3757</v>
      </c>
      <c r="DL30" s="1156">
        <v>30496</v>
      </c>
      <c r="DM30" s="1156" t="s">
        <v>3819</v>
      </c>
      <c r="DN30" s="1156">
        <v>32.909999999999997</v>
      </c>
      <c r="DO30" s="1156">
        <v>3752</v>
      </c>
      <c r="DP30" s="1156">
        <v>30497</v>
      </c>
      <c r="DQ30" s="1156" t="s">
        <v>3534</v>
      </c>
      <c r="DR30" s="1156">
        <v>33.22</v>
      </c>
      <c r="DS30" s="1156">
        <v>3770</v>
      </c>
      <c r="DT30" s="1156">
        <v>30817</v>
      </c>
      <c r="DU30" s="1156" t="s">
        <v>3423</v>
      </c>
      <c r="DV30" s="1156">
        <v>33.6</v>
      </c>
      <c r="DW30" s="1156">
        <v>3839</v>
      </c>
      <c r="DX30" s="1156">
        <v>30938</v>
      </c>
      <c r="DY30" s="1156" t="s">
        <v>3609</v>
      </c>
      <c r="DZ30" s="1156">
        <v>33.75</v>
      </c>
      <c r="EA30" s="1156">
        <v>3835</v>
      </c>
      <c r="EB30" s="1156">
        <v>31223</v>
      </c>
      <c r="EC30" s="1156" t="s">
        <v>3532</v>
      </c>
      <c r="ED30" s="1156">
        <v>35.26</v>
      </c>
      <c r="EE30" s="1156">
        <v>3309</v>
      </c>
      <c r="EF30" s="1156">
        <v>31077</v>
      </c>
      <c r="EG30" s="1156" t="s">
        <v>3419</v>
      </c>
      <c r="EH30" s="1156">
        <v>35.68</v>
      </c>
      <c r="EI30" s="1156">
        <v>3467</v>
      </c>
      <c r="EJ30" s="1156">
        <v>31376</v>
      </c>
      <c r="EK30" s="1156" t="s">
        <v>3426</v>
      </c>
      <c r="EL30" s="1156">
        <v>35.71</v>
      </c>
      <c r="EM30" s="1156">
        <v>3392</v>
      </c>
      <c r="EN30" s="1156">
        <v>30469</v>
      </c>
      <c r="EO30" s="1156" t="s">
        <v>3596</v>
      </c>
      <c r="EP30" s="1156">
        <v>34.82</v>
      </c>
      <c r="EQ30" s="1156">
        <v>3203</v>
      </c>
      <c r="ER30" s="1156">
        <v>30923</v>
      </c>
      <c r="ES30" s="1156" t="s">
        <v>3417</v>
      </c>
      <c r="ET30" s="1156">
        <v>33.86</v>
      </c>
      <c r="EU30" s="1156">
        <v>3125</v>
      </c>
      <c r="EV30" s="1156">
        <v>29542</v>
      </c>
      <c r="EW30" s="1156" t="s">
        <v>3485</v>
      </c>
      <c r="EX30" s="1156">
        <v>32.83</v>
      </c>
      <c r="EY30" s="1156">
        <v>2996</v>
      </c>
      <c r="EZ30" s="1156">
        <v>29354</v>
      </c>
      <c r="FA30" s="1156" t="s">
        <v>3817</v>
      </c>
      <c r="FB30" s="1156">
        <v>33.03</v>
      </c>
      <c r="FC30" s="1156">
        <v>2877</v>
      </c>
      <c r="FD30" s="1156">
        <v>28288</v>
      </c>
      <c r="FE30" s="1156" t="s">
        <v>3598</v>
      </c>
      <c r="FF30" s="1156">
        <v>33.35</v>
      </c>
      <c r="FG30" s="1156">
        <v>2939</v>
      </c>
      <c r="FH30" s="1156">
        <v>28487</v>
      </c>
      <c r="FI30" s="1156" t="s">
        <v>3599</v>
      </c>
      <c r="FJ30" s="1156">
        <v>33.1</v>
      </c>
      <c r="FK30" s="1156">
        <v>2907</v>
      </c>
      <c r="FL30" s="1156">
        <v>28617</v>
      </c>
      <c r="FM30" s="1156" t="s">
        <v>3486</v>
      </c>
      <c r="FN30" s="1156">
        <v>33.93</v>
      </c>
      <c r="FO30" s="1156">
        <v>2945</v>
      </c>
      <c r="FP30" s="1156">
        <v>28856</v>
      </c>
      <c r="FQ30" s="1156" t="s">
        <v>3529</v>
      </c>
      <c r="FR30" s="1156">
        <v>33.18</v>
      </c>
      <c r="FS30" s="1156">
        <v>2933</v>
      </c>
      <c r="FT30" s="1156">
        <v>29139</v>
      </c>
      <c r="FU30" s="1156" t="s">
        <v>3418</v>
      </c>
      <c r="FV30" s="1156">
        <v>33.33</v>
      </c>
      <c r="FW30" s="1156">
        <v>2896</v>
      </c>
      <c r="FX30" s="1156">
        <v>28773</v>
      </c>
      <c r="FY30" s="1156" t="s">
        <v>3820</v>
      </c>
      <c r="FZ30" s="1156">
        <v>33.369999999999997</v>
      </c>
      <c r="GA30" s="1156">
        <v>2846</v>
      </c>
      <c r="GB30" s="1156">
        <v>28819</v>
      </c>
      <c r="GC30" s="1156" t="s">
        <v>3811</v>
      </c>
      <c r="GD30" s="1156">
        <v>33.31</v>
      </c>
      <c r="GE30" s="1156">
        <v>2880</v>
      </c>
      <c r="GF30" s="1156">
        <v>28921</v>
      </c>
      <c r="GG30" s="1156" t="s">
        <v>3595</v>
      </c>
      <c r="GH30" s="1156">
        <v>33.450000000000003</v>
      </c>
      <c r="GI30" s="1156">
        <v>2846</v>
      </c>
      <c r="GJ30" s="1156">
        <v>29027</v>
      </c>
      <c r="GK30" s="1156" t="s">
        <v>3595</v>
      </c>
      <c r="GL30" s="1156">
        <v>32.799999999999997</v>
      </c>
      <c r="GM30" s="1156">
        <v>2782</v>
      </c>
      <c r="GN30" s="1156">
        <v>28553</v>
      </c>
      <c r="GO30" s="1156" t="s">
        <v>3512</v>
      </c>
      <c r="GP30" s="1156">
        <v>32.71</v>
      </c>
      <c r="GQ30" s="1156">
        <v>2851</v>
      </c>
      <c r="GR30" s="1156">
        <v>27862</v>
      </c>
      <c r="GS30" s="1156" t="s">
        <v>3601</v>
      </c>
      <c r="GT30" s="1156">
        <v>33.78</v>
      </c>
      <c r="GU30" s="1156">
        <v>2764</v>
      </c>
      <c r="GV30" s="1156">
        <v>30602</v>
      </c>
      <c r="GW30" s="1156" t="s">
        <v>3484</v>
      </c>
      <c r="GX30" s="1156">
        <v>33.51</v>
      </c>
      <c r="GY30" s="1156">
        <v>2833</v>
      </c>
      <c r="GZ30" s="1156">
        <v>29956</v>
      </c>
      <c r="HA30" s="1156" t="s">
        <v>3817</v>
      </c>
      <c r="HB30" s="1156">
        <v>32.18</v>
      </c>
      <c r="HC30" s="1156">
        <v>2829</v>
      </c>
      <c r="HD30" s="1156">
        <v>28832</v>
      </c>
      <c r="HE30" s="1156" t="s">
        <v>3602</v>
      </c>
      <c r="HF30" s="1156">
        <v>32.96</v>
      </c>
      <c r="HG30" s="1156">
        <v>2838</v>
      </c>
      <c r="HH30" s="1156">
        <v>27675</v>
      </c>
      <c r="HI30" s="1156" t="s">
        <v>3821</v>
      </c>
      <c r="HJ30" s="1156">
        <v>32.71</v>
      </c>
      <c r="HK30" s="1156">
        <v>2754</v>
      </c>
      <c r="HL30" s="1156">
        <v>27994</v>
      </c>
      <c r="HM30" s="1156" t="s">
        <v>3598</v>
      </c>
      <c r="HN30" s="1156">
        <v>33.33</v>
      </c>
      <c r="HO30" s="1156">
        <v>2805</v>
      </c>
      <c r="HP30" s="1156">
        <v>28106</v>
      </c>
      <c r="HQ30" s="1156" t="s">
        <v>3822</v>
      </c>
      <c r="HR30" s="1156">
        <v>34.21</v>
      </c>
      <c r="HS30" s="1156">
        <v>2909</v>
      </c>
      <c r="HT30" s="1156">
        <v>28373</v>
      </c>
      <c r="HU30" s="1156" t="s">
        <v>3823</v>
      </c>
      <c r="HV30" s="1156">
        <v>34.799999999999997</v>
      </c>
      <c r="HW30" s="1156">
        <v>2988</v>
      </c>
      <c r="HX30" s="1156">
        <v>28262</v>
      </c>
      <c r="HY30" s="1156" t="s">
        <v>3544</v>
      </c>
      <c r="HZ30" s="1156">
        <v>34.68</v>
      </c>
      <c r="IA30" s="1156">
        <v>2913</v>
      </c>
      <c r="IB30" s="1156">
        <v>28658</v>
      </c>
      <c r="IC30" s="1156" t="s">
        <v>3824</v>
      </c>
      <c r="ID30" s="1156">
        <v>34.409999999999997</v>
      </c>
      <c r="IE30" s="1156">
        <v>2936</v>
      </c>
      <c r="IF30" s="1156">
        <v>28619</v>
      </c>
      <c r="IG30" s="1156" t="s">
        <v>3511</v>
      </c>
      <c r="IH30" s="1156">
        <v>34.409999999999997</v>
      </c>
      <c r="II30" s="1156">
        <v>2935</v>
      </c>
      <c r="IJ30" s="1156">
        <v>28457</v>
      </c>
      <c r="IK30" s="1156" t="s">
        <v>3510</v>
      </c>
      <c r="IL30" s="1156">
        <v>36.020000000000003</v>
      </c>
      <c r="IM30" s="1156">
        <v>3169</v>
      </c>
      <c r="IN30" s="1156">
        <v>27966</v>
      </c>
      <c r="IO30" s="1156" t="s">
        <v>3825</v>
      </c>
      <c r="IP30" s="1156">
        <v>33.340000000000003</v>
      </c>
      <c r="IQ30" s="1156">
        <v>3004</v>
      </c>
      <c r="IR30" s="1156">
        <v>28000</v>
      </c>
      <c r="IS30" s="1156" t="s">
        <v>3821</v>
      </c>
      <c r="IT30" s="1156">
        <v>34.28</v>
      </c>
      <c r="IU30" s="1156">
        <v>2964</v>
      </c>
      <c r="IV30" s="1156">
        <v>27954</v>
      </c>
      <c r="IW30" s="1156" t="s">
        <v>3826</v>
      </c>
      <c r="IX30" s="1156">
        <v>34.299999999999997</v>
      </c>
      <c r="IY30" s="1156">
        <v>2844</v>
      </c>
      <c r="IZ30" s="1156">
        <v>28277</v>
      </c>
      <c r="JA30" s="1156" t="s">
        <v>3827</v>
      </c>
      <c r="JB30" s="1156">
        <v>32.61</v>
      </c>
      <c r="JC30" s="1156">
        <v>2755</v>
      </c>
      <c r="JD30" s="1156">
        <v>28341</v>
      </c>
      <c r="JE30" s="1156" t="s">
        <v>3828</v>
      </c>
      <c r="JF30" s="1156">
        <v>32.82</v>
      </c>
      <c r="JG30" s="1156">
        <v>2776</v>
      </c>
      <c r="JH30" s="1156">
        <v>28444</v>
      </c>
      <c r="JI30" s="1156" t="s">
        <v>3597</v>
      </c>
      <c r="JJ30" s="1156">
        <v>33.11</v>
      </c>
      <c r="JK30" s="1156">
        <v>2839</v>
      </c>
      <c r="JL30" s="1156">
        <v>28530</v>
      </c>
      <c r="JM30" s="1156" t="s">
        <v>3829</v>
      </c>
      <c r="JN30" s="1156">
        <v>34.020000000000003</v>
      </c>
      <c r="JO30" s="1156">
        <v>2903</v>
      </c>
      <c r="JP30" s="1156">
        <v>28865</v>
      </c>
      <c r="JQ30" s="1156" t="s">
        <v>3594</v>
      </c>
      <c r="JR30" s="1156">
        <v>33.82</v>
      </c>
      <c r="JS30" s="1156">
        <v>2992</v>
      </c>
      <c r="JT30" s="1156">
        <v>28456</v>
      </c>
      <c r="JU30" s="1156" t="s">
        <v>3830</v>
      </c>
      <c r="JV30" s="1156">
        <v>32.869999999999997</v>
      </c>
      <c r="JW30" s="1156">
        <v>2953</v>
      </c>
      <c r="JX30" s="1156">
        <v>28089</v>
      </c>
      <c r="JY30" s="1156" t="s">
        <v>3555</v>
      </c>
      <c r="JZ30" s="1156">
        <v>32.450000000000003</v>
      </c>
      <c r="KA30" s="1156">
        <v>2857</v>
      </c>
      <c r="KB30" s="1156">
        <v>28636</v>
      </c>
      <c r="KC30" s="1156" t="s">
        <v>3457</v>
      </c>
      <c r="KD30" s="1156">
        <v>38.090000000000003</v>
      </c>
      <c r="KE30" s="1156">
        <v>3089</v>
      </c>
      <c r="KF30" s="1156">
        <v>28869</v>
      </c>
      <c r="KG30" s="1156" t="s">
        <v>3794</v>
      </c>
      <c r="KH30" s="1156">
        <v>30.5</v>
      </c>
      <c r="KI30" s="1156">
        <v>2545</v>
      </c>
      <c r="KJ30" s="1156">
        <v>32479</v>
      </c>
      <c r="KK30" s="1156" t="s">
        <v>3574</v>
      </c>
      <c r="KL30" s="1156">
        <v>31.85</v>
      </c>
      <c r="KM30" s="1156">
        <v>2769</v>
      </c>
      <c r="KN30" s="1156">
        <v>30029</v>
      </c>
      <c r="KO30" s="1156" t="s">
        <v>3519</v>
      </c>
      <c r="KP30" s="1156">
        <v>30.91</v>
      </c>
      <c r="KQ30" s="1156">
        <v>3764</v>
      </c>
      <c r="KR30" s="1156">
        <v>33751</v>
      </c>
      <c r="KS30" s="1156" t="s">
        <v>3570</v>
      </c>
      <c r="KT30" s="1156">
        <v>30.19</v>
      </c>
      <c r="KU30" s="1156">
        <v>2666</v>
      </c>
      <c r="KV30" s="1156">
        <v>31555</v>
      </c>
      <c r="KW30" s="1156" t="s">
        <v>3474</v>
      </c>
    </row>
    <row r="31" spans="1:309" s="1156" customFormat="1" ht="13.5">
      <c r="A31" s="1156" t="s">
        <v>3619</v>
      </c>
      <c r="B31" s="1156">
        <v>147.03</v>
      </c>
      <c r="C31" s="1156">
        <v>17059</v>
      </c>
      <c r="D31" s="1156">
        <v>116041</v>
      </c>
      <c r="E31" s="1156" t="s">
        <v>3627</v>
      </c>
      <c r="F31" s="1156">
        <v>147.25</v>
      </c>
      <c r="G31" s="1156">
        <v>16192</v>
      </c>
      <c r="H31" s="1156">
        <v>116745</v>
      </c>
      <c r="I31" s="1156" t="s">
        <v>3620</v>
      </c>
      <c r="J31" s="1156">
        <v>147.79</v>
      </c>
      <c r="K31" s="1156">
        <v>16580</v>
      </c>
      <c r="L31" s="1156">
        <v>117009</v>
      </c>
      <c r="M31" s="1156" t="s">
        <v>3621</v>
      </c>
      <c r="N31" s="1156">
        <v>147.28</v>
      </c>
      <c r="O31" s="1156">
        <v>16440</v>
      </c>
      <c r="P31" s="1156">
        <v>117741</v>
      </c>
      <c r="Q31" s="1156" t="s">
        <v>3622</v>
      </c>
      <c r="R31" s="1156">
        <v>146.94999999999999</v>
      </c>
      <c r="S31" s="1156">
        <v>16395</v>
      </c>
      <c r="T31" s="1156">
        <v>118051</v>
      </c>
      <c r="U31" s="1156" t="s">
        <v>3500</v>
      </c>
      <c r="V31" s="1156">
        <v>146.57</v>
      </c>
      <c r="W31" s="1156">
        <v>16673</v>
      </c>
      <c r="X31" s="1156">
        <v>118394</v>
      </c>
      <c r="Y31" s="1156" t="s">
        <v>3623</v>
      </c>
      <c r="Z31" s="1156">
        <v>148.22999999999999</v>
      </c>
      <c r="AA31" s="1156">
        <v>16908</v>
      </c>
      <c r="AB31" s="1156">
        <v>118699</v>
      </c>
      <c r="AC31" s="1156" t="s">
        <v>3509</v>
      </c>
      <c r="AD31" s="1156">
        <v>149.47</v>
      </c>
      <c r="AE31" s="1156">
        <v>16954</v>
      </c>
      <c r="AF31" s="1156">
        <v>118996</v>
      </c>
      <c r="AG31" s="1156" t="s">
        <v>3624</v>
      </c>
      <c r="AH31" s="1156">
        <v>150.1</v>
      </c>
      <c r="AI31" s="1156">
        <v>16804</v>
      </c>
      <c r="AJ31" s="1156">
        <v>119855</v>
      </c>
      <c r="AK31" s="1156" t="s">
        <v>3622</v>
      </c>
      <c r="AL31" s="1156">
        <v>150.24</v>
      </c>
      <c r="AM31" s="1156">
        <v>16878</v>
      </c>
      <c r="AN31" s="1156">
        <v>120116</v>
      </c>
      <c r="AO31" s="1156" t="s">
        <v>3622</v>
      </c>
      <c r="AP31" s="1156">
        <v>149.69999999999999</v>
      </c>
      <c r="AQ31" s="1156">
        <v>16898</v>
      </c>
      <c r="AR31" s="1156">
        <v>119056</v>
      </c>
      <c r="AS31" s="1156" t="s">
        <v>3625</v>
      </c>
      <c r="AT31" s="1156">
        <v>148.9</v>
      </c>
      <c r="AU31" s="1156">
        <v>16252</v>
      </c>
      <c r="AV31" s="1156">
        <v>119700</v>
      </c>
      <c r="AW31" s="1156" t="s">
        <v>3508</v>
      </c>
      <c r="AX31" s="1156">
        <v>148.59</v>
      </c>
      <c r="AY31" s="1156">
        <v>15860</v>
      </c>
      <c r="AZ31" s="1156">
        <v>119668</v>
      </c>
      <c r="BA31" s="1156" t="s">
        <v>3496</v>
      </c>
      <c r="BB31" s="1156">
        <v>148.47999999999999</v>
      </c>
      <c r="BC31" s="1156">
        <v>15851</v>
      </c>
      <c r="BD31" s="1156">
        <v>118142</v>
      </c>
      <c r="BE31" s="1156" t="s">
        <v>3624</v>
      </c>
      <c r="BF31" s="1156">
        <v>148.43</v>
      </c>
      <c r="BG31" s="1156">
        <v>15908</v>
      </c>
      <c r="BH31" s="1156">
        <v>117881</v>
      </c>
      <c r="BI31" s="1156" t="s">
        <v>3626</v>
      </c>
      <c r="BJ31" s="1156">
        <v>147.94999999999999</v>
      </c>
      <c r="BK31" s="1156">
        <v>15762</v>
      </c>
      <c r="BL31" s="1156">
        <v>116879</v>
      </c>
      <c r="BM31" s="1156" t="s">
        <v>3461</v>
      </c>
      <c r="BN31" s="1156">
        <v>146.56</v>
      </c>
      <c r="BO31" s="1156">
        <v>15903</v>
      </c>
      <c r="BP31" s="1156">
        <v>116615</v>
      </c>
      <c r="BQ31" s="1156" t="s">
        <v>3624</v>
      </c>
      <c r="BR31" s="1156">
        <v>147.16</v>
      </c>
      <c r="BS31" s="1156">
        <v>15941</v>
      </c>
      <c r="BT31" s="1156">
        <v>116735</v>
      </c>
      <c r="BU31" s="1156" t="s">
        <v>3620</v>
      </c>
      <c r="BV31" s="1156">
        <v>147.86000000000001</v>
      </c>
      <c r="BW31" s="1156">
        <v>16200</v>
      </c>
      <c r="BX31" s="1156">
        <v>116697</v>
      </c>
      <c r="BY31" s="1156" t="s">
        <v>3627</v>
      </c>
      <c r="BZ31" s="1156">
        <v>148.24</v>
      </c>
      <c r="CA31" s="1156">
        <v>16240</v>
      </c>
      <c r="CB31" s="1156">
        <v>117564</v>
      </c>
      <c r="CC31" s="1156" t="s">
        <v>3620</v>
      </c>
      <c r="CD31" s="1156">
        <v>148.91</v>
      </c>
      <c r="CE31" s="1156">
        <v>16534</v>
      </c>
      <c r="CF31" s="1156">
        <v>113270</v>
      </c>
      <c r="CG31" s="1156" t="s">
        <v>3628</v>
      </c>
      <c r="CH31" s="1156">
        <v>148.97</v>
      </c>
      <c r="CI31" s="1156">
        <v>16881</v>
      </c>
      <c r="CJ31" s="1156">
        <v>110447</v>
      </c>
      <c r="CK31" s="1156" t="s">
        <v>3629</v>
      </c>
      <c r="CL31" s="1156">
        <v>148.66</v>
      </c>
      <c r="CM31" s="1156">
        <v>17632</v>
      </c>
      <c r="CN31" s="1156">
        <v>108104</v>
      </c>
      <c r="CO31" s="1156" t="s">
        <v>3630</v>
      </c>
      <c r="CP31" s="1156">
        <v>148.44999999999999</v>
      </c>
      <c r="CQ31" s="1156">
        <v>18034</v>
      </c>
      <c r="CR31" s="1156">
        <v>110055</v>
      </c>
      <c r="CS31" s="1156" t="s">
        <v>3629</v>
      </c>
      <c r="CT31" s="1156">
        <v>148.82</v>
      </c>
      <c r="CU31" s="1156">
        <v>18026</v>
      </c>
      <c r="CV31" s="1156">
        <v>110390</v>
      </c>
      <c r="CW31" s="1156" t="s">
        <v>3631</v>
      </c>
      <c r="CX31" s="1156">
        <v>149.1</v>
      </c>
      <c r="CY31" s="1156">
        <v>18366</v>
      </c>
      <c r="CZ31" s="1156">
        <v>109595</v>
      </c>
      <c r="DA31" s="1156" t="s">
        <v>3632</v>
      </c>
      <c r="DB31" s="1156">
        <v>148.94</v>
      </c>
      <c r="DC31" s="1156">
        <v>18565</v>
      </c>
      <c r="DD31" s="1156">
        <v>109440</v>
      </c>
      <c r="DE31" s="1156" t="s">
        <v>3632</v>
      </c>
      <c r="DF31" s="1156">
        <v>148.57</v>
      </c>
      <c r="DG31" s="1156">
        <v>18294</v>
      </c>
      <c r="DH31" s="1156">
        <v>109773</v>
      </c>
      <c r="DI31" s="1156" t="s">
        <v>3633</v>
      </c>
      <c r="DJ31" s="1156">
        <v>148.30000000000001</v>
      </c>
      <c r="DK31" s="1156">
        <v>18557</v>
      </c>
      <c r="DL31" s="1156">
        <v>109306</v>
      </c>
      <c r="DM31" s="1156" t="s">
        <v>3634</v>
      </c>
      <c r="DN31" s="1156">
        <v>148.84</v>
      </c>
      <c r="DO31" s="1156">
        <v>17900</v>
      </c>
      <c r="DP31" s="1156">
        <v>108931</v>
      </c>
      <c r="DQ31" s="1156" t="s">
        <v>3635</v>
      </c>
      <c r="DR31" s="1156">
        <v>150.69</v>
      </c>
      <c r="DS31" s="1156">
        <v>18412</v>
      </c>
      <c r="DT31" s="1156">
        <v>108910</v>
      </c>
      <c r="DU31" s="1156" t="s">
        <v>3636</v>
      </c>
      <c r="DV31" s="1156">
        <v>152.96</v>
      </c>
      <c r="DW31" s="1156">
        <v>17440</v>
      </c>
      <c r="DX31" s="1156">
        <v>108517</v>
      </c>
      <c r="DY31" s="1156" t="s">
        <v>3637</v>
      </c>
      <c r="DZ31" s="1156">
        <v>154.54</v>
      </c>
      <c r="EA31" s="1156">
        <v>17489</v>
      </c>
      <c r="EB31" s="1156">
        <v>108228</v>
      </c>
      <c r="EC31" s="1156" t="s">
        <v>3638</v>
      </c>
      <c r="ED31" s="1156">
        <v>129.68</v>
      </c>
      <c r="EE31" s="1156">
        <v>11557</v>
      </c>
      <c r="EF31" s="1156">
        <v>107356</v>
      </c>
      <c r="EG31" s="1156" t="s">
        <v>3542</v>
      </c>
      <c r="EH31" s="1156">
        <v>121.52</v>
      </c>
      <c r="EI31" s="1156">
        <v>10805</v>
      </c>
      <c r="EJ31" s="1156">
        <v>106183</v>
      </c>
      <c r="EK31" s="1156" t="s">
        <v>3639</v>
      </c>
      <c r="EL31" s="1156">
        <v>126.87</v>
      </c>
      <c r="EM31" s="1156">
        <v>10685</v>
      </c>
      <c r="EN31" s="1156">
        <v>105294</v>
      </c>
      <c r="EO31" s="1156" t="s">
        <v>3502</v>
      </c>
      <c r="EP31" s="1156">
        <v>156.72</v>
      </c>
      <c r="EQ31" s="1156">
        <v>15881</v>
      </c>
      <c r="ER31" s="1156">
        <v>104486</v>
      </c>
      <c r="ES31" s="1156" t="s">
        <v>3640</v>
      </c>
      <c r="ET31" s="1156">
        <v>146.19</v>
      </c>
      <c r="EU31" s="1156">
        <v>13668</v>
      </c>
      <c r="EV31" s="1156">
        <v>101663</v>
      </c>
      <c r="EW31" s="1156" t="s">
        <v>3641</v>
      </c>
      <c r="EX31" s="1156">
        <v>141.4</v>
      </c>
      <c r="EY31" s="1156">
        <v>13282</v>
      </c>
      <c r="EZ31" s="1156">
        <v>99282</v>
      </c>
      <c r="FA31" s="1156" t="s">
        <v>3642</v>
      </c>
      <c r="FB31" s="1156">
        <v>135.47999999999999</v>
      </c>
      <c r="FC31" s="1156">
        <v>12601</v>
      </c>
      <c r="FD31" s="1156">
        <v>98924</v>
      </c>
      <c r="FE31" s="1156" t="s">
        <v>3643</v>
      </c>
      <c r="FF31" s="1156">
        <v>131.5</v>
      </c>
      <c r="FG31" s="1156">
        <v>11982</v>
      </c>
      <c r="FH31" s="1156">
        <v>99397</v>
      </c>
      <c r="FI31" s="1156" t="s">
        <v>3644</v>
      </c>
      <c r="FJ31" s="1156">
        <v>132.55000000000001</v>
      </c>
      <c r="FK31" s="1156">
        <v>12214</v>
      </c>
      <c r="FL31" s="1156">
        <v>99272</v>
      </c>
      <c r="FM31" s="1156" t="s">
        <v>3645</v>
      </c>
      <c r="FN31" s="1156">
        <v>132.69999999999999</v>
      </c>
      <c r="FO31" s="1156">
        <v>12533</v>
      </c>
      <c r="FP31" s="1156">
        <v>99944</v>
      </c>
      <c r="FQ31" s="1156" t="s">
        <v>3501</v>
      </c>
      <c r="FR31" s="1156">
        <v>133.54</v>
      </c>
      <c r="FS31" s="1156">
        <v>12642</v>
      </c>
      <c r="FT31" s="1156">
        <v>105137</v>
      </c>
      <c r="FU31" s="1156" t="s">
        <v>3646</v>
      </c>
      <c r="FV31" s="1156">
        <v>135.85</v>
      </c>
      <c r="FW31" s="1156">
        <v>12696</v>
      </c>
      <c r="FX31" s="1156">
        <v>104399</v>
      </c>
      <c r="FY31" s="1156" t="s">
        <v>3647</v>
      </c>
      <c r="FZ31" s="1156">
        <v>137.74</v>
      </c>
      <c r="GA31" s="1156">
        <v>13368</v>
      </c>
      <c r="GB31" s="1156">
        <v>104682</v>
      </c>
      <c r="GC31" s="1156" t="s">
        <v>3648</v>
      </c>
      <c r="GD31" s="1156">
        <v>137.91999999999999</v>
      </c>
      <c r="GE31" s="1156">
        <v>13119</v>
      </c>
      <c r="GF31" s="1156">
        <v>104273</v>
      </c>
      <c r="GG31" s="1156" t="s">
        <v>3644</v>
      </c>
      <c r="GH31" s="1156">
        <v>134.22999999999999</v>
      </c>
      <c r="GI31" s="1156">
        <v>12610</v>
      </c>
      <c r="GJ31" s="1156">
        <v>104552</v>
      </c>
      <c r="GK31" s="1156" t="s">
        <v>3649</v>
      </c>
      <c r="GL31" s="1156">
        <v>133.55000000000001</v>
      </c>
      <c r="GM31" s="1156">
        <v>12361</v>
      </c>
      <c r="GN31" s="1156">
        <v>104313</v>
      </c>
      <c r="GO31" s="1156" t="s">
        <v>3650</v>
      </c>
      <c r="GP31" s="1156">
        <v>134.74</v>
      </c>
      <c r="GQ31" s="1156">
        <v>12631</v>
      </c>
      <c r="GR31" s="1156">
        <v>104711</v>
      </c>
      <c r="GS31" s="1156" t="s">
        <v>3651</v>
      </c>
      <c r="GT31" s="1156">
        <v>138.5</v>
      </c>
      <c r="GU31" s="1156">
        <v>12536</v>
      </c>
      <c r="GV31" s="1156">
        <v>95082</v>
      </c>
      <c r="GW31" s="1156" t="s">
        <v>3652</v>
      </c>
      <c r="GX31" s="1156">
        <v>139.85</v>
      </c>
      <c r="GY31" s="1156">
        <v>12958</v>
      </c>
      <c r="GZ31" s="1156">
        <v>104076</v>
      </c>
      <c r="HA31" s="1156" t="s">
        <v>3653</v>
      </c>
      <c r="HB31" s="1156">
        <v>141.58000000000001</v>
      </c>
      <c r="HC31" s="1156">
        <v>13451</v>
      </c>
      <c r="HD31" s="1156">
        <v>104628</v>
      </c>
      <c r="HE31" s="1156" t="s">
        <v>3633</v>
      </c>
      <c r="HF31" s="1156">
        <v>138.82</v>
      </c>
      <c r="HG31" s="1156">
        <v>13146</v>
      </c>
      <c r="HH31" s="1156">
        <v>104193</v>
      </c>
      <c r="HI31" s="1156" t="s">
        <v>3654</v>
      </c>
      <c r="HJ31" s="1156">
        <v>132.06</v>
      </c>
      <c r="HK31" s="1156">
        <v>11758</v>
      </c>
      <c r="HL31" s="1156">
        <v>103801</v>
      </c>
      <c r="HM31" s="1156" t="s">
        <v>3655</v>
      </c>
      <c r="HN31" s="1156">
        <v>127.3</v>
      </c>
      <c r="HO31" s="1156">
        <v>10747</v>
      </c>
      <c r="HP31" s="1156">
        <v>104126</v>
      </c>
      <c r="HQ31" s="1156" t="s">
        <v>3656</v>
      </c>
      <c r="HR31" s="1156">
        <v>134.13</v>
      </c>
      <c r="HS31" s="1156">
        <v>12205</v>
      </c>
      <c r="HT31" s="1156">
        <v>104177</v>
      </c>
      <c r="HU31" s="1156" t="s">
        <v>3651</v>
      </c>
      <c r="HV31" s="1156">
        <v>134.04</v>
      </c>
      <c r="HW31" s="1156">
        <v>12361</v>
      </c>
      <c r="HX31" s="1156">
        <v>104122</v>
      </c>
      <c r="HY31" s="1156" t="s">
        <v>3651</v>
      </c>
      <c r="HZ31" s="1156">
        <v>131.88999999999999</v>
      </c>
      <c r="IA31" s="1156">
        <v>11946</v>
      </c>
      <c r="IB31" s="1156">
        <v>102687</v>
      </c>
      <c r="IC31" s="1156" t="s">
        <v>3649</v>
      </c>
      <c r="ID31" s="1156">
        <v>137.38</v>
      </c>
      <c r="IE31" s="1156">
        <v>12828</v>
      </c>
      <c r="IF31" s="1156">
        <v>102813</v>
      </c>
      <c r="IG31" s="1156" t="s">
        <v>3657</v>
      </c>
      <c r="IH31" s="1156">
        <v>137.15</v>
      </c>
      <c r="II31" s="1156">
        <v>12922</v>
      </c>
      <c r="IJ31" s="1156">
        <v>103498</v>
      </c>
      <c r="IK31" s="1156" t="s">
        <v>3658</v>
      </c>
      <c r="IL31" s="1156">
        <v>132.33000000000001</v>
      </c>
      <c r="IM31" s="1156">
        <v>12226</v>
      </c>
      <c r="IN31" s="1156">
        <v>102009</v>
      </c>
      <c r="IO31" s="1156" t="s">
        <v>3659</v>
      </c>
      <c r="IP31" s="1156">
        <v>130.01</v>
      </c>
      <c r="IQ31" s="1156">
        <v>12103</v>
      </c>
      <c r="IR31" s="1156">
        <v>101682</v>
      </c>
      <c r="IS31" s="1156" t="s">
        <v>3660</v>
      </c>
      <c r="IT31" s="1156">
        <v>127.41</v>
      </c>
      <c r="IU31" s="1156">
        <v>11375</v>
      </c>
      <c r="IV31" s="1156">
        <v>101844</v>
      </c>
      <c r="IW31" s="1156" t="s">
        <v>3622</v>
      </c>
      <c r="IX31" s="1156">
        <v>130.13999999999999</v>
      </c>
      <c r="IY31" s="1156">
        <v>12386</v>
      </c>
      <c r="IZ31" s="1156">
        <v>101410</v>
      </c>
      <c r="JA31" s="1156" t="s">
        <v>3649</v>
      </c>
      <c r="JB31" s="1156">
        <v>131.91999999999999</v>
      </c>
      <c r="JC31" s="1156">
        <v>12158</v>
      </c>
      <c r="JD31" s="1156">
        <v>101712</v>
      </c>
      <c r="JE31" s="1156" t="s">
        <v>3659</v>
      </c>
      <c r="JF31" s="1156">
        <v>126.76</v>
      </c>
      <c r="JG31" s="1156">
        <v>11186</v>
      </c>
      <c r="JH31" s="1156">
        <v>101793</v>
      </c>
      <c r="JI31" s="1156" t="s">
        <v>3500</v>
      </c>
      <c r="JJ31" s="1156">
        <v>124.97</v>
      </c>
      <c r="JK31" s="1156">
        <v>10910</v>
      </c>
      <c r="JL31" s="1156">
        <v>102086</v>
      </c>
      <c r="JM31" s="1156" t="s">
        <v>3661</v>
      </c>
      <c r="JN31" s="1156">
        <v>119.79</v>
      </c>
      <c r="JO31" s="1156">
        <v>10040</v>
      </c>
      <c r="JP31" s="1156">
        <v>102020</v>
      </c>
      <c r="JQ31" s="1156" t="s">
        <v>3601</v>
      </c>
      <c r="JR31" s="1156">
        <v>119.75</v>
      </c>
      <c r="JS31" s="1156">
        <v>9981</v>
      </c>
      <c r="JT31" s="1156">
        <v>102699</v>
      </c>
      <c r="JU31" s="1156" t="s">
        <v>3662</v>
      </c>
      <c r="JV31" s="1156">
        <v>112.98</v>
      </c>
      <c r="JW31" s="1156">
        <v>9093</v>
      </c>
      <c r="JX31" s="1156">
        <v>101416</v>
      </c>
      <c r="JY31" s="1156" t="s">
        <v>3513</v>
      </c>
      <c r="JZ31" s="1156">
        <v>132.12</v>
      </c>
      <c r="KA31" s="1156">
        <v>13135</v>
      </c>
      <c r="KB31" s="1156">
        <v>101216</v>
      </c>
      <c r="KC31" s="1156" t="s">
        <v>3663</v>
      </c>
      <c r="KD31" s="1156">
        <v>125.59</v>
      </c>
      <c r="KE31" s="1156">
        <v>10684</v>
      </c>
      <c r="KF31" s="1156">
        <v>100371</v>
      </c>
      <c r="KG31" s="1156" t="s">
        <v>3622</v>
      </c>
      <c r="KH31" s="1156">
        <v>108.6</v>
      </c>
      <c r="KI31" s="1156">
        <v>8709</v>
      </c>
      <c r="KJ31" s="1156">
        <v>93018</v>
      </c>
      <c r="KK31" s="1156" t="s">
        <v>3439</v>
      </c>
      <c r="KL31" s="1156">
        <v>120.09</v>
      </c>
      <c r="KM31" s="1156">
        <v>11751</v>
      </c>
      <c r="KN31" s="1156">
        <v>103308</v>
      </c>
      <c r="KO31" s="1156" t="s">
        <v>3664</v>
      </c>
      <c r="KP31" s="1156">
        <v>109.26</v>
      </c>
      <c r="KQ31" s="1156">
        <v>8946</v>
      </c>
      <c r="KR31" s="1156">
        <v>86142</v>
      </c>
      <c r="KS31" s="1156" t="s">
        <v>3543</v>
      </c>
      <c r="KT31" s="1156">
        <v>98.98</v>
      </c>
      <c r="KU31" s="1156">
        <v>7782</v>
      </c>
      <c r="KV31" s="1156">
        <v>101616</v>
      </c>
      <c r="KW31" s="1156" t="s">
        <v>3665</v>
      </c>
    </row>
    <row r="32" spans="1:309" s="1156" customFormat="1" ht="13.5">
      <c r="A32" s="1156" t="s">
        <v>3831</v>
      </c>
      <c r="B32" s="1156">
        <v>116.43</v>
      </c>
      <c r="C32" s="1156">
        <v>11888</v>
      </c>
      <c r="D32" s="1156">
        <v>93481</v>
      </c>
      <c r="E32" s="1156" t="s">
        <v>3500</v>
      </c>
      <c r="F32" s="1156">
        <v>116.57</v>
      </c>
      <c r="G32" s="1156">
        <v>11685</v>
      </c>
      <c r="H32" s="1156">
        <v>94988</v>
      </c>
      <c r="I32" s="1156" t="s">
        <v>3826</v>
      </c>
      <c r="J32" s="1156">
        <v>116.84</v>
      </c>
      <c r="K32" s="1156">
        <v>11687</v>
      </c>
      <c r="L32" s="1156">
        <v>95719</v>
      </c>
      <c r="M32" s="1156" t="s">
        <v>3494</v>
      </c>
      <c r="N32" s="1156">
        <v>116.36</v>
      </c>
      <c r="O32" s="1156">
        <v>11725</v>
      </c>
      <c r="P32" s="1156">
        <v>96314</v>
      </c>
      <c r="Q32" s="1156" t="s">
        <v>3542</v>
      </c>
      <c r="R32" s="1156">
        <v>116.47</v>
      </c>
      <c r="S32" s="1156">
        <v>11771</v>
      </c>
      <c r="T32" s="1156">
        <v>96980</v>
      </c>
      <c r="U32" s="1156" t="s">
        <v>3809</v>
      </c>
      <c r="V32" s="1156">
        <v>116.79</v>
      </c>
      <c r="W32" s="1156">
        <v>11681</v>
      </c>
      <c r="X32" s="1156">
        <v>97732</v>
      </c>
      <c r="Y32" s="1156" t="s">
        <v>3489</v>
      </c>
      <c r="Z32" s="1156">
        <v>117.53</v>
      </c>
      <c r="AA32" s="1156">
        <v>11670</v>
      </c>
      <c r="AB32" s="1156">
        <v>98640</v>
      </c>
      <c r="AC32" s="1156" t="s">
        <v>3460</v>
      </c>
      <c r="AD32" s="1156">
        <v>118.58</v>
      </c>
      <c r="AE32" s="1156">
        <v>11717</v>
      </c>
      <c r="AF32" s="1156">
        <v>98958</v>
      </c>
      <c r="AG32" s="1156" t="s">
        <v>3541</v>
      </c>
      <c r="AH32" s="1156">
        <v>119.13</v>
      </c>
      <c r="AI32" s="1156">
        <v>11830</v>
      </c>
      <c r="AJ32" s="1156">
        <v>98995</v>
      </c>
      <c r="AK32" s="1156" t="s">
        <v>3497</v>
      </c>
      <c r="AL32" s="1156">
        <v>119.57</v>
      </c>
      <c r="AM32" s="1156">
        <v>11745</v>
      </c>
      <c r="AN32" s="1156">
        <v>99410</v>
      </c>
      <c r="AO32" s="1156" t="s">
        <v>3497</v>
      </c>
      <c r="AP32" s="1156">
        <v>119.21</v>
      </c>
      <c r="AQ32" s="1156">
        <v>11695</v>
      </c>
      <c r="AR32" s="1156">
        <v>100344</v>
      </c>
      <c r="AS32" s="1156" t="s">
        <v>3540</v>
      </c>
      <c r="AT32" s="1156">
        <v>118.18</v>
      </c>
      <c r="AU32" s="1156">
        <v>11583</v>
      </c>
      <c r="AV32" s="1156">
        <v>100775</v>
      </c>
      <c r="AW32" s="1156" t="s">
        <v>3596</v>
      </c>
      <c r="AX32" s="1156">
        <v>117.43</v>
      </c>
      <c r="AY32" s="1156">
        <v>11487</v>
      </c>
      <c r="AZ32" s="1156">
        <v>100878</v>
      </c>
      <c r="BA32" s="1156" t="s">
        <v>3832</v>
      </c>
      <c r="BB32" s="1156">
        <v>116.6</v>
      </c>
      <c r="BC32" s="1156">
        <v>11391</v>
      </c>
      <c r="BD32" s="1156">
        <v>99717</v>
      </c>
      <c r="BE32" s="1156" t="s">
        <v>3555</v>
      </c>
      <c r="BF32" s="1156">
        <v>115.86</v>
      </c>
      <c r="BG32" s="1156">
        <v>11413</v>
      </c>
      <c r="BH32" s="1156">
        <v>99081</v>
      </c>
      <c r="BI32" s="1156" t="s">
        <v>3555</v>
      </c>
      <c r="BJ32" s="1156">
        <v>115.28</v>
      </c>
      <c r="BK32" s="1156">
        <v>11396</v>
      </c>
      <c r="BL32" s="1156">
        <v>98487</v>
      </c>
      <c r="BM32" s="1156" t="s">
        <v>3599</v>
      </c>
      <c r="BN32" s="1156">
        <v>114.63</v>
      </c>
      <c r="BO32" s="1156">
        <v>11257</v>
      </c>
      <c r="BP32" s="1156">
        <v>98368</v>
      </c>
      <c r="BQ32" s="1156" t="s">
        <v>3662</v>
      </c>
      <c r="BR32" s="1156">
        <v>114.68</v>
      </c>
      <c r="BS32" s="1156">
        <v>11379</v>
      </c>
      <c r="BT32" s="1156">
        <v>98587</v>
      </c>
      <c r="BU32" s="1156" t="s">
        <v>3664</v>
      </c>
      <c r="BV32" s="1156">
        <v>115.58</v>
      </c>
      <c r="BW32" s="1156">
        <v>11443</v>
      </c>
      <c r="BX32" s="1156">
        <v>98657</v>
      </c>
      <c r="BY32" s="1156" t="s">
        <v>3599</v>
      </c>
      <c r="BZ32" s="1156">
        <v>116.38</v>
      </c>
      <c r="CA32" s="1156">
        <v>11517</v>
      </c>
      <c r="CB32" s="1156">
        <v>98481</v>
      </c>
      <c r="CC32" s="1156" t="s">
        <v>3528</v>
      </c>
      <c r="CD32" s="1156">
        <v>117.07</v>
      </c>
      <c r="CE32" s="1156">
        <v>11773</v>
      </c>
      <c r="CF32" s="1156">
        <v>95148</v>
      </c>
      <c r="CG32" s="1156" t="s">
        <v>3499</v>
      </c>
      <c r="CH32" s="1156">
        <v>117.27</v>
      </c>
      <c r="CI32" s="1156">
        <v>11681</v>
      </c>
      <c r="CJ32" s="1156">
        <v>93511</v>
      </c>
      <c r="CK32" s="1156" t="s">
        <v>3833</v>
      </c>
      <c r="CL32" s="1156">
        <v>116.86</v>
      </c>
      <c r="CM32" s="1156">
        <v>11594</v>
      </c>
      <c r="CN32" s="1156">
        <v>92562</v>
      </c>
      <c r="CO32" s="1156" t="s">
        <v>3621</v>
      </c>
      <c r="CP32" s="1156">
        <v>116.43</v>
      </c>
      <c r="CQ32" s="1156">
        <v>11487</v>
      </c>
      <c r="CR32" s="1156">
        <v>93822</v>
      </c>
      <c r="CS32" s="1156" t="s">
        <v>3834</v>
      </c>
      <c r="CT32" s="1156">
        <v>116.43</v>
      </c>
      <c r="CU32" s="1156">
        <v>11452</v>
      </c>
      <c r="CV32" s="1156">
        <v>93974</v>
      </c>
      <c r="CW32" s="1156" t="s">
        <v>3835</v>
      </c>
      <c r="CX32" s="1156">
        <v>116.31</v>
      </c>
      <c r="CY32" s="1156">
        <v>11651</v>
      </c>
      <c r="CZ32" s="1156">
        <v>93512</v>
      </c>
      <c r="DA32" s="1156" t="s">
        <v>3508</v>
      </c>
      <c r="DB32" s="1156">
        <v>115.82</v>
      </c>
      <c r="DC32" s="1156">
        <v>11572</v>
      </c>
      <c r="DD32" s="1156">
        <v>94013</v>
      </c>
      <c r="DE32" s="1156" t="s">
        <v>3544</v>
      </c>
      <c r="DF32" s="1156">
        <v>115.02</v>
      </c>
      <c r="DG32" s="1156">
        <v>11530</v>
      </c>
      <c r="DH32" s="1156">
        <v>94368</v>
      </c>
      <c r="DI32" s="1156" t="s">
        <v>3432</v>
      </c>
      <c r="DJ32" s="1156">
        <v>114.67</v>
      </c>
      <c r="DK32" s="1156">
        <v>11524</v>
      </c>
      <c r="DL32" s="1156">
        <v>93579</v>
      </c>
      <c r="DM32" s="1156" t="s">
        <v>3836</v>
      </c>
      <c r="DN32" s="1156">
        <v>115.37</v>
      </c>
      <c r="DO32" s="1156">
        <v>11617</v>
      </c>
      <c r="DP32" s="1156">
        <v>93067</v>
      </c>
      <c r="DQ32" s="1156" t="s">
        <v>3835</v>
      </c>
      <c r="DR32" s="1156">
        <v>116.84</v>
      </c>
      <c r="DS32" s="1156">
        <v>11937</v>
      </c>
      <c r="DT32" s="1156">
        <v>92670</v>
      </c>
      <c r="DU32" s="1156" t="s">
        <v>3620</v>
      </c>
      <c r="DV32" s="1156">
        <v>119.09</v>
      </c>
      <c r="DW32" s="1156">
        <v>12166</v>
      </c>
      <c r="DX32" s="1156">
        <v>92791</v>
      </c>
      <c r="DY32" s="1156" t="s">
        <v>3649</v>
      </c>
      <c r="DZ32" s="1156">
        <v>120.62</v>
      </c>
      <c r="EA32" s="1156">
        <v>12168</v>
      </c>
      <c r="EB32" s="1156">
        <v>93004</v>
      </c>
      <c r="EC32" s="1156" t="s">
        <v>3659</v>
      </c>
      <c r="ED32" s="1156">
        <v>118.03</v>
      </c>
      <c r="EE32" s="1156">
        <v>11314</v>
      </c>
      <c r="EF32" s="1156">
        <v>92265</v>
      </c>
      <c r="EG32" s="1156" t="s">
        <v>3660</v>
      </c>
      <c r="EH32" s="1156">
        <v>113.64</v>
      </c>
      <c r="EI32" s="1156">
        <v>11471</v>
      </c>
      <c r="EJ32" s="1156">
        <v>90872</v>
      </c>
      <c r="EK32" s="1156" t="s">
        <v>3837</v>
      </c>
      <c r="EL32" s="1156">
        <v>109.8</v>
      </c>
      <c r="EM32" s="1156">
        <v>10149</v>
      </c>
      <c r="EN32" s="1156">
        <v>90048</v>
      </c>
      <c r="EO32" s="1156" t="s">
        <v>3432</v>
      </c>
      <c r="EP32" s="1156">
        <v>114.29</v>
      </c>
      <c r="EQ32" s="1156">
        <v>10588</v>
      </c>
      <c r="ER32" s="1156">
        <v>89270</v>
      </c>
      <c r="ES32" s="1156" t="s">
        <v>3650</v>
      </c>
      <c r="ET32" s="1156">
        <v>106.64</v>
      </c>
      <c r="EU32" s="1156">
        <v>9243</v>
      </c>
      <c r="EV32" s="1156">
        <v>85964</v>
      </c>
      <c r="EW32" s="1156" t="s">
        <v>3834</v>
      </c>
      <c r="EX32" s="1156">
        <v>104.48</v>
      </c>
      <c r="EY32" s="1156">
        <v>9140</v>
      </c>
      <c r="EZ32" s="1156">
        <v>83386</v>
      </c>
      <c r="FA32" s="1156" t="s">
        <v>3838</v>
      </c>
      <c r="FB32" s="1156">
        <v>103.59</v>
      </c>
      <c r="FC32" s="1156">
        <v>9408</v>
      </c>
      <c r="FD32" s="1156">
        <v>82385</v>
      </c>
      <c r="FE32" s="1156" t="s">
        <v>3625</v>
      </c>
      <c r="FF32" s="1156">
        <v>101.84</v>
      </c>
      <c r="FG32" s="1156">
        <v>9051</v>
      </c>
      <c r="FH32" s="1156">
        <v>82502</v>
      </c>
      <c r="FI32" s="1156" t="s">
        <v>3469</v>
      </c>
      <c r="FJ32" s="1156">
        <v>102.62</v>
      </c>
      <c r="FK32" s="1156">
        <v>9115</v>
      </c>
      <c r="FL32" s="1156">
        <v>81629</v>
      </c>
      <c r="FM32" s="1156" t="s">
        <v>3625</v>
      </c>
      <c r="FN32" s="1156">
        <v>101.45</v>
      </c>
      <c r="FO32" s="1156">
        <v>9113</v>
      </c>
      <c r="FP32" s="1156">
        <v>81671</v>
      </c>
      <c r="FQ32" s="1156" t="s">
        <v>3496</v>
      </c>
      <c r="FR32" s="1156">
        <v>102.44</v>
      </c>
      <c r="FS32" s="1156">
        <v>9109</v>
      </c>
      <c r="FT32" s="1156">
        <v>85463</v>
      </c>
      <c r="FU32" s="1156" t="s">
        <v>3839</v>
      </c>
      <c r="FV32" s="1156">
        <v>104.12</v>
      </c>
      <c r="FW32" s="1156">
        <v>9286</v>
      </c>
      <c r="FX32" s="1156">
        <v>84834</v>
      </c>
      <c r="FY32" s="1156" t="s">
        <v>3826</v>
      </c>
      <c r="FZ32" s="1156">
        <v>105.1</v>
      </c>
      <c r="GA32" s="1156">
        <v>9683</v>
      </c>
      <c r="GB32" s="1156">
        <v>85045</v>
      </c>
      <c r="GC32" s="1156" t="s">
        <v>3840</v>
      </c>
      <c r="GD32" s="1156">
        <v>106.6</v>
      </c>
      <c r="GE32" s="1156">
        <v>9637</v>
      </c>
      <c r="GF32" s="1156">
        <v>84762</v>
      </c>
      <c r="GG32" s="1156" t="s">
        <v>3625</v>
      </c>
      <c r="GH32" s="1156">
        <v>103.88</v>
      </c>
      <c r="GI32" s="1156">
        <v>9125</v>
      </c>
      <c r="GJ32" s="1156">
        <v>84330</v>
      </c>
      <c r="GK32" s="1156" t="s">
        <v>3544</v>
      </c>
      <c r="GL32" s="1156">
        <v>104.24</v>
      </c>
      <c r="GM32" s="1156">
        <v>9223</v>
      </c>
      <c r="GN32" s="1156">
        <v>83740</v>
      </c>
      <c r="GO32" s="1156" t="s">
        <v>3500</v>
      </c>
      <c r="GP32" s="1156">
        <v>103.28</v>
      </c>
      <c r="GQ32" s="1156">
        <v>8923</v>
      </c>
      <c r="GR32" s="1156">
        <v>83824</v>
      </c>
      <c r="GS32" s="1156" t="s">
        <v>3544</v>
      </c>
      <c r="GT32" s="1156">
        <v>104.73</v>
      </c>
      <c r="GU32" s="1156">
        <v>9633</v>
      </c>
      <c r="GV32" s="1156">
        <v>83653</v>
      </c>
      <c r="GW32" s="1156" t="s">
        <v>3622</v>
      </c>
      <c r="GX32" s="1156">
        <v>105.24</v>
      </c>
      <c r="GY32" s="1156">
        <v>9737</v>
      </c>
      <c r="GZ32" s="1156">
        <v>82869</v>
      </c>
      <c r="HA32" s="1156" t="s">
        <v>3646</v>
      </c>
      <c r="HB32" s="1156">
        <v>103.58</v>
      </c>
      <c r="HC32" s="1156">
        <v>9541</v>
      </c>
      <c r="HD32" s="1156">
        <v>82521</v>
      </c>
      <c r="HE32" s="1156" t="s">
        <v>3833</v>
      </c>
      <c r="HF32" s="1156">
        <v>102.26</v>
      </c>
      <c r="HG32" s="1156">
        <v>9219</v>
      </c>
      <c r="HH32" s="1156">
        <v>82935</v>
      </c>
      <c r="HI32" s="1156" t="s">
        <v>3841</v>
      </c>
      <c r="HJ32" s="1156">
        <v>100.37</v>
      </c>
      <c r="HK32" s="1156">
        <v>8646</v>
      </c>
      <c r="HL32" s="1156">
        <v>83652</v>
      </c>
      <c r="HM32" s="1156" t="s">
        <v>3809</v>
      </c>
      <c r="HN32" s="1156">
        <v>102.32</v>
      </c>
      <c r="HO32" s="1156">
        <v>9148</v>
      </c>
      <c r="HP32" s="1156">
        <v>83967</v>
      </c>
      <c r="HQ32" s="1156" t="s">
        <v>3842</v>
      </c>
      <c r="HR32" s="1156">
        <v>103.24</v>
      </c>
      <c r="HS32" s="1156">
        <v>9383</v>
      </c>
      <c r="HT32" s="1156">
        <v>84313</v>
      </c>
      <c r="HU32" s="1156" t="s">
        <v>3661</v>
      </c>
      <c r="HV32" s="1156">
        <v>104.4</v>
      </c>
      <c r="HW32" s="1156">
        <v>9740</v>
      </c>
      <c r="HX32" s="1156">
        <v>84231</v>
      </c>
      <c r="HY32" s="1156" t="s">
        <v>3835</v>
      </c>
      <c r="HZ32" s="1156">
        <v>104.04</v>
      </c>
      <c r="IA32" s="1156">
        <v>9651</v>
      </c>
      <c r="IB32" s="1156">
        <v>84214</v>
      </c>
      <c r="IC32" s="1156" t="s">
        <v>3840</v>
      </c>
      <c r="ID32" s="1156">
        <v>103.71</v>
      </c>
      <c r="IE32" s="1156">
        <v>9760</v>
      </c>
      <c r="IF32" s="1156">
        <v>84416</v>
      </c>
      <c r="IG32" s="1156" t="s">
        <v>3793</v>
      </c>
      <c r="IH32" s="1156">
        <v>103.27</v>
      </c>
      <c r="II32" s="1156">
        <v>9659</v>
      </c>
      <c r="IJ32" s="1156">
        <v>83984</v>
      </c>
      <c r="IK32" s="1156" t="s">
        <v>3499</v>
      </c>
      <c r="IL32" s="1156">
        <v>102.65</v>
      </c>
      <c r="IM32" s="1156">
        <v>9550</v>
      </c>
      <c r="IN32" s="1156">
        <v>83341</v>
      </c>
      <c r="IO32" s="1156" t="s">
        <v>3544</v>
      </c>
      <c r="IP32" s="1156">
        <v>104.18</v>
      </c>
      <c r="IQ32" s="1156">
        <v>9821</v>
      </c>
      <c r="IR32" s="1156">
        <v>84062</v>
      </c>
      <c r="IS32" s="1156" t="s">
        <v>3835</v>
      </c>
      <c r="IT32" s="1156">
        <v>102.28</v>
      </c>
      <c r="IU32" s="1156">
        <v>9079</v>
      </c>
      <c r="IV32" s="1156">
        <v>84777</v>
      </c>
      <c r="IW32" s="1156" t="s">
        <v>3823</v>
      </c>
      <c r="IX32" s="1156">
        <v>105.55</v>
      </c>
      <c r="IY32" s="1156">
        <v>9901</v>
      </c>
      <c r="IZ32" s="1156">
        <v>84048</v>
      </c>
      <c r="JA32" s="1156" t="s">
        <v>3624</v>
      </c>
      <c r="JB32" s="1156">
        <v>102.37</v>
      </c>
      <c r="JC32" s="1156">
        <v>9289</v>
      </c>
      <c r="JD32" s="1156">
        <v>84498</v>
      </c>
      <c r="JE32" s="1156" t="s">
        <v>3843</v>
      </c>
      <c r="JF32" s="1156">
        <v>102.24</v>
      </c>
      <c r="JG32" s="1156">
        <v>9167</v>
      </c>
      <c r="JH32" s="1156">
        <v>84484</v>
      </c>
      <c r="JI32" s="1156" t="s">
        <v>3824</v>
      </c>
      <c r="JJ32" s="1156">
        <v>102.8</v>
      </c>
      <c r="JK32" s="1156">
        <v>9118</v>
      </c>
      <c r="JL32" s="1156">
        <v>85075</v>
      </c>
      <c r="JM32" s="1156" t="s">
        <v>3542</v>
      </c>
      <c r="JN32" s="1156">
        <v>101.65</v>
      </c>
      <c r="JO32" s="1156">
        <v>8817</v>
      </c>
      <c r="JP32" s="1156">
        <v>85084</v>
      </c>
      <c r="JQ32" s="1156" t="s">
        <v>3489</v>
      </c>
      <c r="JR32" s="1156">
        <v>102.08</v>
      </c>
      <c r="JS32" s="1156">
        <v>9115</v>
      </c>
      <c r="JT32" s="1156">
        <v>84463</v>
      </c>
      <c r="JU32" s="1156" t="s">
        <v>3510</v>
      </c>
      <c r="JV32" s="1156">
        <v>98.7</v>
      </c>
      <c r="JW32" s="1156">
        <v>8794</v>
      </c>
      <c r="JX32" s="1156">
        <v>84452</v>
      </c>
      <c r="JY32" s="1156" t="s">
        <v>3598</v>
      </c>
      <c r="JZ32" s="1156">
        <v>107.37</v>
      </c>
      <c r="KA32" s="1156">
        <v>9726</v>
      </c>
      <c r="KB32" s="1156">
        <v>84250</v>
      </c>
      <c r="KC32" s="1156" t="s">
        <v>3844</v>
      </c>
      <c r="KD32" s="1156">
        <v>99.82</v>
      </c>
      <c r="KE32" s="1156">
        <v>9222</v>
      </c>
      <c r="KF32" s="1156">
        <v>83944</v>
      </c>
      <c r="KG32" s="1156" t="s">
        <v>3830</v>
      </c>
      <c r="KH32" s="1156">
        <v>91.89</v>
      </c>
      <c r="KI32" s="1156">
        <v>7366</v>
      </c>
      <c r="KJ32" s="1156">
        <v>80904</v>
      </c>
      <c r="KK32" s="1156" t="s">
        <v>3845</v>
      </c>
      <c r="KL32" s="1156">
        <v>104.53</v>
      </c>
      <c r="KM32" s="1156">
        <v>11703</v>
      </c>
      <c r="KN32" s="1156">
        <v>84084</v>
      </c>
      <c r="KO32" s="1156" t="s">
        <v>3508</v>
      </c>
      <c r="KP32" s="1156">
        <v>95.08</v>
      </c>
      <c r="KQ32" s="1156">
        <v>8353</v>
      </c>
      <c r="KR32" s="1156">
        <v>79399</v>
      </c>
      <c r="KS32" s="1156" t="s">
        <v>3541</v>
      </c>
      <c r="KT32" s="1156">
        <v>87.65</v>
      </c>
      <c r="KU32" s="1156">
        <v>7465</v>
      </c>
      <c r="KV32" s="1156">
        <v>85042</v>
      </c>
      <c r="KW32" s="1156" t="s">
        <v>3585</v>
      </c>
    </row>
    <row r="33" spans="1:309" s="1156" customFormat="1" ht="13.5">
      <c r="A33" s="1156" t="s">
        <v>3846</v>
      </c>
      <c r="B33" s="1156">
        <v>79.31</v>
      </c>
      <c r="C33" s="1156">
        <v>6900</v>
      </c>
      <c r="D33" s="1156">
        <v>57382</v>
      </c>
      <c r="E33" s="1156" t="s">
        <v>3847</v>
      </c>
      <c r="F33" s="1156">
        <v>79.36</v>
      </c>
      <c r="G33" s="1156">
        <v>6845</v>
      </c>
      <c r="H33" s="1156">
        <v>57910</v>
      </c>
      <c r="I33" s="1156" t="s">
        <v>3643</v>
      </c>
      <c r="J33" s="1156">
        <v>79.58</v>
      </c>
      <c r="K33" s="1156">
        <v>6933</v>
      </c>
      <c r="L33" s="1156">
        <v>58393</v>
      </c>
      <c r="M33" s="1156" t="s">
        <v>3725</v>
      </c>
      <c r="N33" s="1156">
        <v>79.03</v>
      </c>
      <c r="O33" s="1156">
        <v>6852</v>
      </c>
      <c r="P33" s="1156">
        <v>58611</v>
      </c>
      <c r="Q33" s="1156" t="s">
        <v>3631</v>
      </c>
      <c r="R33" s="1156">
        <v>78.84</v>
      </c>
      <c r="S33" s="1156">
        <v>6821</v>
      </c>
      <c r="T33" s="1156">
        <v>58946</v>
      </c>
      <c r="U33" s="1156" t="s">
        <v>3657</v>
      </c>
      <c r="V33" s="1156">
        <v>79.09</v>
      </c>
      <c r="W33" s="1156">
        <v>6781</v>
      </c>
      <c r="X33" s="1156">
        <v>59176</v>
      </c>
      <c r="Y33" s="1156" t="s">
        <v>3657</v>
      </c>
      <c r="Z33" s="1156">
        <v>79.540000000000006</v>
      </c>
      <c r="AA33" s="1156">
        <v>6813</v>
      </c>
      <c r="AB33" s="1156">
        <v>59592</v>
      </c>
      <c r="AC33" s="1156" t="s">
        <v>3645</v>
      </c>
      <c r="AD33" s="1156">
        <v>80.05</v>
      </c>
      <c r="AE33" s="1156">
        <v>6880</v>
      </c>
      <c r="AF33" s="1156">
        <v>59725</v>
      </c>
      <c r="AG33" s="1156" t="s">
        <v>3848</v>
      </c>
      <c r="AH33" s="1156">
        <v>80.239999999999995</v>
      </c>
      <c r="AI33" s="1156">
        <v>6935</v>
      </c>
      <c r="AJ33" s="1156">
        <v>59677</v>
      </c>
      <c r="AK33" s="1156" t="s">
        <v>3653</v>
      </c>
      <c r="AL33" s="1156">
        <v>80.17</v>
      </c>
      <c r="AM33" s="1156">
        <v>6901</v>
      </c>
      <c r="AN33" s="1156">
        <v>59909</v>
      </c>
      <c r="AO33" s="1156" t="s">
        <v>3849</v>
      </c>
      <c r="AP33" s="1156">
        <v>79.87</v>
      </c>
      <c r="AQ33" s="1156">
        <v>6806</v>
      </c>
      <c r="AR33" s="1156">
        <v>60589</v>
      </c>
      <c r="AS33" s="1156" t="s">
        <v>3733</v>
      </c>
      <c r="AT33" s="1156">
        <v>79.75</v>
      </c>
      <c r="AU33" s="1156">
        <v>6758</v>
      </c>
      <c r="AV33" s="1156">
        <v>60946</v>
      </c>
      <c r="AW33" s="1156" t="s">
        <v>3732</v>
      </c>
      <c r="AX33" s="1156">
        <v>79.53</v>
      </c>
      <c r="AY33" s="1156">
        <v>6735</v>
      </c>
      <c r="AZ33" s="1156">
        <v>61064</v>
      </c>
      <c r="BA33" s="1156" t="s">
        <v>3647</v>
      </c>
      <c r="BB33" s="1156">
        <v>79.17</v>
      </c>
      <c r="BC33" s="1156">
        <v>6697</v>
      </c>
      <c r="BD33" s="1156">
        <v>60286</v>
      </c>
      <c r="BE33" s="1156" t="s">
        <v>3628</v>
      </c>
      <c r="BF33" s="1156">
        <v>78.760000000000005</v>
      </c>
      <c r="BG33" s="1156">
        <v>6769</v>
      </c>
      <c r="BH33" s="1156">
        <v>60207</v>
      </c>
      <c r="BI33" s="1156" t="s">
        <v>3732</v>
      </c>
      <c r="BJ33" s="1156">
        <v>78.260000000000005</v>
      </c>
      <c r="BK33" s="1156">
        <v>6734</v>
      </c>
      <c r="BL33" s="1156">
        <v>59802</v>
      </c>
      <c r="BM33" s="1156" t="s">
        <v>3732</v>
      </c>
      <c r="BN33" s="1156">
        <v>77.849999999999994</v>
      </c>
      <c r="BO33" s="1156">
        <v>6753</v>
      </c>
      <c r="BP33" s="1156">
        <v>59926</v>
      </c>
      <c r="BQ33" s="1156" t="s">
        <v>3491</v>
      </c>
      <c r="BR33" s="1156">
        <v>78.16</v>
      </c>
      <c r="BS33" s="1156">
        <v>6690</v>
      </c>
      <c r="BT33" s="1156">
        <v>59952</v>
      </c>
      <c r="BU33" s="1156" t="s">
        <v>3795</v>
      </c>
      <c r="BV33" s="1156">
        <v>78.42</v>
      </c>
      <c r="BW33" s="1156">
        <v>6800</v>
      </c>
      <c r="BX33" s="1156">
        <v>60222</v>
      </c>
      <c r="BY33" s="1156" t="s">
        <v>3647</v>
      </c>
      <c r="BZ33" s="1156">
        <v>78.52</v>
      </c>
      <c r="CA33" s="1156">
        <v>6845</v>
      </c>
      <c r="CB33" s="1156">
        <v>60395</v>
      </c>
      <c r="CC33" s="1156" t="s">
        <v>3734</v>
      </c>
      <c r="CD33" s="1156">
        <v>78.400000000000006</v>
      </c>
      <c r="CE33" s="1156">
        <v>6938</v>
      </c>
      <c r="CF33" s="1156">
        <v>60832</v>
      </c>
      <c r="CG33" s="1156" t="s">
        <v>3825</v>
      </c>
      <c r="CH33" s="1156">
        <v>78.25</v>
      </c>
      <c r="CI33" s="1156">
        <v>6901</v>
      </c>
      <c r="CJ33" s="1156">
        <v>59728</v>
      </c>
      <c r="CK33" s="1156" t="s">
        <v>3492</v>
      </c>
      <c r="CL33" s="1156">
        <v>77.760000000000005</v>
      </c>
      <c r="CM33" s="1156">
        <v>6824</v>
      </c>
      <c r="CN33" s="1156">
        <v>59379</v>
      </c>
      <c r="CO33" s="1156" t="s">
        <v>3732</v>
      </c>
      <c r="CP33" s="1156">
        <v>77.78</v>
      </c>
      <c r="CQ33" s="1156">
        <v>6825</v>
      </c>
      <c r="CR33" s="1156">
        <v>59736</v>
      </c>
      <c r="CS33" s="1156" t="s">
        <v>3647</v>
      </c>
      <c r="CT33" s="1156">
        <v>77.87</v>
      </c>
      <c r="CU33" s="1156">
        <v>6861</v>
      </c>
      <c r="CV33" s="1156">
        <v>59746</v>
      </c>
      <c r="CW33" s="1156" t="s">
        <v>3795</v>
      </c>
      <c r="CX33" s="1156">
        <v>78.2</v>
      </c>
      <c r="CY33" s="1156">
        <v>6965</v>
      </c>
      <c r="CZ33" s="1156">
        <v>59557</v>
      </c>
      <c r="DA33" s="1156" t="s">
        <v>3850</v>
      </c>
      <c r="DB33" s="1156">
        <v>77.77</v>
      </c>
      <c r="DC33" s="1156">
        <v>6819</v>
      </c>
      <c r="DD33" s="1156">
        <v>59687</v>
      </c>
      <c r="DE33" s="1156" t="s">
        <v>3795</v>
      </c>
      <c r="DF33" s="1156">
        <v>77.48</v>
      </c>
      <c r="DG33" s="1156">
        <v>6773</v>
      </c>
      <c r="DH33" s="1156">
        <v>59483</v>
      </c>
      <c r="DI33" s="1156" t="s">
        <v>3647</v>
      </c>
      <c r="DJ33" s="1156">
        <v>77.349999999999994</v>
      </c>
      <c r="DK33" s="1156">
        <v>6747</v>
      </c>
      <c r="DL33" s="1156">
        <v>59302</v>
      </c>
      <c r="DM33" s="1156" t="s">
        <v>3795</v>
      </c>
      <c r="DN33" s="1156">
        <v>77.89</v>
      </c>
      <c r="DO33" s="1156">
        <v>6817</v>
      </c>
      <c r="DP33" s="1156">
        <v>59110</v>
      </c>
      <c r="DQ33" s="1156" t="s">
        <v>3733</v>
      </c>
      <c r="DR33" s="1156">
        <v>78.599999999999994</v>
      </c>
      <c r="DS33" s="1156">
        <v>6958</v>
      </c>
      <c r="DT33" s="1156">
        <v>58895</v>
      </c>
      <c r="DU33" s="1156" t="s">
        <v>3645</v>
      </c>
      <c r="DV33" s="1156">
        <v>79.98</v>
      </c>
      <c r="DW33" s="1156">
        <v>7113</v>
      </c>
      <c r="DX33" s="1156">
        <v>58870</v>
      </c>
      <c r="DY33" s="1156" t="s">
        <v>3722</v>
      </c>
      <c r="DZ33" s="1156">
        <v>81.06</v>
      </c>
      <c r="EA33" s="1156">
        <v>7161</v>
      </c>
      <c r="EB33" s="1156">
        <v>58747</v>
      </c>
      <c r="EC33" s="1156" t="s">
        <v>3495</v>
      </c>
      <c r="ED33" s="1156">
        <v>83.81</v>
      </c>
      <c r="EE33" s="1156">
        <v>7556</v>
      </c>
      <c r="EF33" s="1156">
        <v>58218</v>
      </c>
      <c r="EG33" s="1156" t="s">
        <v>3641</v>
      </c>
      <c r="EH33" s="1156">
        <v>83.15</v>
      </c>
      <c r="EI33" s="1156">
        <v>7742</v>
      </c>
      <c r="EJ33" s="1156">
        <v>57895</v>
      </c>
      <c r="EK33" s="1156" t="s">
        <v>3851</v>
      </c>
      <c r="EL33" s="1156">
        <v>78.53</v>
      </c>
      <c r="EM33" s="1156">
        <v>6560</v>
      </c>
      <c r="EN33" s="1156">
        <v>57646</v>
      </c>
      <c r="EO33" s="1156" t="s">
        <v>3725</v>
      </c>
      <c r="EP33" s="1156">
        <v>76.38</v>
      </c>
      <c r="EQ33" s="1156">
        <v>6514</v>
      </c>
      <c r="ER33" s="1156">
        <v>57597</v>
      </c>
      <c r="ES33" s="1156" t="s">
        <v>3490</v>
      </c>
      <c r="ET33" s="1156">
        <v>73.7</v>
      </c>
      <c r="EU33" s="1156">
        <v>6064</v>
      </c>
      <c r="EV33" s="1156">
        <v>55847</v>
      </c>
      <c r="EW33" s="1156" t="s">
        <v>3794</v>
      </c>
      <c r="EX33" s="1156">
        <v>73.709999999999994</v>
      </c>
      <c r="EY33" s="1156">
        <v>6152</v>
      </c>
      <c r="EZ33" s="1156">
        <v>54950</v>
      </c>
      <c r="FA33" s="1156" t="s">
        <v>3852</v>
      </c>
      <c r="FB33" s="1156">
        <v>72.67</v>
      </c>
      <c r="FC33" s="1156">
        <v>5991</v>
      </c>
      <c r="FD33" s="1156">
        <v>54077</v>
      </c>
      <c r="FE33" s="1156" t="s">
        <v>3653</v>
      </c>
      <c r="FF33" s="1156">
        <v>70.489999999999995</v>
      </c>
      <c r="FG33" s="1156">
        <v>5647</v>
      </c>
      <c r="FH33" s="1156">
        <v>54357</v>
      </c>
      <c r="FI33" s="1156" t="s">
        <v>3659</v>
      </c>
      <c r="FJ33" s="1156">
        <v>71.31</v>
      </c>
      <c r="FK33" s="1156">
        <v>5862</v>
      </c>
      <c r="FL33" s="1156">
        <v>54501</v>
      </c>
      <c r="FM33" s="1156" t="s">
        <v>3732</v>
      </c>
      <c r="FN33" s="1156">
        <v>71.7</v>
      </c>
      <c r="FO33" s="1156">
        <v>5800</v>
      </c>
      <c r="FP33" s="1156">
        <v>54747</v>
      </c>
      <c r="FQ33" s="1156" t="s">
        <v>3732</v>
      </c>
      <c r="FR33" s="1156">
        <v>71.83</v>
      </c>
      <c r="FS33" s="1156">
        <v>5872</v>
      </c>
      <c r="FT33" s="1156">
        <v>57766</v>
      </c>
      <c r="FU33" s="1156" t="s">
        <v>3508</v>
      </c>
      <c r="FV33" s="1156">
        <v>72.5</v>
      </c>
      <c r="FW33" s="1156">
        <v>5982</v>
      </c>
      <c r="FX33" s="1156">
        <v>57522</v>
      </c>
      <c r="FY33" s="1156" t="s">
        <v>3620</v>
      </c>
      <c r="FZ33" s="1156">
        <v>73.12</v>
      </c>
      <c r="GA33" s="1156">
        <v>6086</v>
      </c>
      <c r="GB33" s="1156">
        <v>57713</v>
      </c>
      <c r="GC33" s="1156" t="s">
        <v>3627</v>
      </c>
      <c r="GD33" s="1156">
        <v>74.73</v>
      </c>
      <c r="GE33" s="1156">
        <v>6117</v>
      </c>
      <c r="GF33" s="1156">
        <v>57544</v>
      </c>
      <c r="GG33" s="1156" t="s">
        <v>3491</v>
      </c>
      <c r="GH33" s="1156">
        <v>74.86</v>
      </c>
      <c r="GI33" s="1156">
        <v>6143</v>
      </c>
      <c r="GJ33" s="1156">
        <v>57582</v>
      </c>
      <c r="GK33" s="1156" t="s">
        <v>3734</v>
      </c>
      <c r="GL33" s="1156">
        <v>75.69</v>
      </c>
      <c r="GM33" s="1156">
        <v>6173</v>
      </c>
      <c r="GN33" s="1156">
        <v>57300</v>
      </c>
      <c r="GO33" s="1156" t="s">
        <v>3797</v>
      </c>
      <c r="GP33" s="1156">
        <v>76.33</v>
      </c>
      <c r="GQ33" s="1156">
        <v>6255</v>
      </c>
      <c r="GR33" s="1156">
        <v>57260</v>
      </c>
      <c r="GS33" s="1156" t="s">
        <v>3796</v>
      </c>
      <c r="GT33" s="1156">
        <v>78.53</v>
      </c>
      <c r="GU33" s="1156">
        <v>6343</v>
      </c>
      <c r="GV33" s="1156">
        <v>57174</v>
      </c>
      <c r="GW33" s="1156" t="s">
        <v>3853</v>
      </c>
      <c r="GX33" s="1156">
        <v>77.64</v>
      </c>
      <c r="GY33" s="1156">
        <v>6276</v>
      </c>
      <c r="GZ33" s="1156">
        <v>57097</v>
      </c>
      <c r="HA33" s="1156" t="s">
        <v>3632</v>
      </c>
      <c r="HB33" s="1156">
        <v>76</v>
      </c>
      <c r="HC33" s="1156">
        <v>6127</v>
      </c>
      <c r="HD33" s="1156">
        <v>56928</v>
      </c>
      <c r="HE33" s="1156" t="s">
        <v>3645</v>
      </c>
      <c r="HF33" s="1156">
        <v>74.87</v>
      </c>
      <c r="HG33" s="1156">
        <v>6214</v>
      </c>
      <c r="HH33" s="1156">
        <v>56877</v>
      </c>
      <c r="HI33" s="1156" t="s">
        <v>3648</v>
      </c>
      <c r="HJ33" s="1156">
        <v>75.98</v>
      </c>
      <c r="HK33" s="1156">
        <v>6133</v>
      </c>
      <c r="HL33" s="1156">
        <v>57411</v>
      </c>
      <c r="HM33" s="1156" t="s">
        <v>3644</v>
      </c>
      <c r="HN33" s="1156">
        <v>77.36</v>
      </c>
      <c r="HO33" s="1156">
        <v>6340</v>
      </c>
      <c r="HP33" s="1156">
        <v>57745</v>
      </c>
      <c r="HQ33" s="1156" t="s">
        <v>3848</v>
      </c>
      <c r="HR33" s="1156">
        <v>78.290000000000006</v>
      </c>
      <c r="HS33" s="1156">
        <v>6488</v>
      </c>
      <c r="HT33" s="1156">
        <v>58317</v>
      </c>
      <c r="HU33" s="1156" t="s">
        <v>3852</v>
      </c>
      <c r="HV33" s="1156">
        <v>78.39</v>
      </c>
      <c r="HW33" s="1156">
        <v>6650</v>
      </c>
      <c r="HX33" s="1156">
        <v>58073</v>
      </c>
      <c r="HY33" s="1156" t="s">
        <v>3629</v>
      </c>
      <c r="HZ33" s="1156">
        <v>78.17</v>
      </c>
      <c r="IA33" s="1156">
        <v>6530</v>
      </c>
      <c r="IB33" s="1156">
        <v>58479</v>
      </c>
      <c r="IC33" s="1156" t="s">
        <v>3657</v>
      </c>
      <c r="ID33" s="1156">
        <v>78.150000000000006</v>
      </c>
      <c r="IE33" s="1156">
        <v>6546</v>
      </c>
      <c r="IF33" s="1156">
        <v>58670</v>
      </c>
      <c r="IG33" s="1156" t="s">
        <v>3654</v>
      </c>
      <c r="IH33" s="1156">
        <v>78.180000000000007</v>
      </c>
      <c r="II33" s="1156">
        <v>6551</v>
      </c>
      <c r="IJ33" s="1156">
        <v>58711</v>
      </c>
      <c r="IK33" s="1156" t="s">
        <v>3654</v>
      </c>
      <c r="IL33" s="1156">
        <v>79.099999999999994</v>
      </c>
      <c r="IM33" s="1156">
        <v>6617</v>
      </c>
      <c r="IN33" s="1156">
        <v>58253</v>
      </c>
      <c r="IO33" s="1156" t="s">
        <v>3722</v>
      </c>
      <c r="IP33" s="1156">
        <v>79.709999999999994</v>
      </c>
      <c r="IQ33" s="1156">
        <v>6706</v>
      </c>
      <c r="IR33" s="1156">
        <v>58291</v>
      </c>
      <c r="IS33" s="1156" t="s">
        <v>3854</v>
      </c>
      <c r="IT33" s="1156">
        <v>77.75</v>
      </c>
      <c r="IU33" s="1156">
        <v>6374</v>
      </c>
      <c r="IV33" s="1156">
        <v>58300</v>
      </c>
      <c r="IW33" s="1156" t="s">
        <v>3796</v>
      </c>
      <c r="IX33" s="1156">
        <v>78.180000000000007</v>
      </c>
      <c r="IY33" s="1156">
        <v>6332</v>
      </c>
      <c r="IZ33" s="1156">
        <v>58348</v>
      </c>
      <c r="JA33" s="1156" t="s">
        <v>3848</v>
      </c>
      <c r="JB33" s="1156">
        <v>75.989999999999995</v>
      </c>
      <c r="JC33" s="1156">
        <v>6324</v>
      </c>
      <c r="JD33" s="1156">
        <v>58586</v>
      </c>
      <c r="JE33" s="1156" t="s">
        <v>3659</v>
      </c>
      <c r="JF33" s="1156">
        <v>77.72</v>
      </c>
      <c r="JG33" s="1156">
        <v>6560</v>
      </c>
      <c r="JH33" s="1156">
        <v>58665</v>
      </c>
      <c r="JI33" s="1156" t="s">
        <v>3658</v>
      </c>
      <c r="JJ33" s="1156">
        <v>77.44</v>
      </c>
      <c r="JK33" s="1156">
        <v>6474</v>
      </c>
      <c r="JL33" s="1156">
        <v>58678</v>
      </c>
      <c r="JM33" s="1156" t="s">
        <v>3794</v>
      </c>
      <c r="JN33" s="1156">
        <v>77.959999999999994</v>
      </c>
      <c r="JO33" s="1156">
        <v>6436</v>
      </c>
      <c r="JP33" s="1156">
        <v>58881</v>
      </c>
      <c r="JQ33" s="1156" t="s">
        <v>3658</v>
      </c>
      <c r="JR33" s="1156">
        <v>74.930000000000007</v>
      </c>
      <c r="JS33" s="1156">
        <v>6050</v>
      </c>
      <c r="JT33" s="1156">
        <v>58625</v>
      </c>
      <c r="JU33" s="1156" t="s">
        <v>3660</v>
      </c>
      <c r="JV33" s="1156">
        <v>73.099999999999994</v>
      </c>
      <c r="JW33" s="1156">
        <v>5844</v>
      </c>
      <c r="JX33" s="1156">
        <v>58719</v>
      </c>
      <c r="JY33" s="1156" t="s">
        <v>3500</v>
      </c>
      <c r="JZ33" s="1156">
        <v>76.06</v>
      </c>
      <c r="KA33" s="1156">
        <v>5976</v>
      </c>
      <c r="KB33" s="1156">
        <v>58066</v>
      </c>
      <c r="KC33" s="1156" t="s">
        <v>3492</v>
      </c>
      <c r="KD33" s="1156">
        <v>82.15</v>
      </c>
      <c r="KE33" s="1156">
        <v>6895</v>
      </c>
      <c r="KF33" s="1156">
        <v>57508</v>
      </c>
      <c r="KG33" s="1156" t="s">
        <v>3638</v>
      </c>
      <c r="KH33" s="1156">
        <v>68.62</v>
      </c>
      <c r="KI33" s="1156">
        <v>5307</v>
      </c>
      <c r="KJ33" s="1156">
        <v>58435</v>
      </c>
      <c r="KK33" s="1156" t="s">
        <v>3601</v>
      </c>
      <c r="KL33" s="1156">
        <v>74.12</v>
      </c>
      <c r="KM33" s="1156">
        <v>6313</v>
      </c>
      <c r="KN33" s="1156">
        <v>59293</v>
      </c>
      <c r="KO33" s="1156" t="s">
        <v>3837</v>
      </c>
      <c r="KP33" s="1156">
        <v>68.69</v>
      </c>
      <c r="KQ33" s="1156">
        <v>5827</v>
      </c>
      <c r="KR33" s="1156">
        <v>59320</v>
      </c>
      <c r="KS33" s="1156" t="s">
        <v>3811</v>
      </c>
      <c r="KT33" s="1156">
        <v>63.53</v>
      </c>
      <c r="KU33" s="1156">
        <v>5148</v>
      </c>
      <c r="KV33" s="1156">
        <v>58479</v>
      </c>
      <c r="KW33" s="1156" t="s">
        <v>3784</v>
      </c>
    </row>
    <row r="34" spans="1:309" s="1156" customFormat="1" ht="13.5">
      <c r="A34" s="1156" t="s">
        <v>3855</v>
      </c>
      <c r="B34" s="1156">
        <v>59.77</v>
      </c>
      <c r="C34" s="1156">
        <v>5904</v>
      </c>
      <c r="D34" s="1156">
        <v>39816</v>
      </c>
      <c r="E34" s="1156" t="s">
        <v>3752</v>
      </c>
      <c r="F34" s="1156">
        <v>59.87</v>
      </c>
      <c r="G34" s="1156">
        <v>5865</v>
      </c>
      <c r="H34" s="1156">
        <v>40179</v>
      </c>
      <c r="I34" s="1156" t="s">
        <v>3856</v>
      </c>
      <c r="J34" s="1156">
        <v>60.05</v>
      </c>
      <c r="K34" s="1156">
        <v>5984</v>
      </c>
      <c r="L34" s="1156">
        <v>40473</v>
      </c>
      <c r="M34" s="1156" t="s">
        <v>3857</v>
      </c>
      <c r="N34" s="1156">
        <v>59.61</v>
      </c>
      <c r="O34" s="1156">
        <v>5945</v>
      </c>
      <c r="P34" s="1156">
        <v>40669</v>
      </c>
      <c r="Q34" s="1156" t="s">
        <v>3716</v>
      </c>
      <c r="R34" s="1156">
        <v>59.45</v>
      </c>
      <c r="S34" s="1156">
        <v>5954</v>
      </c>
      <c r="T34" s="1156">
        <v>40884</v>
      </c>
      <c r="U34" s="1156" t="s">
        <v>3711</v>
      </c>
      <c r="V34" s="1156">
        <v>59.71</v>
      </c>
      <c r="W34" s="1156">
        <v>5929</v>
      </c>
      <c r="X34" s="1156">
        <v>41156</v>
      </c>
      <c r="Y34" s="1156" t="s">
        <v>3778</v>
      </c>
      <c r="Z34" s="1156">
        <v>60.31</v>
      </c>
      <c r="AA34" s="1156">
        <v>5966</v>
      </c>
      <c r="AB34" s="1156">
        <v>41395</v>
      </c>
      <c r="AC34" s="1156" t="s">
        <v>3858</v>
      </c>
      <c r="AD34" s="1156">
        <v>60.83</v>
      </c>
      <c r="AE34" s="1156">
        <v>6039</v>
      </c>
      <c r="AF34" s="1156">
        <v>41372</v>
      </c>
      <c r="AG34" s="1156" t="s">
        <v>3717</v>
      </c>
      <c r="AH34" s="1156">
        <v>61.19</v>
      </c>
      <c r="AI34" s="1156">
        <v>6045</v>
      </c>
      <c r="AJ34" s="1156">
        <v>41479</v>
      </c>
      <c r="AK34" s="1156" t="s">
        <v>3706</v>
      </c>
      <c r="AL34" s="1156">
        <v>61.43</v>
      </c>
      <c r="AM34" s="1156">
        <v>6049</v>
      </c>
      <c r="AN34" s="1156">
        <v>41736</v>
      </c>
      <c r="AO34" s="1156" t="s">
        <v>3705</v>
      </c>
      <c r="AP34" s="1156">
        <v>61.39</v>
      </c>
      <c r="AQ34" s="1156">
        <v>6075</v>
      </c>
      <c r="AR34" s="1156">
        <v>42393</v>
      </c>
      <c r="AS34" s="1156" t="s">
        <v>3704</v>
      </c>
      <c r="AT34" s="1156">
        <v>61.19</v>
      </c>
      <c r="AU34" s="1156">
        <v>6063</v>
      </c>
      <c r="AV34" s="1156">
        <v>42611</v>
      </c>
      <c r="AW34" s="1156" t="s">
        <v>3851</v>
      </c>
      <c r="AX34" s="1156">
        <v>61.04</v>
      </c>
      <c r="AY34" s="1156">
        <v>6022</v>
      </c>
      <c r="AZ34" s="1156">
        <v>42811</v>
      </c>
      <c r="BA34" s="1156" t="s">
        <v>3859</v>
      </c>
      <c r="BB34" s="1156">
        <v>60.86</v>
      </c>
      <c r="BC34" s="1156">
        <v>5993</v>
      </c>
      <c r="BD34" s="1156">
        <v>42001</v>
      </c>
      <c r="BE34" s="1156" t="s">
        <v>3701</v>
      </c>
      <c r="BF34" s="1156">
        <v>60.81</v>
      </c>
      <c r="BG34" s="1156">
        <v>5993</v>
      </c>
      <c r="BH34" s="1156">
        <v>41873</v>
      </c>
      <c r="BI34" s="1156" t="s">
        <v>3778</v>
      </c>
      <c r="BJ34" s="1156">
        <v>60.48</v>
      </c>
      <c r="BK34" s="1156">
        <v>5953</v>
      </c>
      <c r="BL34" s="1156">
        <v>41697</v>
      </c>
      <c r="BM34" s="1156" t="s">
        <v>3778</v>
      </c>
      <c r="BN34" s="1156">
        <v>59.81</v>
      </c>
      <c r="BO34" s="1156">
        <v>5909</v>
      </c>
      <c r="BP34" s="1156">
        <v>41822</v>
      </c>
      <c r="BQ34" s="1156" t="s">
        <v>3714</v>
      </c>
      <c r="BR34" s="1156">
        <v>60.03</v>
      </c>
      <c r="BS34" s="1156">
        <v>5865</v>
      </c>
      <c r="BT34" s="1156">
        <v>42032</v>
      </c>
      <c r="BU34" s="1156" t="s">
        <v>3638</v>
      </c>
      <c r="BV34" s="1156">
        <v>60.41</v>
      </c>
      <c r="BW34" s="1156">
        <v>5883</v>
      </c>
      <c r="BX34" s="1156">
        <v>42052</v>
      </c>
      <c r="BY34" s="1156" t="s">
        <v>3851</v>
      </c>
      <c r="BZ34" s="1156">
        <v>60.96</v>
      </c>
      <c r="CA34" s="1156">
        <v>5969</v>
      </c>
      <c r="CB34" s="1156">
        <v>42154</v>
      </c>
      <c r="CC34" s="1156" t="s">
        <v>3860</v>
      </c>
      <c r="CD34" s="1156">
        <v>61.65</v>
      </c>
      <c r="CE34" s="1156">
        <v>6057</v>
      </c>
      <c r="CF34" s="1156">
        <v>41916</v>
      </c>
      <c r="CG34" s="1156" t="s">
        <v>3717</v>
      </c>
      <c r="CH34" s="1156">
        <v>61.64</v>
      </c>
      <c r="CI34" s="1156">
        <v>6105</v>
      </c>
      <c r="CJ34" s="1156">
        <v>40444</v>
      </c>
      <c r="CK34" s="1156" t="s">
        <v>3719</v>
      </c>
      <c r="CL34" s="1156">
        <v>61.69</v>
      </c>
      <c r="CM34" s="1156">
        <v>6055</v>
      </c>
      <c r="CN34" s="1156">
        <v>40409</v>
      </c>
      <c r="CO34" s="1156" t="s">
        <v>3744</v>
      </c>
      <c r="CP34" s="1156">
        <v>61.32</v>
      </c>
      <c r="CQ34" s="1156">
        <v>6015</v>
      </c>
      <c r="CR34" s="1156">
        <v>40826</v>
      </c>
      <c r="CS34" s="1156" t="s">
        <v>3752</v>
      </c>
      <c r="CT34" s="1156">
        <v>61.34</v>
      </c>
      <c r="CU34" s="1156">
        <v>6029</v>
      </c>
      <c r="CV34" s="1156">
        <v>40769</v>
      </c>
      <c r="CW34" s="1156" t="s">
        <v>3861</v>
      </c>
      <c r="CX34" s="1156">
        <v>61.29</v>
      </c>
      <c r="CY34" s="1156">
        <v>6089</v>
      </c>
      <c r="CZ34" s="1156">
        <v>40624</v>
      </c>
      <c r="DA34" s="1156" t="s">
        <v>3753</v>
      </c>
      <c r="DB34" s="1156">
        <v>60.99</v>
      </c>
      <c r="DC34" s="1156">
        <v>6050</v>
      </c>
      <c r="DD34" s="1156">
        <v>40081</v>
      </c>
      <c r="DE34" s="1156" t="s">
        <v>3743</v>
      </c>
      <c r="DF34" s="1156">
        <v>60.64</v>
      </c>
      <c r="DG34" s="1156">
        <v>5974</v>
      </c>
      <c r="DH34" s="1156">
        <v>39998</v>
      </c>
      <c r="DI34" s="1156" t="s">
        <v>3754</v>
      </c>
      <c r="DJ34" s="1156">
        <v>60.52</v>
      </c>
      <c r="DK34" s="1156">
        <v>5948</v>
      </c>
      <c r="DL34" s="1156">
        <v>39986</v>
      </c>
      <c r="DM34" s="1156" t="s">
        <v>3748</v>
      </c>
      <c r="DN34" s="1156">
        <v>60.94</v>
      </c>
      <c r="DO34" s="1156">
        <v>5960</v>
      </c>
      <c r="DP34" s="1156">
        <v>39819</v>
      </c>
      <c r="DQ34" s="1156" t="s">
        <v>3745</v>
      </c>
      <c r="DR34" s="1156">
        <v>61.96</v>
      </c>
      <c r="DS34" s="1156">
        <v>6081</v>
      </c>
      <c r="DT34" s="1156">
        <v>39840</v>
      </c>
      <c r="DU34" s="1156" t="s">
        <v>3740</v>
      </c>
      <c r="DV34" s="1156">
        <v>63.54</v>
      </c>
      <c r="DW34" s="1156">
        <v>6092</v>
      </c>
      <c r="DX34" s="1156">
        <v>39913</v>
      </c>
      <c r="DY34" s="1156" t="s">
        <v>3862</v>
      </c>
      <c r="DZ34" s="1156">
        <v>64.44</v>
      </c>
      <c r="EA34" s="1156">
        <v>6046</v>
      </c>
      <c r="EB34" s="1156">
        <v>39872</v>
      </c>
      <c r="EC34" s="1156" t="s">
        <v>3863</v>
      </c>
      <c r="ED34" s="1156">
        <v>58.91</v>
      </c>
      <c r="EE34" s="1156">
        <v>6460</v>
      </c>
      <c r="EF34" s="1156">
        <v>39587</v>
      </c>
      <c r="EG34" s="1156" t="s">
        <v>3864</v>
      </c>
      <c r="EH34" s="1156">
        <v>62.06</v>
      </c>
      <c r="EI34" s="1156">
        <v>6373</v>
      </c>
      <c r="EJ34" s="1156">
        <v>39572</v>
      </c>
      <c r="EK34" s="1156" t="s">
        <v>3769</v>
      </c>
      <c r="EL34" s="1156">
        <v>61.09</v>
      </c>
      <c r="EM34" s="1156">
        <v>6204</v>
      </c>
      <c r="EN34" s="1156">
        <v>39243</v>
      </c>
      <c r="EO34" s="1156" t="s">
        <v>3453</v>
      </c>
      <c r="EP34" s="1156">
        <v>58.78</v>
      </c>
      <c r="EQ34" s="1156">
        <v>6025</v>
      </c>
      <c r="ER34" s="1156">
        <v>39068</v>
      </c>
      <c r="ES34" s="1156" t="s">
        <v>3861</v>
      </c>
      <c r="ET34" s="1156">
        <v>57.9</v>
      </c>
      <c r="EU34" s="1156">
        <v>5796</v>
      </c>
      <c r="EV34" s="1156">
        <v>37980</v>
      </c>
      <c r="EW34" s="1156" t="s">
        <v>3719</v>
      </c>
      <c r="EX34" s="1156">
        <v>56.15</v>
      </c>
      <c r="EY34" s="1156">
        <v>5974</v>
      </c>
      <c r="EZ34" s="1156">
        <v>37378</v>
      </c>
      <c r="FA34" s="1156" t="s">
        <v>3752</v>
      </c>
      <c r="FB34" s="1156">
        <v>55.73</v>
      </c>
      <c r="FC34" s="1156">
        <v>6063</v>
      </c>
      <c r="FD34" s="1156">
        <v>37383</v>
      </c>
      <c r="FE34" s="1156" t="s">
        <v>3856</v>
      </c>
      <c r="FF34" s="1156">
        <v>54.69</v>
      </c>
      <c r="FG34" s="1156">
        <v>5864</v>
      </c>
      <c r="FH34" s="1156">
        <v>37678</v>
      </c>
      <c r="FI34" s="1156" t="s">
        <v>3778</v>
      </c>
      <c r="FJ34" s="1156">
        <v>55.63</v>
      </c>
      <c r="FK34" s="1156">
        <v>6104</v>
      </c>
      <c r="FL34" s="1156">
        <v>37397</v>
      </c>
      <c r="FM34" s="1156" t="s">
        <v>3864</v>
      </c>
      <c r="FN34" s="1156">
        <v>56.61</v>
      </c>
      <c r="FO34" s="1156">
        <v>5875</v>
      </c>
      <c r="FP34" s="1156">
        <v>37661</v>
      </c>
      <c r="FQ34" s="1156" t="s">
        <v>3861</v>
      </c>
      <c r="FR34" s="1156">
        <v>56.17</v>
      </c>
      <c r="FS34" s="1156">
        <v>5844</v>
      </c>
      <c r="FT34" s="1156">
        <v>39705</v>
      </c>
      <c r="FU34" s="1156" t="s">
        <v>3710</v>
      </c>
      <c r="FV34" s="1156">
        <v>55.8</v>
      </c>
      <c r="FW34" s="1156">
        <v>5680</v>
      </c>
      <c r="FX34" s="1156">
        <v>39274</v>
      </c>
      <c r="FY34" s="1156" t="s">
        <v>3865</v>
      </c>
      <c r="FZ34" s="1156">
        <v>55.77</v>
      </c>
      <c r="GA34" s="1156">
        <v>5636</v>
      </c>
      <c r="GB34" s="1156">
        <v>39115</v>
      </c>
      <c r="GC34" s="1156" t="s">
        <v>3859</v>
      </c>
      <c r="GD34" s="1156">
        <v>57.27</v>
      </c>
      <c r="GE34" s="1156">
        <v>5607</v>
      </c>
      <c r="GF34" s="1156">
        <v>38984</v>
      </c>
      <c r="GG34" s="1156" t="s">
        <v>3698</v>
      </c>
      <c r="GH34" s="1156">
        <v>57.71</v>
      </c>
      <c r="GI34" s="1156">
        <v>5795</v>
      </c>
      <c r="GJ34" s="1156">
        <v>38996</v>
      </c>
      <c r="GK34" s="1156" t="s">
        <v>3715</v>
      </c>
      <c r="GL34" s="1156">
        <v>58.81</v>
      </c>
      <c r="GM34" s="1156">
        <v>5834</v>
      </c>
      <c r="GN34" s="1156">
        <v>38846</v>
      </c>
      <c r="GO34" s="1156" t="s">
        <v>3748</v>
      </c>
      <c r="GP34" s="1156">
        <v>58.18</v>
      </c>
      <c r="GQ34" s="1156">
        <v>5824</v>
      </c>
      <c r="GR34" s="1156">
        <v>38791</v>
      </c>
      <c r="GS34" s="1156" t="s">
        <v>3640</v>
      </c>
      <c r="GT34" s="1156">
        <v>58.9</v>
      </c>
      <c r="GU34" s="1156">
        <v>5685</v>
      </c>
      <c r="GV34" s="1156">
        <v>40082</v>
      </c>
      <c r="GW34" s="1156" t="s">
        <v>3698</v>
      </c>
      <c r="GX34" s="1156">
        <v>60.28</v>
      </c>
      <c r="GY34" s="1156">
        <v>5872</v>
      </c>
      <c r="GZ34" s="1156">
        <v>38868</v>
      </c>
      <c r="HA34" s="1156" t="s">
        <v>3866</v>
      </c>
      <c r="HB34" s="1156">
        <v>57.08</v>
      </c>
      <c r="HC34" s="1156">
        <v>5717</v>
      </c>
      <c r="HD34" s="1156">
        <v>38665</v>
      </c>
      <c r="HE34" s="1156" t="s">
        <v>3780</v>
      </c>
      <c r="HF34" s="1156">
        <v>56.81</v>
      </c>
      <c r="HG34" s="1156">
        <v>5736</v>
      </c>
      <c r="HH34" s="1156">
        <v>38688</v>
      </c>
      <c r="HI34" s="1156" t="s">
        <v>3698</v>
      </c>
      <c r="HJ34" s="1156">
        <v>57.67</v>
      </c>
      <c r="HK34" s="1156">
        <v>5753</v>
      </c>
      <c r="HL34" s="1156">
        <v>38732</v>
      </c>
      <c r="HM34" s="1156" t="s">
        <v>3864</v>
      </c>
      <c r="HN34" s="1156">
        <v>60.32</v>
      </c>
      <c r="HO34" s="1156">
        <v>5789</v>
      </c>
      <c r="HP34" s="1156">
        <v>39495</v>
      </c>
      <c r="HQ34" s="1156" t="s">
        <v>3744</v>
      </c>
      <c r="HR34" s="1156">
        <v>60.07</v>
      </c>
      <c r="HS34" s="1156">
        <v>6029</v>
      </c>
      <c r="HT34" s="1156">
        <v>39490</v>
      </c>
      <c r="HU34" s="1156" t="s">
        <v>3743</v>
      </c>
      <c r="HV34" s="1156">
        <v>59.5</v>
      </c>
      <c r="HW34" s="1156">
        <v>6045</v>
      </c>
      <c r="HX34" s="1156">
        <v>39457</v>
      </c>
      <c r="HY34" s="1156" t="s">
        <v>3753</v>
      </c>
      <c r="HZ34" s="1156">
        <v>59.08</v>
      </c>
      <c r="IA34" s="1156">
        <v>5874</v>
      </c>
      <c r="IB34" s="1156">
        <v>39790</v>
      </c>
      <c r="IC34" s="1156" t="s">
        <v>3867</v>
      </c>
      <c r="ID34" s="1156">
        <v>58.41</v>
      </c>
      <c r="IE34" s="1156">
        <v>5961</v>
      </c>
      <c r="IF34" s="1156">
        <v>39929</v>
      </c>
      <c r="IG34" s="1156" t="s">
        <v>3699</v>
      </c>
      <c r="IH34" s="1156">
        <v>58.69</v>
      </c>
      <c r="II34" s="1156">
        <v>5958</v>
      </c>
      <c r="IJ34" s="1156">
        <v>39862</v>
      </c>
      <c r="IK34" s="1156" t="s">
        <v>3705</v>
      </c>
      <c r="IL34" s="1156">
        <v>61.66</v>
      </c>
      <c r="IM34" s="1156">
        <v>5970</v>
      </c>
      <c r="IN34" s="1156">
        <v>39725</v>
      </c>
      <c r="IO34" s="1156" t="s">
        <v>3762</v>
      </c>
      <c r="IP34" s="1156">
        <v>60.31</v>
      </c>
      <c r="IQ34" s="1156">
        <v>6243</v>
      </c>
      <c r="IR34" s="1156">
        <v>39608</v>
      </c>
      <c r="IS34" s="1156" t="s">
        <v>3743</v>
      </c>
      <c r="IT34" s="1156">
        <v>61.42</v>
      </c>
      <c r="IU34" s="1156">
        <v>6032</v>
      </c>
      <c r="IV34" s="1156">
        <v>39797</v>
      </c>
      <c r="IW34" s="1156" t="s">
        <v>3742</v>
      </c>
      <c r="IX34" s="1156">
        <v>59.37</v>
      </c>
      <c r="IY34" s="1156">
        <v>5967</v>
      </c>
      <c r="IZ34" s="1156">
        <v>39618</v>
      </c>
      <c r="JA34" s="1156" t="s">
        <v>3640</v>
      </c>
      <c r="JB34" s="1156">
        <v>57.48</v>
      </c>
      <c r="JC34" s="1156">
        <v>5709</v>
      </c>
      <c r="JD34" s="1156">
        <v>39563</v>
      </c>
      <c r="JE34" s="1156" t="s">
        <v>3711</v>
      </c>
      <c r="JF34" s="1156">
        <v>58.56</v>
      </c>
      <c r="JG34" s="1156">
        <v>5731</v>
      </c>
      <c r="JH34" s="1156">
        <v>39829</v>
      </c>
      <c r="JI34" s="1156" t="s">
        <v>3717</v>
      </c>
      <c r="JJ34" s="1156">
        <v>60.24</v>
      </c>
      <c r="JK34" s="1156">
        <v>5782</v>
      </c>
      <c r="JL34" s="1156">
        <v>39852</v>
      </c>
      <c r="JM34" s="1156" t="s">
        <v>3751</v>
      </c>
      <c r="JN34" s="1156">
        <v>59.5</v>
      </c>
      <c r="JO34" s="1156">
        <v>6125</v>
      </c>
      <c r="JP34" s="1156">
        <v>40118</v>
      </c>
      <c r="JQ34" s="1156" t="s">
        <v>3857</v>
      </c>
      <c r="JR34" s="1156">
        <v>59.5</v>
      </c>
      <c r="JS34" s="1156">
        <v>6123</v>
      </c>
      <c r="JT34" s="1156">
        <v>40248</v>
      </c>
      <c r="JU34" s="1156" t="s">
        <v>3715</v>
      </c>
      <c r="JV34" s="1156">
        <v>57.6</v>
      </c>
      <c r="JW34" s="1156">
        <v>5999</v>
      </c>
      <c r="JX34" s="1156">
        <v>39876</v>
      </c>
      <c r="JY34" s="1156" t="s">
        <v>3860</v>
      </c>
      <c r="JZ34" s="1156">
        <v>60.81</v>
      </c>
      <c r="KA34" s="1156">
        <v>6150</v>
      </c>
      <c r="KB34" s="1156">
        <v>39571</v>
      </c>
      <c r="KC34" s="1156" t="s">
        <v>3747</v>
      </c>
      <c r="KD34" s="1156">
        <v>64.819999999999993</v>
      </c>
      <c r="KE34" s="1156">
        <v>6180</v>
      </c>
      <c r="KF34" s="1156">
        <v>39267</v>
      </c>
      <c r="KG34" s="1156" t="s">
        <v>3765</v>
      </c>
      <c r="KH34" s="1156">
        <v>50.71</v>
      </c>
      <c r="KI34" s="1156">
        <v>4243</v>
      </c>
      <c r="KJ34" s="1156">
        <v>41314</v>
      </c>
      <c r="KK34" s="1156" t="s">
        <v>3826</v>
      </c>
      <c r="KL34" s="1156">
        <v>53.6</v>
      </c>
      <c r="KM34" s="1156">
        <v>5778</v>
      </c>
      <c r="KN34" s="1156">
        <v>39154</v>
      </c>
      <c r="KO34" s="1156" t="s">
        <v>3643</v>
      </c>
      <c r="KP34" s="1156">
        <v>51.81</v>
      </c>
      <c r="KQ34" s="1156">
        <v>5467</v>
      </c>
      <c r="KR34" s="1156">
        <v>42361</v>
      </c>
      <c r="KS34" s="1156" t="s">
        <v>3656</v>
      </c>
      <c r="KT34" s="1156">
        <v>47.96</v>
      </c>
      <c r="KU34" s="1156">
        <v>4447</v>
      </c>
      <c r="KV34" s="1156">
        <v>39604</v>
      </c>
      <c r="KW34" s="1156" t="s">
        <v>3824</v>
      </c>
    </row>
    <row r="35" spans="1:309" s="1156" customFormat="1" ht="13.5">
      <c r="A35" s="1156" t="s">
        <v>3868</v>
      </c>
      <c r="B35" s="1156">
        <v>49.51</v>
      </c>
      <c r="C35" s="1156">
        <v>3812</v>
      </c>
      <c r="D35" s="1156">
        <v>31967</v>
      </c>
      <c r="E35" s="1156" t="s">
        <v>3775</v>
      </c>
      <c r="F35" s="1156">
        <v>49.81</v>
      </c>
      <c r="G35" s="1156">
        <v>3765</v>
      </c>
      <c r="H35" s="1156">
        <v>32050</v>
      </c>
      <c r="I35" s="1156" t="s">
        <v>3740</v>
      </c>
      <c r="J35" s="1156">
        <v>49.85</v>
      </c>
      <c r="K35" s="1156">
        <v>3761</v>
      </c>
      <c r="L35" s="1156">
        <v>32158</v>
      </c>
      <c r="M35" s="1156" t="s">
        <v>3866</v>
      </c>
      <c r="N35" s="1156">
        <v>49.48</v>
      </c>
      <c r="O35" s="1156">
        <v>3744</v>
      </c>
      <c r="P35" s="1156">
        <v>32224</v>
      </c>
      <c r="Q35" s="1156" t="s">
        <v>3747</v>
      </c>
      <c r="R35" s="1156">
        <v>49.48</v>
      </c>
      <c r="S35" s="1156">
        <v>3754</v>
      </c>
      <c r="T35" s="1156">
        <v>32473</v>
      </c>
      <c r="U35" s="1156" t="s">
        <v>3719</v>
      </c>
      <c r="V35" s="1156">
        <v>49.66</v>
      </c>
      <c r="W35" s="1156">
        <v>3760</v>
      </c>
      <c r="X35" s="1156">
        <v>32540</v>
      </c>
      <c r="Y35" s="1156" t="s">
        <v>3744</v>
      </c>
      <c r="Z35" s="1156">
        <v>49.67</v>
      </c>
      <c r="AA35" s="1156">
        <v>3823</v>
      </c>
      <c r="AB35" s="1156">
        <v>32721</v>
      </c>
      <c r="AC35" s="1156" t="s">
        <v>3750</v>
      </c>
      <c r="AD35" s="1156">
        <v>49.69</v>
      </c>
      <c r="AE35" s="1156">
        <v>3843</v>
      </c>
      <c r="AF35" s="1156">
        <v>32877</v>
      </c>
      <c r="AG35" s="1156" t="s">
        <v>3751</v>
      </c>
      <c r="AH35" s="1156">
        <v>49.94</v>
      </c>
      <c r="AI35" s="1156">
        <v>3838</v>
      </c>
      <c r="AJ35" s="1156">
        <v>33044</v>
      </c>
      <c r="AK35" s="1156" t="s">
        <v>3751</v>
      </c>
      <c r="AL35" s="1156">
        <v>49.43</v>
      </c>
      <c r="AM35" s="1156">
        <v>3817</v>
      </c>
      <c r="AN35" s="1156">
        <v>33215</v>
      </c>
      <c r="AO35" s="1156" t="s">
        <v>3864</v>
      </c>
      <c r="AP35" s="1156">
        <v>49.31</v>
      </c>
      <c r="AQ35" s="1156">
        <v>3812</v>
      </c>
      <c r="AR35" s="1156">
        <v>33753</v>
      </c>
      <c r="AS35" s="1156" t="s">
        <v>3700</v>
      </c>
      <c r="AT35" s="1156">
        <v>49.38</v>
      </c>
      <c r="AU35" s="1156">
        <v>3845</v>
      </c>
      <c r="AV35" s="1156">
        <v>33908</v>
      </c>
      <c r="AW35" s="1156" t="s">
        <v>3652</v>
      </c>
      <c r="AX35" s="1156">
        <v>49.3</v>
      </c>
      <c r="AY35" s="1156">
        <v>3785</v>
      </c>
      <c r="AZ35" s="1156">
        <v>33865</v>
      </c>
      <c r="BA35" s="1156" t="s">
        <v>3652</v>
      </c>
      <c r="BB35" s="1156">
        <v>49.03</v>
      </c>
      <c r="BC35" s="1156">
        <v>3764</v>
      </c>
      <c r="BD35" s="1156">
        <v>33697</v>
      </c>
      <c r="BE35" s="1156" t="s">
        <v>3652</v>
      </c>
      <c r="BF35" s="1156">
        <v>48.75</v>
      </c>
      <c r="BG35" s="1156">
        <v>3790</v>
      </c>
      <c r="BH35" s="1156">
        <v>33223</v>
      </c>
      <c r="BI35" s="1156" t="s">
        <v>3716</v>
      </c>
      <c r="BJ35" s="1156">
        <v>48.6</v>
      </c>
      <c r="BK35" s="1156">
        <v>3713</v>
      </c>
      <c r="BL35" s="1156">
        <v>33317</v>
      </c>
      <c r="BM35" s="1156" t="s">
        <v>3858</v>
      </c>
      <c r="BN35" s="1156">
        <v>48.18</v>
      </c>
      <c r="BO35" s="1156">
        <v>3740</v>
      </c>
      <c r="BP35" s="1156">
        <v>33449</v>
      </c>
      <c r="BQ35" s="1156" t="s">
        <v>3712</v>
      </c>
      <c r="BR35" s="1156">
        <v>48.49</v>
      </c>
      <c r="BS35" s="1156">
        <v>3738</v>
      </c>
      <c r="BT35" s="1156">
        <v>33590</v>
      </c>
      <c r="BU35" s="1156" t="s">
        <v>3702</v>
      </c>
      <c r="BV35" s="1156">
        <v>48.51</v>
      </c>
      <c r="BW35" s="1156">
        <v>3760</v>
      </c>
      <c r="BX35" s="1156">
        <v>33523</v>
      </c>
      <c r="BY35" s="1156" t="s">
        <v>3704</v>
      </c>
      <c r="BZ35" s="1156">
        <v>48.63</v>
      </c>
      <c r="CA35" s="1156">
        <v>3770</v>
      </c>
      <c r="CB35" s="1156">
        <v>33701</v>
      </c>
      <c r="CC35" s="1156" t="s">
        <v>3702</v>
      </c>
      <c r="CD35" s="1156">
        <v>48.44</v>
      </c>
      <c r="CE35" s="1156">
        <v>3778</v>
      </c>
      <c r="CF35" s="1156">
        <v>34178</v>
      </c>
      <c r="CG35" s="1156" t="s">
        <v>3869</v>
      </c>
      <c r="CH35" s="1156">
        <v>48.1</v>
      </c>
      <c r="CI35" s="1156">
        <v>3739</v>
      </c>
      <c r="CJ35" s="1156">
        <v>32632</v>
      </c>
      <c r="CK35" s="1156" t="s">
        <v>3706</v>
      </c>
      <c r="CL35" s="1156">
        <v>47.83</v>
      </c>
      <c r="CM35" s="1156">
        <v>3721</v>
      </c>
      <c r="CN35" s="1156">
        <v>32769</v>
      </c>
      <c r="CO35" s="1156" t="s">
        <v>3700</v>
      </c>
      <c r="CP35" s="1156">
        <v>47.53</v>
      </c>
      <c r="CQ35" s="1156">
        <v>3664</v>
      </c>
      <c r="CR35" s="1156">
        <v>32415</v>
      </c>
      <c r="CS35" s="1156" t="s">
        <v>3716</v>
      </c>
      <c r="CT35" s="1156">
        <v>47.3</v>
      </c>
      <c r="CU35" s="1156">
        <v>3677</v>
      </c>
      <c r="CV35" s="1156">
        <v>32335</v>
      </c>
      <c r="CW35" s="1156" t="s">
        <v>3699</v>
      </c>
      <c r="CX35" s="1156">
        <v>46.95</v>
      </c>
      <c r="CY35" s="1156">
        <v>3707</v>
      </c>
      <c r="CZ35" s="1156">
        <v>32516</v>
      </c>
      <c r="DA35" s="1156" t="s">
        <v>3702</v>
      </c>
      <c r="DB35" s="1156">
        <v>46.77</v>
      </c>
      <c r="DC35" s="1156">
        <v>3609</v>
      </c>
      <c r="DD35" s="1156">
        <v>33893</v>
      </c>
      <c r="DE35" s="1156" t="s">
        <v>3495</v>
      </c>
      <c r="DF35" s="1156">
        <v>46.46</v>
      </c>
      <c r="DG35" s="1156">
        <v>3549</v>
      </c>
      <c r="DH35" s="1156">
        <v>33968</v>
      </c>
      <c r="DI35" s="1156" t="s">
        <v>3854</v>
      </c>
      <c r="DJ35" s="1156">
        <v>46.66</v>
      </c>
      <c r="DK35" s="1156">
        <v>3576</v>
      </c>
      <c r="DL35" s="1156">
        <v>34035</v>
      </c>
      <c r="DM35" s="1156" t="s">
        <v>3723</v>
      </c>
      <c r="DN35" s="1156">
        <v>47.08</v>
      </c>
      <c r="DO35" s="1156">
        <v>3604</v>
      </c>
      <c r="DP35" s="1156">
        <v>34021</v>
      </c>
      <c r="DQ35" s="1156" t="s">
        <v>3636</v>
      </c>
      <c r="DR35" s="1156">
        <v>47.53</v>
      </c>
      <c r="DS35" s="1156">
        <v>3688</v>
      </c>
      <c r="DT35" s="1156">
        <v>34381</v>
      </c>
      <c r="DU35" s="1156" t="s">
        <v>3636</v>
      </c>
      <c r="DV35" s="1156">
        <v>48.24</v>
      </c>
      <c r="DW35" s="1156">
        <v>3810</v>
      </c>
      <c r="DX35" s="1156">
        <v>34607</v>
      </c>
      <c r="DY35" s="1156" t="s">
        <v>3870</v>
      </c>
      <c r="DZ35" s="1156">
        <v>49.07</v>
      </c>
      <c r="EA35" s="1156">
        <v>3802</v>
      </c>
      <c r="EB35" s="1156">
        <v>34713</v>
      </c>
      <c r="EC35" s="1156" t="s">
        <v>3710</v>
      </c>
      <c r="ED35" s="1156">
        <v>56.13</v>
      </c>
      <c r="EE35" s="1156">
        <v>3887</v>
      </c>
      <c r="EF35" s="1156">
        <v>34797</v>
      </c>
      <c r="EG35" s="1156" t="s">
        <v>3871</v>
      </c>
      <c r="EH35" s="1156">
        <v>54.85</v>
      </c>
      <c r="EI35" s="1156">
        <v>3814</v>
      </c>
      <c r="EJ35" s="1156">
        <v>35135</v>
      </c>
      <c r="EK35" s="1156" t="s">
        <v>3776</v>
      </c>
      <c r="EL35" s="1156">
        <v>52.79</v>
      </c>
      <c r="EM35" s="1156">
        <v>3739</v>
      </c>
      <c r="EN35" s="1156">
        <v>35200</v>
      </c>
      <c r="EO35" s="1156" t="s">
        <v>3640</v>
      </c>
      <c r="EP35" s="1156">
        <v>51.98</v>
      </c>
      <c r="EQ35" s="1156">
        <v>3910</v>
      </c>
      <c r="ER35" s="1156">
        <v>34955</v>
      </c>
      <c r="ES35" s="1156" t="s">
        <v>3864</v>
      </c>
      <c r="ET35" s="1156">
        <v>50.19</v>
      </c>
      <c r="EU35" s="1156">
        <v>3811</v>
      </c>
      <c r="EV35" s="1156">
        <v>34441</v>
      </c>
      <c r="EW35" s="1156" t="s">
        <v>3858</v>
      </c>
      <c r="EX35" s="1156">
        <v>50.73</v>
      </c>
      <c r="EY35" s="1156">
        <v>3825</v>
      </c>
      <c r="EZ35" s="1156">
        <v>34247</v>
      </c>
      <c r="FA35" s="1156" t="s">
        <v>3721</v>
      </c>
      <c r="FB35" s="1156">
        <v>48.78</v>
      </c>
      <c r="FC35" s="1156">
        <v>3659</v>
      </c>
      <c r="FD35" s="1156">
        <v>33762</v>
      </c>
      <c r="FE35" s="1156" t="s">
        <v>3860</v>
      </c>
      <c r="FF35" s="1156">
        <v>49.13</v>
      </c>
      <c r="FG35" s="1156">
        <v>3582</v>
      </c>
      <c r="FH35" s="1156">
        <v>33617</v>
      </c>
      <c r="FI35" s="1156" t="s">
        <v>3699</v>
      </c>
      <c r="FJ35" s="1156">
        <v>49.36</v>
      </c>
      <c r="FK35" s="1156">
        <v>3667</v>
      </c>
      <c r="FL35" s="1156">
        <v>33318</v>
      </c>
      <c r="FM35" s="1156" t="s">
        <v>3721</v>
      </c>
      <c r="FN35" s="1156">
        <v>50.61</v>
      </c>
      <c r="FO35" s="1156">
        <v>3788</v>
      </c>
      <c r="FP35" s="1156">
        <v>33446</v>
      </c>
      <c r="FQ35" s="1156" t="s">
        <v>3748</v>
      </c>
      <c r="FR35" s="1156">
        <v>49.7</v>
      </c>
      <c r="FS35" s="1156">
        <v>3715</v>
      </c>
      <c r="FT35" s="1156">
        <v>35044</v>
      </c>
      <c r="FU35" s="1156" t="s">
        <v>3872</v>
      </c>
      <c r="FV35" s="1156">
        <v>49.94</v>
      </c>
      <c r="FW35" s="1156">
        <v>3812</v>
      </c>
      <c r="FX35" s="1156">
        <v>35403</v>
      </c>
      <c r="FY35" s="1156" t="s">
        <v>3637</v>
      </c>
      <c r="FZ35" s="1156">
        <v>49.94</v>
      </c>
      <c r="GA35" s="1156">
        <v>3769</v>
      </c>
      <c r="GB35" s="1156">
        <v>35162</v>
      </c>
      <c r="GC35" s="1156" t="s">
        <v>3865</v>
      </c>
      <c r="GD35" s="1156">
        <v>49.47</v>
      </c>
      <c r="GE35" s="1156">
        <v>3674</v>
      </c>
      <c r="GF35" s="1156">
        <v>35287</v>
      </c>
      <c r="GG35" s="1156" t="s">
        <v>3873</v>
      </c>
      <c r="GH35" s="1156">
        <v>49.76</v>
      </c>
      <c r="GI35" s="1156">
        <v>3624</v>
      </c>
      <c r="GJ35" s="1156">
        <v>35837</v>
      </c>
      <c r="GK35" s="1156" t="s">
        <v>3874</v>
      </c>
      <c r="GL35" s="1156">
        <v>48.97</v>
      </c>
      <c r="GM35" s="1156">
        <v>3708</v>
      </c>
      <c r="GN35" s="1156">
        <v>35194</v>
      </c>
      <c r="GO35" s="1156" t="s">
        <v>3875</v>
      </c>
      <c r="GP35" s="1156">
        <v>50.25</v>
      </c>
      <c r="GQ35" s="1156">
        <v>3807</v>
      </c>
      <c r="GR35" s="1156">
        <v>35388</v>
      </c>
      <c r="GS35" s="1156" t="s">
        <v>3865</v>
      </c>
      <c r="GT35" s="1156">
        <v>51.49</v>
      </c>
      <c r="GU35" s="1156">
        <v>3909</v>
      </c>
      <c r="GV35" s="1156">
        <v>35176</v>
      </c>
      <c r="GW35" s="1156" t="s">
        <v>3707</v>
      </c>
      <c r="GX35" s="1156">
        <v>51.18</v>
      </c>
      <c r="GY35" s="1156">
        <v>3979</v>
      </c>
      <c r="GZ35" s="1156">
        <v>34437</v>
      </c>
      <c r="HA35" s="1156" t="s">
        <v>3867</v>
      </c>
      <c r="HB35" s="1156">
        <v>49.36</v>
      </c>
      <c r="HC35" s="1156">
        <v>3731</v>
      </c>
      <c r="HD35" s="1156">
        <v>34631</v>
      </c>
      <c r="HE35" s="1156" t="s">
        <v>3642</v>
      </c>
      <c r="HF35" s="1156">
        <v>48.73</v>
      </c>
      <c r="HG35" s="1156">
        <v>3509</v>
      </c>
      <c r="HH35" s="1156">
        <v>34700</v>
      </c>
      <c r="HI35" s="1156" t="s">
        <v>3876</v>
      </c>
      <c r="HJ35" s="1156">
        <v>48.17</v>
      </c>
      <c r="HK35" s="1156">
        <v>3634</v>
      </c>
      <c r="HL35" s="1156">
        <v>34822</v>
      </c>
      <c r="HM35" s="1156" t="s">
        <v>3636</v>
      </c>
      <c r="HN35" s="1156">
        <v>49.57</v>
      </c>
      <c r="HO35" s="1156">
        <v>3692</v>
      </c>
      <c r="HP35" s="1156">
        <v>35295</v>
      </c>
      <c r="HQ35" s="1156" t="s">
        <v>3876</v>
      </c>
      <c r="HR35" s="1156">
        <v>49.94</v>
      </c>
      <c r="HS35" s="1156">
        <v>3719</v>
      </c>
      <c r="HT35" s="1156">
        <v>36191</v>
      </c>
      <c r="HU35" s="1156" t="s">
        <v>3495</v>
      </c>
      <c r="HV35" s="1156">
        <v>49.62</v>
      </c>
      <c r="HW35" s="1156">
        <v>3701</v>
      </c>
      <c r="HX35" s="1156">
        <v>35711</v>
      </c>
      <c r="HY35" s="1156" t="s">
        <v>3874</v>
      </c>
      <c r="HZ35" s="1156">
        <v>49.97</v>
      </c>
      <c r="IA35" s="1156">
        <v>3771</v>
      </c>
      <c r="IB35" s="1156">
        <v>36253</v>
      </c>
      <c r="IC35" s="1156" t="s">
        <v>3729</v>
      </c>
      <c r="ID35" s="1156">
        <v>48.17</v>
      </c>
      <c r="IE35" s="1156">
        <v>3441</v>
      </c>
      <c r="IF35" s="1156">
        <v>36516</v>
      </c>
      <c r="IG35" s="1156" t="s">
        <v>3794</v>
      </c>
      <c r="IH35" s="1156">
        <v>48.1</v>
      </c>
      <c r="II35" s="1156">
        <v>3493</v>
      </c>
      <c r="IJ35" s="1156">
        <v>37129</v>
      </c>
      <c r="IK35" s="1156" t="s">
        <v>3731</v>
      </c>
      <c r="IL35" s="1156">
        <v>52.07</v>
      </c>
      <c r="IM35" s="1156">
        <v>3832</v>
      </c>
      <c r="IN35" s="1156">
        <v>37226</v>
      </c>
      <c r="IO35" s="1156" t="s">
        <v>3799</v>
      </c>
      <c r="IP35" s="1156">
        <v>49.61</v>
      </c>
      <c r="IQ35" s="1156">
        <v>3706</v>
      </c>
      <c r="IR35" s="1156">
        <v>37053</v>
      </c>
      <c r="IS35" s="1156" t="s">
        <v>3849</v>
      </c>
      <c r="IT35" s="1156">
        <v>48.98</v>
      </c>
      <c r="IU35" s="1156">
        <v>3589</v>
      </c>
      <c r="IV35" s="1156">
        <v>37503</v>
      </c>
      <c r="IW35" s="1156" t="s">
        <v>3663</v>
      </c>
      <c r="IX35" s="1156">
        <v>51.24</v>
      </c>
      <c r="IY35" s="1156">
        <v>3898</v>
      </c>
      <c r="IZ35" s="1156">
        <v>37254</v>
      </c>
      <c r="JA35" s="1156" t="s">
        <v>3630</v>
      </c>
      <c r="JB35" s="1156">
        <v>47.21</v>
      </c>
      <c r="JC35" s="1156">
        <v>3437</v>
      </c>
      <c r="JD35" s="1156">
        <v>37177</v>
      </c>
      <c r="JE35" s="1156" t="s">
        <v>3646</v>
      </c>
      <c r="JF35" s="1156">
        <v>47.06</v>
      </c>
      <c r="JG35" s="1156">
        <v>3492</v>
      </c>
      <c r="JH35" s="1156">
        <v>37153</v>
      </c>
      <c r="JI35" s="1156" t="s">
        <v>3627</v>
      </c>
      <c r="JJ35" s="1156">
        <v>47.93</v>
      </c>
      <c r="JK35" s="1156">
        <v>3589</v>
      </c>
      <c r="JL35" s="1156">
        <v>37584</v>
      </c>
      <c r="JM35" s="1156" t="s">
        <v>3877</v>
      </c>
      <c r="JN35" s="1156">
        <v>48.48</v>
      </c>
      <c r="JO35" s="1156">
        <v>3620</v>
      </c>
      <c r="JP35" s="1156">
        <v>36852</v>
      </c>
      <c r="JQ35" s="1156" t="s">
        <v>3648</v>
      </c>
      <c r="JR35" s="1156">
        <v>49.96</v>
      </c>
      <c r="JS35" s="1156">
        <v>3718</v>
      </c>
      <c r="JT35" s="1156">
        <v>37349</v>
      </c>
      <c r="JU35" s="1156" t="s">
        <v>3657</v>
      </c>
      <c r="JV35" s="1156">
        <v>49.33</v>
      </c>
      <c r="JW35" s="1156">
        <v>3746</v>
      </c>
      <c r="JX35" s="1156">
        <v>36991</v>
      </c>
      <c r="JY35" s="1156" t="s">
        <v>3796</v>
      </c>
      <c r="JZ35" s="1156">
        <v>47.88</v>
      </c>
      <c r="KA35" s="1156">
        <v>3711</v>
      </c>
      <c r="KB35" s="1156">
        <v>37433</v>
      </c>
      <c r="KC35" s="1156" t="s">
        <v>3660</v>
      </c>
      <c r="KD35" s="1156">
        <v>52.08</v>
      </c>
      <c r="KE35" s="1156">
        <v>4050</v>
      </c>
      <c r="KF35" s="1156">
        <v>37372</v>
      </c>
      <c r="KG35" s="1156" t="s">
        <v>3726</v>
      </c>
      <c r="KH35" s="1156">
        <v>49.52</v>
      </c>
      <c r="KI35" s="1156">
        <v>3492</v>
      </c>
      <c r="KJ35" s="1156">
        <v>35092</v>
      </c>
      <c r="KK35" s="1156" t="s">
        <v>3637</v>
      </c>
      <c r="KL35" s="1156">
        <v>48.25</v>
      </c>
      <c r="KM35" s="1156">
        <v>3685</v>
      </c>
      <c r="KN35" s="1156">
        <v>36494</v>
      </c>
      <c r="KO35" s="1156" t="s">
        <v>3644</v>
      </c>
      <c r="KP35" s="1156">
        <v>46.22</v>
      </c>
      <c r="KQ35" s="1156">
        <v>4533</v>
      </c>
      <c r="KR35" s="1156">
        <v>45039</v>
      </c>
      <c r="KS35" s="1156" t="s">
        <v>3479</v>
      </c>
      <c r="KT35" s="1156">
        <v>44.55</v>
      </c>
      <c r="KU35" s="1156">
        <v>3631</v>
      </c>
      <c r="KV35" s="1156">
        <v>46448</v>
      </c>
      <c r="KW35" s="1156" t="s">
        <v>3878</v>
      </c>
    </row>
    <row r="36" spans="1:309" s="1156" customFormat="1" ht="13.5">
      <c r="A36" s="1156" t="s">
        <v>3879</v>
      </c>
      <c r="B36" s="1156">
        <v>21.96</v>
      </c>
      <c r="C36" s="1156">
        <v>2003</v>
      </c>
      <c r="D36" s="1156">
        <v>19179</v>
      </c>
      <c r="E36" s="1156" t="s">
        <v>3531</v>
      </c>
      <c r="F36" s="1156">
        <v>22.04</v>
      </c>
      <c r="G36" s="1156">
        <v>1976</v>
      </c>
      <c r="H36" s="1156">
        <v>19174</v>
      </c>
      <c r="I36" s="1156" t="s">
        <v>3880</v>
      </c>
      <c r="J36" s="1156">
        <v>22.17</v>
      </c>
      <c r="K36" s="1156">
        <v>1997</v>
      </c>
      <c r="L36" s="1156">
        <v>19200</v>
      </c>
      <c r="M36" s="1156" t="s">
        <v>3481</v>
      </c>
      <c r="N36" s="1156">
        <v>22.44</v>
      </c>
      <c r="O36" s="1156">
        <v>2011</v>
      </c>
      <c r="P36" s="1156">
        <v>18999</v>
      </c>
      <c r="Q36" s="1156" t="s">
        <v>3456</v>
      </c>
      <c r="R36" s="1156">
        <v>22.27</v>
      </c>
      <c r="S36" s="1156">
        <v>1976</v>
      </c>
      <c r="T36" s="1156">
        <v>19052</v>
      </c>
      <c r="U36" s="1156" t="s">
        <v>3598</v>
      </c>
      <c r="V36" s="1156">
        <v>22.44</v>
      </c>
      <c r="W36" s="1156">
        <v>1994</v>
      </c>
      <c r="X36" s="1156">
        <v>19266</v>
      </c>
      <c r="Y36" s="1156" t="s">
        <v>3832</v>
      </c>
      <c r="Z36" s="1156">
        <v>22.95</v>
      </c>
      <c r="AA36" s="1156">
        <v>2028</v>
      </c>
      <c r="AB36" s="1156">
        <v>19746</v>
      </c>
      <c r="AC36" s="1156" t="s">
        <v>3664</v>
      </c>
      <c r="AD36" s="1156">
        <v>23.19</v>
      </c>
      <c r="AE36" s="1156">
        <v>2080</v>
      </c>
      <c r="AF36" s="1156">
        <v>19290</v>
      </c>
      <c r="AG36" s="1156" t="s">
        <v>3511</v>
      </c>
      <c r="AH36" s="1156">
        <v>23.43</v>
      </c>
      <c r="AI36" s="1156">
        <v>2089</v>
      </c>
      <c r="AJ36" s="1156">
        <v>19496</v>
      </c>
      <c r="AK36" s="1156" t="s">
        <v>3511</v>
      </c>
      <c r="AL36" s="1156">
        <v>23.8</v>
      </c>
      <c r="AM36" s="1156">
        <v>2103</v>
      </c>
      <c r="AN36" s="1156">
        <v>19536</v>
      </c>
      <c r="AO36" s="1156" t="s">
        <v>3842</v>
      </c>
      <c r="AP36" s="1156">
        <v>24.05</v>
      </c>
      <c r="AQ36" s="1156">
        <v>2097</v>
      </c>
      <c r="AR36" s="1156">
        <v>19653</v>
      </c>
      <c r="AS36" s="1156" t="s">
        <v>3661</v>
      </c>
      <c r="AT36" s="1156">
        <v>23.88</v>
      </c>
      <c r="AU36" s="1156">
        <v>2080</v>
      </c>
      <c r="AV36" s="1156">
        <v>19939</v>
      </c>
      <c r="AW36" s="1156" t="s">
        <v>3541</v>
      </c>
      <c r="AX36" s="1156">
        <v>24.21</v>
      </c>
      <c r="AY36" s="1156">
        <v>2108</v>
      </c>
      <c r="AZ36" s="1156">
        <v>19973</v>
      </c>
      <c r="BA36" s="1156" t="s">
        <v>3843</v>
      </c>
      <c r="BB36" s="1156">
        <v>24.17</v>
      </c>
      <c r="BC36" s="1156">
        <v>2128</v>
      </c>
      <c r="BD36" s="1156">
        <v>19550</v>
      </c>
      <c r="BE36" s="1156" t="s">
        <v>3840</v>
      </c>
      <c r="BF36" s="1156">
        <v>24.41</v>
      </c>
      <c r="BG36" s="1156">
        <v>2133</v>
      </c>
      <c r="BH36" s="1156">
        <v>19589</v>
      </c>
      <c r="BI36" s="1156" t="s">
        <v>3500</v>
      </c>
      <c r="BJ36" s="1156">
        <v>24.23</v>
      </c>
      <c r="BK36" s="1156">
        <v>2121</v>
      </c>
      <c r="BL36" s="1156">
        <v>19695</v>
      </c>
      <c r="BM36" s="1156" t="s">
        <v>3499</v>
      </c>
      <c r="BN36" s="1156">
        <v>24.27</v>
      </c>
      <c r="BO36" s="1156">
        <v>2108</v>
      </c>
      <c r="BP36" s="1156">
        <v>19707</v>
      </c>
      <c r="BQ36" s="1156" t="s">
        <v>3544</v>
      </c>
      <c r="BR36" s="1156">
        <v>24.79</v>
      </c>
      <c r="BS36" s="1156">
        <v>2153</v>
      </c>
      <c r="BT36" s="1156">
        <v>19824</v>
      </c>
      <c r="BU36" s="1156" t="s">
        <v>3837</v>
      </c>
      <c r="BV36" s="1156">
        <v>24.94</v>
      </c>
      <c r="BW36" s="1156">
        <v>2193</v>
      </c>
      <c r="BX36" s="1156">
        <v>19851</v>
      </c>
      <c r="BY36" s="1156" t="s">
        <v>3624</v>
      </c>
      <c r="BZ36" s="1156">
        <v>25.75</v>
      </c>
      <c r="CA36" s="1156">
        <v>2224</v>
      </c>
      <c r="CB36" s="1156">
        <v>19859</v>
      </c>
      <c r="CC36" s="1156" t="s">
        <v>3659</v>
      </c>
      <c r="CD36" s="1156">
        <v>26.25</v>
      </c>
      <c r="CE36" s="1156">
        <v>2250</v>
      </c>
      <c r="CF36" s="1156">
        <v>19792</v>
      </c>
      <c r="CG36" s="1156" t="s">
        <v>3490</v>
      </c>
      <c r="CH36" s="1156">
        <v>26.35</v>
      </c>
      <c r="CI36" s="1156">
        <v>2306</v>
      </c>
      <c r="CJ36" s="1156">
        <v>19447</v>
      </c>
      <c r="CK36" s="1156" t="s">
        <v>3881</v>
      </c>
      <c r="CL36" s="1156">
        <v>26.24</v>
      </c>
      <c r="CM36" s="1156">
        <v>2285</v>
      </c>
      <c r="CN36" s="1156">
        <v>19528</v>
      </c>
      <c r="CO36" s="1156" t="s">
        <v>3653</v>
      </c>
      <c r="CP36" s="1156">
        <v>26.33</v>
      </c>
      <c r="CQ36" s="1156">
        <v>2314</v>
      </c>
      <c r="CR36" s="1156">
        <v>19918</v>
      </c>
      <c r="CS36" s="1156" t="s">
        <v>3644</v>
      </c>
      <c r="CT36" s="1156">
        <v>26.39</v>
      </c>
      <c r="CU36" s="1156">
        <v>2325</v>
      </c>
      <c r="CV36" s="1156">
        <v>19610</v>
      </c>
      <c r="CW36" s="1156" t="s">
        <v>3728</v>
      </c>
      <c r="CX36" s="1156">
        <v>26.28</v>
      </c>
      <c r="CY36" s="1156">
        <v>2301</v>
      </c>
      <c r="CZ36" s="1156">
        <v>20082</v>
      </c>
      <c r="DA36" s="1156" t="s">
        <v>3732</v>
      </c>
      <c r="DB36" s="1156">
        <v>26.05</v>
      </c>
      <c r="DC36" s="1156">
        <v>2319</v>
      </c>
      <c r="DD36" s="1156">
        <v>21685</v>
      </c>
      <c r="DE36" s="1156" t="s">
        <v>3511</v>
      </c>
      <c r="DF36" s="1156">
        <v>26.12</v>
      </c>
      <c r="DG36" s="1156">
        <v>2336</v>
      </c>
      <c r="DH36" s="1156">
        <v>21802</v>
      </c>
      <c r="DI36" s="1156" t="s">
        <v>3541</v>
      </c>
      <c r="DJ36" s="1156">
        <v>26.14</v>
      </c>
      <c r="DK36" s="1156">
        <v>2324</v>
      </c>
      <c r="DL36" s="1156">
        <v>22431</v>
      </c>
      <c r="DM36" s="1156" t="s">
        <v>3662</v>
      </c>
      <c r="DN36" s="1156">
        <v>26.42</v>
      </c>
      <c r="DO36" s="1156">
        <v>2317</v>
      </c>
      <c r="DP36" s="1156">
        <v>22522</v>
      </c>
      <c r="DQ36" s="1156" t="s">
        <v>3601</v>
      </c>
      <c r="DR36" s="1156">
        <v>26.45</v>
      </c>
      <c r="DS36" s="1156">
        <v>2346</v>
      </c>
      <c r="DT36" s="1156">
        <v>22592</v>
      </c>
      <c r="DU36" s="1156" t="s">
        <v>3599</v>
      </c>
      <c r="DV36" s="1156">
        <v>26.48</v>
      </c>
      <c r="DW36" s="1156">
        <v>2344</v>
      </c>
      <c r="DX36" s="1156">
        <v>22476</v>
      </c>
      <c r="DY36" s="1156" t="s">
        <v>3522</v>
      </c>
      <c r="DZ36" s="1156">
        <v>26.56</v>
      </c>
      <c r="EA36" s="1156">
        <v>2376</v>
      </c>
      <c r="EB36" s="1156">
        <v>22675</v>
      </c>
      <c r="EC36" s="1156" t="s">
        <v>3599</v>
      </c>
      <c r="ED36" s="1156" t="s">
        <v>633</v>
      </c>
      <c r="EE36" s="1156" t="s">
        <v>633</v>
      </c>
      <c r="EF36" s="1156" t="s">
        <v>633</v>
      </c>
      <c r="EG36" s="1156" t="s">
        <v>633</v>
      </c>
      <c r="EH36" s="1156">
        <v>35.9</v>
      </c>
      <c r="EI36" s="1156">
        <v>2552</v>
      </c>
      <c r="EJ36" s="1156">
        <v>22846</v>
      </c>
      <c r="EK36" s="1156" t="s">
        <v>3737</v>
      </c>
      <c r="EL36" s="1156">
        <v>32.049999999999997</v>
      </c>
      <c r="EM36" s="1156">
        <v>2430</v>
      </c>
      <c r="EN36" s="1156">
        <v>23047</v>
      </c>
      <c r="EO36" s="1156" t="s">
        <v>3875</v>
      </c>
      <c r="EP36" s="1156">
        <v>33.090000000000003</v>
      </c>
      <c r="EQ36" s="1156">
        <v>2400</v>
      </c>
      <c r="ER36" s="1156">
        <v>22897</v>
      </c>
      <c r="ES36" s="1156" t="s">
        <v>3860</v>
      </c>
      <c r="ET36" s="1156">
        <v>32.46</v>
      </c>
      <c r="EU36" s="1156">
        <v>2476</v>
      </c>
      <c r="EV36" s="1156">
        <v>22729</v>
      </c>
      <c r="EW36" s="1156" t="s">
        <v>3638</v>
      </c>
      <c r="EX36" s="1156">
        <v>31.88</v>
      </c>
      <c r="EY36" s="1156">
        <v>2477</v>
      </c>
      <c r="EZ36" s="1156">
        <v>22834</v>
      </c>
      <c r="FA36" s="1156" t="s">
        <v>3882</v>
      </c>
      <c r="FB36" s="1156">
        <v>31.56</v>
      </c>
      <c r="FC36" s="1156">
        <v>2402</v>
      </c>
      <c r="FD36" s="1156">
        <v>23413</v>
      </c>
      <c r="FE36" s="1156" t="s">
        <v>3631</v>
      </c>
      <c r="FF36" s="1156">
        <v>30.77</v>
      </c>
      <c r="FG36" s="1156">
        <v>2328</v>
      </c>
      <c r="FH36" s="1156">
        <v>22928</v>
      </c>
      <c r="FI36" s="1156" t="s">
        <v>3852</v>
      </c>
      <c r="FJ36" s="1156">
        <v>31.7</v>
      </c>
      <c r="FK36" s="1156">
        <v>2358</v>
      </c>
      <c r="FL36" s="1156">
        <v>22704</v>
      </c>
      <c r="FM36" s="1156" t="s">
        <v>3882</v>
      </c>
      <c r="FN36" s="1156">
        <v>34.14</v>
      </c>
      <c r="FO36" s="1156">
        <v>2588</v>
      </c>
      <c r="FP36" s="1156">
        <v>22729</v>
      </c>
      <c r="FQ36" s="1156" t="s">
        <v>3752</v>
      </c>
      <c r="FR36" s="1156">
        <v>35.33</v>
      </c>
      <c r="FS36" s="1156">
        <v>2743</v>
      </c>
      <c r="FT36" s="1156">
        <v>22891</v>
      </c>
      <c r="FU36" s="1156" t="s">
        <v>3742</v>
      </c>
      <c r="FV36" s="1156">
        <v>36.67</v>
      </c>
      <c r="FW36" s="1156">
        <v>2789</v>
      </c>
      <c r="FX36" s="1156">
        <v>22916</v>
      </c>
      <c r="FY36" s="1156" t="s">
        <v>3800</v>
      </c>
      <c r="FZ36" s="1156">
        <v>34.04</v>
      </c>
      <c r="GA36" s="1156">
        <v>2627</v>
      </c>
      <c r="GB36" s="1156">
        <v>22805</v>
      </c>
      <c r="GC36" s="1156" t="s">
        <v>3718</v>
      </c>
      <c r="GD36" s="1156">
        <v>34.33</v>
      </c>
      <c r="GE36" s="1156">
        <v>2684</v>
      </c>
      <c r="GF36" s="1156">
        <v>22778</v>
      </c>
      <c r="GG36" s="1156" t="s">
        <v>3883</v>
      </c>
      <c r="GH36" s="1156">
        <v>33.96</v>
      </c>
      <c r="GI36" s="1156">
        <v>2625</v>
      </c>
      <c r="GJ36" s="1156">
        <v>22295</v>
      </c>
      <c r="GK36" s="1156" t="s">
        <v>3743</v>
      </c>
      <c r="GL36" s="1156">
        <v>33.1</v>
      </c>
      <c r="GM36" s="1156">
        <v>2557</v>
      </c>
      <c r="GN36" s="1156">
        <v>22462</v>
      </c>
      <c r="GO36" s="1156" t="s">
        <v>3705</v>
      </c>
      <c r="GP36" s="1156">
        <v>33.9</v>
      </c>
      <c r="GQ36" s="1156">
        <v>2647</v>
      </c>
      <c r="GR36" s="1156">
        <v>22756</v>
      </c>
      <c r="GS36" s="1156" t="s">
        <v>3856</v>
      </c>
      <c r="GT36" s="1156">
        <v>33.96</v>
      </c>
      <c r="GU36" s="1156">
        <v>2618</v>
      </c>
      <c r="GV36" s="1156">
        <v>23303</v>
      </c>
      <c r="GW36" s="1156" t="s">
        <v>3858</v>
      </c>
      <c r="GX36" s="1156">
        <v>31.17</v>
      </c>
      <c r="GY36" s="1156">
        <v>2431</v>
      </c>
      <c r="GZ36" s="1156">
        <v>22832</v>
      </c>
      <c r="HA36" s="1156" t="s">
        <v>3727</v>
      </c>
      <c r="HB36" s="1156">
        <v>33.799999999999997</v>
      </c>
      <c r="HC36" s="1156">
        <v>2683</v>
      </c>
      <c r="HD36" s="1156">
        <v>23412</v>
      </c>
      <c r="HE36" s="1156" t="s">
        <v>3702</v>
      </c>
      <c r="HF36" s="1156">
        <v>34.33</v>
      </c>
      <c r="HG36" s="1156">
        <v>2654</v>
      </c>
      <c r="HH36" s="1156">
        <v>23246</v>
      </c>
      <c r="HI36" s="1156" t="s">
        <v>3780</v>
      </c>
      <c r="HJ36" s="1156">
        <v>34.369999999999997</v>
      </c>
      <c r="HK36" s="1156">
        <v>2701</v>
      </c>
      <c r="HL36" s="1156">
        <v>23460</v>
      </c>
      <c r="HM36" s="1156" t="s">
        <v>3707</v>
      </c>
      <c r="HN36" s="1156">
        <v>36.99</v>
      </c>
      <c r="HO36" s="1156">
        <v>2798</v>
      </c>
      <c r="HP36" s="1156">
        <v>23772</v>
      </c>
      <c r="HQ36" s="1156" t="s">
        <v>3740</v>
      </c>
      <c r="HR36" s="1156">
        <v>37.4</v>
      </c>
      <c r="HS36" s="1156">
        <v>2926</v>
      </c>
      <c r="HT36" s="1156">
        <v>23481</v>
      </c>
      <c r="HU36" s="1156" t="s">
        <v>3862</v>
      </c>
      <c r="HV36" s="1156">
        <v>37.14</v>
      </c>
      <c r="HW36" s="1156">
        <v>3021</v>
      </c>
      <c r="HX36" s="1156">
        <v>23380</v>
      </c>
      <c r="HY36" s="1156" t="s">
        <v>3768</v>
      </c>
      <c r="HZ36" s="1156">
        <v>37.520000000000003</v>
      </c>
      <c r="IA36" s="1156">
        <v>3100</v>
      </c>
      <c r="IB36" s="1156">
        <v>22863</v>
      </c>
      <c r="IC36" s="1156" t="s">
        <v>3772</v>
      </c>
      <c r="ID36" s="1156">
        <v>38.07</v>
      </c>
      <c r="IE36" s="1156">
        <v>3169</v>
      </c>
      <c r="IF36" s="1156">
        <v>23836</v>
      </c>
      <c r="IG36" s="1156" t="s">
        <v>3777</v>
      </c>
      <c r="IH36" s="1156">
        <v>37.770000000000003</v>
      </c>
      <c r="II36" s="1156">
        <v>3138</v>
      </c>
      <c r="IJ36" s="1156">
        <v>23398</v>
      </c>
      <c r="IK36" s="1156" t="s">
        <v>3863</v>
      </c>
      <c r="IL36" s="1156">
        <v>38.69</v>
      </c>
      <c r="IM36" s="1156">
        <v>3308</v>
      </c>
      <c r="IN36" s="1156">
        <v>22899</v>
      </c>
      <c r="IO36" s="1156" t="s">
        <v>3763</v>
      </c>
      <c r="IP36" s="1156">
        <v>41.41</v>
      </c>
      <c r="IQ36" s="1156">
        <v>3435</v>
      </c>
      <c r="IR36" s="1156">
        <v>22328</v>
      </c>
      <c r="IS36" s="1156" t="s">
        <v>3884</v>
      </c>
      <c r="IT36" s="1156">
        <v>42.99</v>
      </c>
      <c r="IU36" s="1156">
        <v>3415</v>
      </c>
      <c r="IV36" s="1156">
        <v>21979</v>
      </c>
      <c r="IW36" s="1156" t="s">
        <v>3885</v>
      </c>
      <c r="IX36" s="1156">
        <v>39.04</v>
      </c>
      <c r="IY36" s="1156">
        <v>3087</v>
      </c>
      <c r="IZ36" s="1156">
        <v>21491</v>
      </c>
      <c r="JA36" s="1156" t="s">
        <v>3886</v>
      </c>
      <c r="JB36" s="1156">
        <v>34.700000000000003</v>
      </c>
      <c r="JC36" s="1156">
        <v>2839</v>
      </c>
      <c r="JD36" s="1156">
        <v>22440</v>
      </c>
      <c r="JE36" s="1156" t="s">
        <v>3755</v>
      </c>
      <c r="JF36" s="1156">
        <v>32.68</v>
      </c>
      <c r="JG36" s="1156">
        <v>2546</v>
      </c>
      <c r="JH36" s="1156">
        <v>22526</v>
      </c>
      <c r="JI36" s="1156" t="s">
        <v>3778</v>
      </c>
      <c r="JJ36" s="1156">
        <v>32.94</v>
      </c>
      <c r="JK36" s="1156">
        <v>2634</v>
      </c>
      <c r="JL36" s="1156">
        <v>22620</v>
      </c>
      <c r="JM36" s="1156" t="s">
        <v>3652</v>
      </c>
      <c r="JN36" s="1156">
        <v>34.11</v>
      </c>
      <c r="JO36" s="1156">
        <v>2833</v>
      </c>
      <c r="JP36" s="1156">
        <v>22458</v>
      </c>
      <c r="JQ36" s="1156" t="s">
        <v>3887</v>
      </c>
      <c r="JR36" s="1156">
        <v>34.97</v>
      </c>
      <c r="JS36" s="1156">
        <v>2758</v>
      </c>
      <c r="JT36" s="1156">
        <v>23203</v>
      </c>
      <c r="JU36" s="1156" t="s">
        <v>3883</v>
      </c>
      <c r="JV36" s="1156">
        <v>33.729999999999997</v>
      </c>
      <c r="JW36" s="1156">
        <v>2781</v>
      </c>
      <c r="JX36" s="1156">
        <v>22421</v>
      </c>
      <c r="JY36" s="1156" t="s">
        <v>3861</v>
      </c>
      <c r="JZ36" s="1156">
        <v>33.32</v>
      </c>
      <c r="KA36" s="1156">
        <v>2579</v>
      </c>
      <c r="KB36" s="1156">
        <v>22211</v>
      </c>
      <c r="KC36" s="1156" t="s">
        <v>3640</v>
      </c>
      <c r="KD36" s="1156" t="s">
        <v>633</v>
      </c>
      <c r="KE36" s="1156" t="s">
        <v>633</v>
      </c>
      <c r="KF36" s="1156" t="s">
        <v>633</v>
      </c>
      <c r="KG36" s="1156" t="s">
        <v>633</v>
      </c>
      <c r="KH36" s="1156">
        <v>32.82</v>
      </c>
      <c r="KI36" s="1156">
        <v>2617</v>
      </c>
      <c r="KJ36" s="1156">
        <v>27095</v>
      </c>
      <c r="KK36" s="1156" t="s">
        <v>3824</v>
      </c>
      <c r="KL36" s="1156">
        <v>29.05</v>
      </c>
      <c r="KM36" s="1156">
        <v>2525</v>
      </c>
      <c r="KN36" s="1156">
        <v>26039</v>
      </c>
      <c r="KO36" s="1156" t="s">
        <v>3602</v>
      </c>
      <c r="KP36" s="1156">
        <v>36.119999999999997</v>
      </c>
      <c r="KQ36" s="1156">
        <v>3723</v>
      </c>
      <c r="KR36" s="1156">
        <v>25656</v>
      </c>
      <c r="KS36" s="1156" t="s">
        <v>3888</v>
      </c>
      <c r="KT36" s="1156">
        <v>29.63</v>
      </c>
      <c r="KU36" s="1156">
        <v>2461</v>
      </c>
      <c r="KV36" s="1156">
        <v>22255</v>
      </c>
      <c r="KW36" s="1156" t="s">
        <v>3654</v>
      </c>
    </row>
    <row r="37" spans="1:309" s="1156" customFormat="1" ht="13.5">
      <c r="A37" s="1156" t="s">
        <v>3889</v>
      </c>
      <c r="B37" s="1156">
        <v>55.49</v>
      </c>
      <c r="C37" s="1156">
        <v>5471</v>
      </c>
      <c r="D37" s="1156">
        <v>42045</v>
      </c>
      <c r="E37" s="1156" t="s">
        <v>3794</v>
      </c>
      <c r="F37" s="1156">
        <v>55.52</v>
      </c>
      <c r="G37" s="1156">
        <v>5410</v>
      </c>
      <c r="H37" s="1156">
        <v>42541</v>
      </c>
      <c r="I37" s="1156" t="s">
        <v>3663</v>
      </c>
      <c r="J37" s="1156">
        <v>55.9</v>
      </c>
      <c r="K37" s="1156">
        <v>5473</v>
      </c>
      <c r="L37" s="1156">
        <v>42891</v>
      </c>
      <c r="M37" s="1156" t="s">
        <v>3795</v>
      </c>
      <c r="N37" s="1156">
        <v>55.59</v>
      </c>
      <c r="O37" s="1156">
        <v>5417</v>
      </c>
      <c r="P37" s="1156">
        <v>43081</v>
      </c>
      <c r="Q37" s="1156" t="s">
        <v>3890</v>
      </c>
      <c r="R37" s="1156">
        <v>55.59</v>
      </c>
      <c r="S37" s="1156">
        <v>5394</v>
      </c>
      <c r="T37" s="1156">
        <v>43275</v>
      </c>
      <c r="U37" s="1156" t="s">
        <v>3735</v>
      </c>
      <c r="V37" s="1156">
        <v>56.03</v>
      </c>
      <c r="W37" s="1156">
        <v>5486</v>
      </c>
      <c r="X37" s="1156">
        <v>43836</v>
      </c>
      <c r="Y37" s="1156" t="s">
        <v>3660</v>
      </c>
      <c r="Z37" s="1156">
        <v>56.44</v>
      </c>
      <c r="AA37" s="1156">
        <v>5490</v>
      </c>
      <c r="AB37" s="1156">
        <v>43936</v>
      </c>
      <c r="AC37" s="1156" t="s">
        <v>3735</v>
      </c>
      <c r="AD37" s="1156">
        <v>56.97</v>
      </c>
      <c r="AE37" s="1156">
        <v>5557</v>
      </c>
      <c r="AF37" s="1156">
        <v>44282</v>
      </c>
      <c r="AG37" s="1156" t="s">
        <v>3651</v>
      </c>
      <c r="AH37" s="1156">
        <v>57.02</v>
      </c>
      <c r="AI37" s="1156">
        <v>5567</v>
      </c>
      <c r="AJ37" s="1156">
        <v>44392</v>
      </c>
      <c r="AK37" s="1156" t="s">
        <v>3649</v>
      </c>
      <c r="AL37" s="1156">
        <v>57.13</v>
      </c>
      <c r="AM37" s="1156">
        <v>5561</v>
      </c>
      <c r="AN37" s="1156">
        <v>44600</v>
      </c>
      <c r="AO37" s="1156" t="s">
        <v>3650</v>
      </c>
      <c r="AP37" s="1156">
        <v>57.1</v>
      </c>
      <c r="AQ37" s="1156">
        <v>5557</v>
      </c>
      <c r="AR37" s="1156">
        <v>45076</v>
      </c>
      <c r="AS37" s="1156" t="s">
        <v>3627</v>
      </c>
      <c r="AT37" s="1156">
        <v>57.04</v>
      </c>
      <c r="AU37" s="1156">
        <v>5534</v>
      </c>
      <c r="AV37" s="1156">
        <v>45291</v>
      </c>
      <c r="AW37" s="1156" t="s">
        <v>3626</v>
      </c>
      <c r="AX37" s="1156">
        <v>56.97</v>
      </c>
      <c r="AY37" s="1156">
        <v>5560</v>
      </c>
      <c r="AZ37" s="1156">
        <v>45332</v>
      </c>
      <c r="BA37" s="1156" t="s">
        <v>3624</v>
      </c>
      <c r="BB37" s="1156">
        <v>56.91</v>
      </c>
      <c r="BC37" s="1156">
        <v>5546</v>
      </c>
      <c r="BD37" s="1156">
        <v>44491</v>
      </c>
      <c r="BE37" s="1156" t="s">
        <v>3660</v>
      </c>
      <c r="BF37" s="1156">
        <v>56.81</v>
      </c>
      <c r="BG37" s="1156">
        <v>5491</v>
      </c>
      <c r="BH37" s="1156">
        <v>44263</v>
      </c>
      <c r="BI37" s="1156" t="s">
        <v>3649</v>
      </c>
      <c r="BJ37" s="1156">
        <v>56.5</v>
      </c>
      <c r="BK37" s="1156">
        <v>5516</v>
      </c>
      <c r="BL37" s="1156">
        <v>44264</v>
      </c>
      <c r="BM37" s="1156" t="s">
        <v>3891</v>
      </c>
      <c r="BN37" s="1156">
        <v>56.27</v>
      </c>
      <c r="BO37" s="1156">
        <v>5476</v>
      </c>
      <c r="BP37" s="1156">
        <v>44086</v>
      </c>
      <c r="BQ37" s="1156" t="s">
        <v>3891</v>
      </c>
      <c r="BR37" s="1156">
        <v>56.44</v>
      </c>
      <c r="BS37" s="1156">
        <v>5491</v>
      </c>
      <c r="BT37" s="1156">
        <v>44514</v>
      </c>
      <c r="BU37" s="1156" t="s">
        <v>3627</v>
      </c>
      <c r="BV37" s="1156">
        <v>56.84</v>
      </c>
      <c r="BW37" s="1156">
        <v>5542</v>
      </c>
      <c r="BX37" s="1156">
        <v>44274</v>
      </c>
      <c r="BY37" s="1156" t="s">
        <v>3649</v>
      </c>
      <c r="BZ37" s="1156">
        <v>56.95</v>
      </c>
      <c r="CA37" s="1156">
        <v>5631</v>
      </c>
      <c r="CB37" s="1156">
        <v>44427</v>
      </c>
      <c r="CC37" s="1156" t="s">
        <v>3730</v>
      </c>
      <c r="CD37" s="1156">
        <v>56.31</v>
      </c>
      <c r="CE37" s="1156">
        <v>5625</v>
      </c>
      <c r="CF37" s="1156">
        <v>44707</v>
      </c>
      <c r="CG37" s="1156" t="s">
        <v>3626</v>
      </c>
      <c r="CH37" s="1156">
        <v>56.3</v>
      </c>
      <c r="CI37" s="1156">
        <v>5631</v>
      </c>
      <c r="CJ37" s="1156">
        <v>44393</v>
      </c>
      <c r="CK37" s="1156" t="s">
        <v>3627</v>
      </c>
      <c r="CL37" s="1156">
        <v>56.03</v>
      </c>
      <c r="CM37" s="1156">
        <v>5602</v>
      </c>
      <c r="CN37" s="1156">
        <v>44089</v>
      </c>
      <c r="CO37" s="1156" t="s">
        <v>3646</v>
      </c>
      <c r="CP37" s="1156">
        <v>55.94</v>
      </c>
      <c r="CQ37" s="1156">
        <v>5538</v>
      </c>
      <c r="CR37" s="1156">
        <v>44244</v>
      </c>
      <c r="CS37" s="1156" t="s">
        <v>3498</v>
      </c>
      <c r="CT37" s="1156">
        <v>55.95</v>
      </c>
      <c r="CU37" s="1156">
        <v>5529</v>
      </c>
      <c r="CV37" s="1156">
        <v>44316</v>
      </c>
      <c r="CW37" s="1156" t="s">
        <v>3621</v>
      </c>
      <c r="CX37" s="1156">
        <v>55.95</v>
      </c>
      <c r="CY37" s="1156">
        <v>5564</v>
      </c>
      <c r="CZ37" s="1156">
        <v>44175</v>
      </c>
      <c r="DA37" s="1156" t="s">
        <v>3461</v>
      </c>
      <c r="DB37" s="1156">
        <v>55.59</v>
      </c>
      <c r="DC37" s="1156">
        <v>5580</v>
      </c>
      <c r="DD37" s="1156">
        <v>43381</v>
      </c>
      <c r="DE37" s="1156" t="s">
        <v>3730</v>
      </c>
      <c r="DF37" s="1156">
        <v>55.32</v>
      </c>
      <c r="DG37" s="1156">
        <v>5585</v>
      </c>
      <c r="DH37" s="1156">
        <v>43274</v>
      </c>
      <c r="DI37" s="1156" t="s">
        <v>3660</v>
      </c>
      <c r="DJ37" s="1156">
        <v>55.2</v>
      </c>
      <c r="DK37" s="1156">
        <v>5565</v>
      </c>
      <c r="DL37" s="1156">
        <v>43141</v>
      </c>
      <c r="DM37" s="1156" t="s">
        <v>3660</v>
      </c>
      <c r="DN37" s="1156">
        <v>55.47</v>
      </c>
      <c r="DO37" s="1156">
        <v>5574</v>
      </c>
      <c r="DP37" s="1156">
        <v>42916</v>
      </c>
      <c r="DQ37" s="1156" t="s">
        <v>3493</v>
      </c>
      <c r="DR37" s="1156">
        <v>55.83</v>
      </c>
      <c r="DS37" s="1156">
        <v>5607</v>
      </c>
      <c r="DT37" s="1156">
        <v>42858</v>
      </c>
      <c r="DU37" s="1156" t="s">
        <v>3647</v>
      </c>
      <c r="DV37" s="1156">
        <v>56.71</v>
      </c>
      <c r="DW37" s="1156">
        <v>5666</v>
      </c>
      <c r="DX37" s="1156">
        <v>42766</v>
      </c>
      <c r="DY37" s="1156" t="s">
        <v>3490</v>
      </c>
      <c r="DZ37" s="1156">
        <v>57.47</v>
      </c>
      <c r="EA37" s="1156">
        <v>5643</v>
      </c>
      <c r="EB37" s="1156">
        <v>42489</v>
      </c>
      <c r="EC37" s="1156" t="s">
        <v>3633</v>
      </c>
      <c r="ED37" s="1156">
        <v>67.290000000000006</v>
      </c>
      <c r="EE37" s="1156">
        <v>6711</v>
      </c>
      <c r="EF37" s="1156">
        <v>42668</v>
      </c>
      <c r="EG37" s="1156" t="s">
        <v>3757</v>
      </c>
      <c r="EH37" s="1156">
        <v>67.52</v>
      </c>
      <c r="EI37" s="1156">
        <v>6818</v>
      </c>
      <c r="EJ37" s="1156">
        <v>42618</v>
      </c>
      <c r="EK37" s="1156" t="s">
        <v>3771</v>
      </c>
      <c r="EL37" s="1156">
        <v>65.099999999999994</v>
      </c>
      <c r="EM37" s="1156">
        <v>6271</v>
      </c>
      <c r="EN37" s="1156">
        <v>42357</v>
      </c>
      <c r="EO37" s="1156" t="s">
        <v>3747</v>
      </c>
      <c r="EP37" s="1156">
        <v>61.34</v>
      </c>
      <c r="EQ37" s="1156">
        <v>5686</v>
      </c>
      <c r="ER37" s="1156">
        <v>42173</v>
      </c>
      <c r="ES37" s="1156" t="s">
        <v>3711</v>
      </c>
      <c r="ET37" s="1156">
        <v>58.97</v>
      </c>
      <c r="EU37" s="1156">
        <v>5298</v>
      </c>
      <c r="EV37" s="1156">
        <v>40541</v>
      </c>
      <c r="EW37" s="1156" t="s">
        <v>3652</v>
      </c>
      <c r="EX37" s="1156">
        <v>58.78</v>
      </c>
      <c r="EY37" s="1156">
        <v>5323</v>
      </c>
      <c r="EZ37" s="1156">
        <v>39854</v>
      </c>
      <c r="FA37" s="1156" t="s">
        <v>3706</v>
      </c>
      <c r="FB37" s="1156">
        <v>58.09</v>
      </c>
      <c r="FC37" s="1156">
        <v>5300</v>
      </c>
      <c r="FD37" s="1156">
        <v>39581</v>
      </c>
      <c r="FE37" s="1156" t="s">
        <v>3698</v>
      </c>
      <c r="FF37" s="1156">
        <v>55.81</v>
      </c>
      <c r="FG37" s="1156">
        <v>5028</v>
      </c>
      <c r="FH37" s="1156">
        <v>39848</v>
      </c>
      <c r="FI37" s="1156" t="s">
        <v>3709</v>
      </c>
      <c r="FJ37" s="1156">
        <v>56.84</v>
      </c>
      <c r="FK37" s="1156">
        <v>5169</v>
      </c>
      <c r="FL37" s="1156">
        <v>39659</v>
      </c>
      <c r="FM37" s="1156" t="s">
        <v>3713</v>
      </c>
      <c r="FN37" s="1156">
        <v>57.22</v>
      </c>
      <c r="FO37" s="1156">
        <v>5119</v>
      </c>
      <c r="FP37" s="1156">
        <v>39926</v>
      </c>
      <c r="FQ37" s="1156" t="s">
        <v>3713</v>
      </c>
      <c r="FR37" s="1156">
        <v>56.76</v>
      </c>
      <c r="FS37" s="1156">
        <v>5044</v>
      </c>
      <c r="FT37" s="1156">
        <v>41320</v>
      </c>
      <c r="FU37" s="1156" t="s">
        <v>3853</v>
      </c>
      <c r="FV37" s="1156">
        <v>57.61</v>
      </c>
      <c r="FW37" s="1156">
        <v>5160</v>
      </c>
      <c r="FX37" s="1156">
        <v>41071</v>
      </c>
      <c r="FY37" s="1156" t="s">
        <v>3873</v>
      </c>
      <c r="FZ37" s="1156">
        <v>58.9</v>
      </c>
      <c r="GA37" s="1156">
        <v>5372</v>
      </c>
      <c r="GB37" s="1156">
        <v>41192</v>
      </c>
      <c r="GC37" s="1156" t="s">
        <v>3714</v>
      </c>
      <c r="GD37" s="1156">
        <v>59.46</v>
      </c>
      <c r="GE37" s="1156">
        <v>5375</v>
      </c>
      <c r="GF37" s="1156">
        <v>40933</v>
      </c>
      <c r="GG37" s="1156" t="s">
        <v>3711</v>
      </c>
      <c r="GH37" s="1156">
        <v>59.41</v>
      </c>
      <c r="GI37" s="1156">
        <v>5365</v>
      </c>
      <c r="GJ37" s="1156">
        <v>41324</v>
      </c>
      <c r="GK37" s="1156" t="s">
        <v>3851</v>
      </c>
      <c r="GL37" s="1156">
        <v>59.2</v>
      </c>
      <c r="GM37" s="1156">
        <v>5288</v>
      </c>
      <c r="GN37" s="1156">
        <v>41038</v>
      </c>
      <c r="GO37" s="1156" t="s">
        <v>3702</v>
      </c>
      <c r="GP37" s="1156">
        <v>60.43</v>
      </c>
      <c r="GQ37" s="1156">
        <v>5346</v>
      </c>
      <c r="GR37" s="1156">
        <v>41286</v>
      </c>
      <c r="GS37" s="1156" t="s">
        <v>3707</v>
      </c>
      <c r="GT37" s="1156">
        <v>62.25</v>
      </c>
      <c r="GU37" s="1156">
        <v>5544</v>
      </c>
      <c r="GV37" s="1156">
        <v>41467</v>
      </c>
      <c r="GW37" s="1156" t="s">
        <v>3752</v>
      </c>
      <c r="GX37" s="1156">
        <v>60.66</v>
      </c>
      <c r="GY37" s="1156">
        <v>5313</v>
      </c>
      <c r="GZ37" s="1156">
        <v>41405</v>
      </c>
      <c r="HA37" s="1156" t="s">
        <v>3707</v>
      </c>
      <c r="HB37" s="1156">
        <v>60.01</v>
      </c>
      <c r="HC37" s="1156">
        <v>5036</v>
      </c>
      <c r="HD37" s="1156">
        <v>41323</v>
      </c>
      <c r="HE37" s="1156" t="s">
        <v>3778</v>
      </c>
      <c r="HF37" s="1156">
        <v>58.63</v>
      </c>
      <c r="HG37" s="1156">
        <v>5224</v>
      </c>
      <c r="HH37" s="1156">
        <v>41251</v>
      </c>
      <c r="HI37" s="1156" t="s">
        <v>3865</v>
      </c>
      <c r="HJ37" s="1156">
        <v>58.39</v>
      </c>
      <c r="HK37" s="1156">
        <v>5154</v>
      </c>
      <c r="HL37" s="1156">
        <v>41443</v>
      </c>
      <c r="HM37" s="1156" t="s">
        <v>3888</v>
      </c>
      <c r="HN37" s="1156">
        <v>58.95</v>
      </c>
      <c r="HO37" s="1156">
        <v>5148</v>
      </c>
      <c r="HP37" s="1156">
        <v>41962</v>
      </c>
      <c r="HQ37" s="1156" t="s">
        <v>3876</v>
      </c>
      <c r="HR37" s="1156">
        <v>60.04</v>
      </c>
      <c r="HS37" s="1156">
        <v>5266</v>
      </c>
      <c r="HT37" s="1156">
        <v>42513</v>
      </c>
      <c r="HU37" s="1156" t="s">
        <v>3798</v>
      </c>
      <c r="HV37" s="1156">
        <v>60.83</v>
      </c>
      <c r="HW37" s="1156">
        <v>5460</v>
      </c>
      <c r="HX37" s="1156">
        <v>42585</v>
      </c>
      <c r="HY37" s="1156" t="s">
        <v>3638</v>
      </c>
      <c r="HZ37" s="1156">
        <v>61.21</v>
      </c>
      <c r="IA37" s="1156">
        <v>5459</v>
      </c>
      <c r="IB37" s="1156">
        <v>42733</v>
      </c>
      <c r="IC37" s="1156" t="s">
        <v>3713</v>
      </c>
      <c r="ID37" s="1156">
        <v>60.85</v>
      </c>
      <c r="IE37" s="1156">
        <v>5591</v>
      </c>
      <c r="IF37" s="1156">
        <v>42990</v>
      </c>
      <c r="IG37" s="1156" t="s">
        <v>3869</v>
      </c>
      <c r="IH37" s="1156">
        <v>60.71</v>
      </c>
      <c r="II37" s="1156">
        <v>5592</v>
      </c>
      <c r="IJ37" s="1156">
        <v>42983</v>
      </c>
      <c r="IK37" s="1156" t="s">
        <v>3798</v>
      </c>
      <c r="IL37" s="1156">
        <v>62.09</v>
      </c>
      <c r="IM37" s="1156">
        <v>5553</v>
      </c>
      <c r="IN37" s="1156">
        <v>43042</v>
      </c>
      <c r="IO37" s="1156" t="s">
        <v>3702</v>
      </c>
      <c r="IP37" s="1156">
        <v>60.74</v>
      </c>
      <c r="IQ37" s="1156">
        <v>5570</v>
      </c>
      <c r="IR37" s="1156">
        <v>43084</v>
      </c>
      <c r="IS37" s="1156" t="s">
        <v>3637</v>
      </c>
      <c r="IT37" s="1156">
        <v>61.5</v>
      </c>
      <c r="IU37" s="1156">
        <v>5654</v>
      </c>
      <c r="IV37" s="1156">
        <v>43223</v>
      </c>
      <c r="IW37" s="1156" t="s">
        <v>3708</v>
      </c>
      <c r="IX37" s="1156">
        <v>60.04</v>
      </c>
      <c r="IY37" s="1156">
        <v>5520</v>
      </c>
      <c r="IZ37" s="1156">
        <v>43215</v>
      </c>
      <c r="JA37" s="1156" t="s">
        <v>3874</v>
      </c>
      <c r="JB37" s="1156">
        <v>59.12</v>
      </c>
      <c r="JC37" s="1156">
        <v>5446</v>
      </c>
      <c r="JD37" s="1156">
        <v>43310</v>
      </c>
      <c r="JE37" s="1156" t="s">
        <v>3727</v>
      </c>
      <c r="JF37" s="1156">
        <v>60.38</v>
      </c>
      <c r="JG37" s="1156">
        <v>5624</v>
      </c>
      <c r="JH37" s="1156">
        <v>43334</v>
      </c>
      <c r="JI37" s="1156" t="s">
        <v>3726</v>
      </c>
      <c r="JJ37" s="1156">
        <v>59.49</v>
      </c>
      <c r="JK37" s="1156">
        <v>5547</v>
      </c>
      <c r="JL37" s="1156">
        <v>43538</v>
      </c>
      <c r="JM37" s="1156" t="s">
        <v>3635</v>
      </c>
      <c r="JN37" s="1156">
        <v>61.61</v>
      </c>
      <c r="JO37" s="1156">
        <v>5850</v>
      </c>
      <c r="JP37" s="1156">
        <v>43758</v>
      </c>
      <c r="JQ37" s="1156" t="s">
        <v>3888</v>
      </c>
      <c r="JR37" s="1156">
        <v>57.5</v>
      </c>
      <c r="JS37" s="1156">
        <v>5178</v>
      </c>
      <c r="JT37" s="1156">
        <v>43989</v>
      </c>
      <c r="JU37" s="1156" t="s">
        <v>3416</v>
      </c>
      <c r="JV37" s="1156">
        <v>56.38</v>
      </c>
      <c r="JW37" s="1156">
        <v>5127</v>
      </c>
      <c r="JX37" s="1156">
        <v>43661</v>
      </c>
      <c r="JY37" s="1156" t="s">
        <v>3493</v>
      </c>
      <c r="JZ37" s="1156">
        <v>62.31</v>
      </c>
      <c r="KA37" s="1156">
        <v>5756</v>
      </c>
      <c r="KB37" s="1156">
        <v>43640</v>
      </c>
      <c r="KC37" s="1156" t="s">
        <v>3638</v>
      </c>
      <c r="KD37" s="1156">
        <v>57.43</v>
      </c>
      <c r="KE37" s="1156">
        <v>5191</v>
      </c>
      <c r="KF37" s="1156">
        <v>43432</v>
      </c>
      <c r="KG37" s="1156" t="s">
        <v>3644</v>
      </c>
      <c r="KH37" s="1156">
        <v>55.51</v>
      </c>
      <c r="KI37" s="1156">
        <v>4760</v>
      </c>
      <c r="KJ37" s="1156">
        <v>41096</v>
      </c>
      <c r="KK37" s="1156" t="s">
        <v>3526</v>
      </c>
      <c r="KL37" s="1156">
        <v>63.46</v>
      </c>
      <c r="KM37" s="1156">
        <v>6708</v>
      </c>
      <c r="KN37" s="1156">
        <v>42874</v>
      </c>
      <c r="KO37" s="1156" t="s">
        <v>3715</v>
      </c>
      <c r="KP37" s="1156">
        <v>53.74</v>
      </c>
      <c r="KQ37" s="1156">
        <v>5304</v>
      </c>
      <c r="KR37" s="1156">
        <v>46692</v>
      </c>
      <c r="KS37" s="1156" t="s">
        <v>3828</v>
      </c>
      <c r="KT37" s="1156">
        <v>48.35</v>
      </c>
      <c r="KU37" s="1156">
        <v>4502</v>
      </c>
      <c r="KV37" s="1156">
        <v>46370</v>
      </c>
      <c r="KW37" s="1156" t="s">
        <v>3425</v>
      </c>
    </row>
    <row r="38" spans="1:309" s="1156" customFormat="1" ht="13.5">
      <c r="A38" s="1156" t="s">
        <v>3892</v>
      </c>
      <c r="B38" s="1156">
        <v>38.58</v>
      </c>
      <c r="C38" s="1156">
        <v>3388</v>
      </c>
      <c r="D38" s="1156">
        <v>23868</v>
      </c>
      <c r="E38" s="1156" t="s">
        <v>3863</v>
      </c>
      <c r="F38" s="1156">
        <v>38.72</v>
      </c>
      <c r="G38" s="1156">
        <v>3384</v>
      </c>
      <c r="H38" s="1156">
        <v>24090</v>
      </c>
      <c r="I38" s="1156" t="s">
        <v>3758</v>
      </c>
      <c r="J38" s="1156">
        <v>38.909999999999997</v>
      </c>
      <c r="K38" s="1156">
        <v>3373</v>
      </c>
      <c r="L38" s="1156">
        <v>24392</v>
      </c>
      <c r="M38" s="1156" t="s">
        <v>3893</v>
      </c>
      <c r="N38" s="1156">
        <v>38.68</v>
      </c>
      <c r="O38" s="1156">
        <v>3339</v>
      </c>
      <c r="P38" s="1156">
        <v>24563</v>
      </c>
      <c r="Q38" s="1156" t="s">
        <v>3774</v>
      </c>
      <c r="R38" s="1156">
        <v>38.81</v>
      </c>
      <c r="S38" s="1156">
        <v>3358</v>
      </c>
      <c r="T38" s="1156">
        <v>24645</v>
      </c>
      <c r="U38" s="1156" t="s">
        <v>3774</v>
      </c>
      <c r="V38" s="1156">
        <v>38.83</v>
      </c>
      <c r="W38" s="1156">
        <v>3382</v>
      </c>
      <c r="X38" s="1156">
        <v>24623</v>
      </c>
      <c r="Y38" s="1156" t="s">
        <v>3757</v>
      </c>
      <c r="Z38" s="1156">
        <v>39.049999999999997</v>
      </c>
      <c r="AA38" s="1156">
        <v>3421</v>
      </c>
      <c r="AB38" s="1156">
        <v>24862</v>
      </c>
      <c r="AC38" s="1156" t="s">
        <v>3894</v>
      </c>
      <c r="AD38" s="1156">
        <v>39.44</v>
      </c>
      <c r="AE38" s="1156">
        <v>3450</v>
      </c>
      <c r="AF38" s="1156">
        <v>24912</v>
      </c>
      <c r="AG38" s="1156" t="s">
        <v>3770</v>
      </c>
      <c r="AH38" s="1156">
        <v>39.49</v>
      </c>
      <c r="AI38" s="1156">
        <v>3456</v>
      </c>
      <c r="AJ38" s="1156">
        <v>25128</v>
      </c>
      <c r="AK38" s="1156" t="s">
        <v>3737</v>
      </c>
      <c r="AL38" s="1156">
        <v>39.42</v>
      </c>
      <c r="AM38" s="1156">
        <v>3478</v>
      </c>
      <c r="AN38" s="1156">
        <v>25284</v>
      </c>
      <c r="AO38" s="1156" t="s">
        <v>3776</v>
      </c>
      <c r="AP38" s="1156">
        <v>39.29</v>
      </c>
      <c r="AQ38" s="1156">
        <v>3456</v>
      </c>
      <c r="AR38" s="1156">
        <v>25863</v>
      </c>
      <c r="AS38" s="1156" t="s">
        <v>3887</v>
      </c>
      <c r="AT38" s="1156">
        <v>39.130000000000003</v>
      </c>
      <c r="AU38" s="1156">
        <v>3435</v>
      </c>
      <c r="AV38" s="1156">
        <v>25948</v>
      </c>
      <c r="AW38" s="1156" t="s">
        <v>3753</v>
      </c>
      <c r="AX38" s="1156">
        <v>39.1</v>
      </c>
      <c r="AY38" s="1156">
        <v>3445</v>
      </c>
      <c r="AZ38" s="1156">
        <v>26117</v>
      </c>
      <c r="BA38" s="1156" t="s">
        <v>3749</v>
      </c>
      <c r="BB38" s="1156">
        <v>39.049999999999997</v>
      </c>
      <c r="BC38" s="1156">
        <v>3440</v>
      </c>
      <c r="BD38" s="1156">
        <v>25725</v>
      </c>
      <c r="BE38" s="1156" t="s">
        <v>3750</v>
      </c>
      <c r="BF38" s="1156">
        <v>38.93</v>
      </c>
      <c r="BG38" s="1156">
        <v>3426</v>
      </c>
      <c r="BH38" s="1156">
        <v>25835</v>
      </c>
      <c r="BI38" s="1156" t="s">
        <v>3883</v>
      </c>
      <c r="BJ38" s="1156">
        <v>38.729999999999997</v>
      </c>
      <c r="BK38" s="1156">
        <v>3376</v>
      </c>
      <c r="BL38" s="1156">
        <v>25719</v>
      </c>
      <c r="BM38" s="1156" t="s">
        <v>3883</v>
      </c>
      <c r="BN38" s="1156">
        <v>38.46</v>
      </c>
      <c r="BO38" s="1156">
        <v>3383</v>
      </c>
      <c r="BP38" s="1156">
        <v>25725</v>
      </c>
      <c r="BQ38" s="1156" t="s">
        <v>3895</v>
      </c>
      <c r="BR38" s="1156">
        <v>38.6</v>
      </c>
      <c r="BS38" s="1156">
        <v>3398</v>
      </c>
      <c r="BT38" s="1156">
        <v>25917</v>
      </c>
      <c r="BU38" s="1156" t="s">
        <v>3856</v>
      </c>
      <c r="BV38" s="1156">
        <v>38.619999999999997</v>
      </c>
      <c r="BW38" s="1156">
        <v>3428</v>
      </c>
      <c r="BX38" s="1156">
        <v>26183</v>
      </c>
      <c r="BY38" s="1156" t="s">
        <v>3706</v>
      </c>
      <c r="BZ38" s="1156">
        <v>38.64</v>
      </c>
      <c r="CA38" s="1156">
        <v>3432</v>
      </c>
      <c r="CB38" s="1156">
        <v>26216</v>
      </c>
      <c r="CC38" s="1156" t="s">
        <v>3706</v>
      </c>
      <c r="CD38" s="1156">
        <v>38.450000000000003</v>
      </c>
      <c r="CE38" s="1156">
        <v>3424</v>
      </c>
      <c r="CF38" s="1156">
        <v>26630</v>
      </c>
      <c r="CG38" s="1156" t="s">
        <v>3702</v>
      </c>
      <c r="CH38" s="1156">
        <v>38.31</v>
      </c>
      <c r="CI38" s="1156">
        <v>3416</v>
      </c>
      <c r="CJ38" s="1156">
        <v>26329</v>
      </c>
      <c r="CK38" s="1156" t="s">
        <v>3652</v>
      </c>
      <c r="CL38" s="1156">
        <v>38.229999999999997</v>
      </c>
      <c r="CM38" s="1156">
        <v>3410</v>
      </c>
      <c r="CN38" s="1156">
        <v>26341</v>
      </c>
      <c r="CO38" s="1156" t="s">
        <v>3778</v>
      </c>
      <c r="CP38" s="1156">
        <v>38.08</v>
      </c>
      <c r="CQ38" s="1156">
        <v>3397</v>
      </c>
      <c r="CR38" s="1156">
        <v>26460</v>
      </c>
      <c r="CS38" s="1156" t="s">
        <v>3641</v>
      </c>
      <c r="CT38" s="1156">
        <v>38.1</v>
      </c>
      <c r="CU38" s="1156">
        <v>3413</v>
      </c>
      <c r="CV38" s="1156">
        <v>26400</v>
      </c>
      <c r="CW38" s="1156" t="s">
        <v>3702</v>
      </c>
      <c r="CX38" s="1156">
        <v>38.18</v>
      </c>
      <c r="CY38" s="1156">
        <v>3408</v>
      </c>
      <c r="CZ38" s="1156">
        <v>26607</v>
      </c>
      <c r="DA38" s="1156" t="s">
        <v>3703</v>
      </c>
      <c r="DB38" s="1156">
        <v>37.81</v>
      </c>
      <c r="DC38" s="1156">
        <v>3364</v>
      </c>
      <c r="DD38" s="1156">
        <v>25479</v>
      </c>
      <c r="DE38" s="1156" t="s">
        <v>3857</v>
      </c>
      <c r="DF38" s="1156">
        <v>37.29</v>
      </c>
      <c r="DG38" s="1156">
        <v>3309</v>
      </c>
      <c r="DH38" s="1156">
        <v>25530</v>
      </c>
      <c r="DI38" s="1156" t="s">
        <v>3700</v>
      </c>
      <c r="DJ38" s="1156">
        <v>37.15</v>
      </c>
      <c r="DK38" s="1156">
        <v>3301</v>
      </c>
      <c r="DL38" s="1156">
        <v>25513</v>
      </c>
      <c r="DM38" s="1156" t="s">
        <v>3652</v>
      </c>
      <c r="DN38" s="1156">
        <v>37.29</v>
      </c>
      <c r="DO38" s="1156">
        <v>3295</v>
      </c>
      <c r="DP38" s="1156">
        <v>25497</v>
      </c>
      <c r="DQ38" s="1156" t="s">
        <v>3699</v>
      </c>
      <c r="DR38" s="1156">
        <v>37.67</v>
      </c>
      <c r="DS38" s="1156">
        <v>3356</v>
      </c>
      <c r="DT38" s="1156">
        <v>25615</v>
      </c>
      <c r="DU38" s="1156" t="s">
        <v>3717</v>
      </c>
      <c r="DV38" s="1156">
        <v>38.33</v>
      </c>
      <c r="DW38" s="1156">
        <v>3438</v>
      </c>
      <c r="DX38" s="1156">
        <v>25641</v>
      </c>
      <c r="DY38" s="1156" t="s">
        <v>3895</v>
      </c>
      <c r="DZ38" s="1156">
        <v>38.65</v>
      </c>
      <c r="EA38" s="1156">
        <v>3473</v>
      </c>
      <c r="EB38" s="1156">
        <v>25653</v>
      </c>
      <c r="EC38" s="1156" t="s">
        <v>3883</v>
      </c>
      <c r="ED38" s="1156">
        <v>39.54</v>
      </c>
      <c r="EE38" s="1156">
        <v>3385</v>
      </c>
      <c r="EF38" s="1156">
        <v>25694</v>
      </c>
      <c r="EG38" s="1156" t="s">
        <v>3746</v>
      </c>
      <c r="EH38" s="1156">
        <v>39.9</v>
      </c>
      <c r="EI38" s="1156">
        <v>3422</v>
      </c>
      <c r="EJ38" s="1156">
        <v>25989</v>
      </c>
      <c r="EK38" s="1156" t="s">
        <v>3747</v>
      </c>
      <c r="EL38" s="1156">
        <v>40.049999999999997</v>
      </c>
      <c r="EM38" s="1156">
        <v>3451</v>
      </c>
      <c r="EN38" s="1156">
        <v>25855</v>
      </c>
      <c r="EO38" s="1156" t="s">
        <v>3775</v>
      </c>
      <c r="EP38" s="1156">
        <v>38.71</v>
      </c>
      <c r="EQ38" s="1156">
        <v>3312</v>
      </c>
      <c r="ER38" s="1156">
        <v>25874</v>
      </c>
      <c r="ES38" s="1156" t="s">
        <v>3749</v>
      </c>
      <c r="ET38" s="1156">
        <v>38.15</v>
      </c>
      <c r="EU38" s="1156">
        <v>3221</v>
      </c>
      <c r="EV38" s="1156">
        <v>25253</v>
      </c>
      <c r="EW38" s="1156" t="s">
        <v>3751</v>
      </c>
      <c r="EX38" s="1156">
        <v>38.35</v>
      </c>
      <c r="EY38" s="1156">
        <v>3248</v>
      </c>
      <c r="EZ38" s="1156">
        <v>25035</v>
      </c>
      <c r="FA38" s="1156" t="s">
        <v>3745</v>
      </c>
      <c r="FB38" s="1156">
        <v>37.880000000000003</v>
      </c>
      <c r="FC38" s="1156">
        <v>3178</v>
      </c>
      <c r="FD38" s="1156">
        <v>24738</v>
      </c>
      <c r="FE38" s="1156" t="s">
        <v>3745</v>
      </c>
      <c r="FF38" s="1156">
        <v>37.92</v>
      </c>
      <c r="FG38" s="1156">
        <v>3156</v>
      </c>
      <c r="FH38" s="1156">
        <v>24748</v>
      </c>
      <c r="FI38" s="1156" t="s">
        <v>3745</v>
      </c>
      <c r="FJ38" s="1156">
        <v>37.83</v>
      </c>
      <c r="FK38" s="1156">
        <v>3131</v>
      </c>
      <c r="FL38" s="1156">
        <v>25006</v>
      </c>
      <c r="FM38" s="1156" t="s">
        <v>3748</v>
      </c>
      <c r="FN38" s="1156">
        <v>38.119999999999997</v>
      </c>
      <c r="FO38" s="1156">
        <v>3152</v>
      </c>
      <c r="FP38" s="1156">
        <v>25125</v>
      </c>
      <c r="FQ38" s="1156" t="s">
        <v>3750</v>
      </c>
      <c r="FR38" s="1156">
        <v>38.43</v>
      </c>
      <c r="FS38" s="1156">
        <v>3194</v>
      </c>
      <c r="FT38" s="1156">
        <v>25785</v>
      </c>
      <c r="FU38" s="1156" t="s">
        <v>3856</v>
      </c>
      <c r="FV38" s="1156">
        <v>38.64</v>
      </c>
      <c r="FW38" s="1156">
        <v>3247</v>
      </c>
      <c r="FX38" s="1156">
        <v>25592</v>
      </c>
      <c r="FY38" s="1156" t="s">
        <v>3751</v>
      </c>
      <c r="FZ38" s="1156">
        <v>38.68</v>
      </c>
      <c r="GA38" s="1156">
        <v>3173</v>
      </c>
      <c r="GB38" s="1156">
        <v>25537</v>
      </c>
      <c r="GC38" s="1156" t="s">
        <v>3754</v>
      </c>
      <c r="GD38" s="1156">
        <v>38.82</v>
      </c>
      <c r="GE38" s="1156">
        <v>3141</v>
      </c>
      <c r="GF38" s="1156">
        <v>25649</v>
      </c>
      <c r="GG38" s="1156" t="s">
        <v>3748</v>
      </c>
      <c r="GH38" s="1156">
        <v>38.520000000000003</v>
      </c>
      <c r="GI38" s="1156">
        <v>3165</v>
      </c>
      <c r="GJ38" s="1156">
        <v>25603</v>
      </c>
      <c r="GK38" s="1156" t="s">
        <v>3861</v>
      </c>
      <c r="GL38" s="1156">
        <v>38.409999999999997</v>
      </c>
      <c r="GM38" s="1156">
        <v>3130</v>
      </c>
      <c r="GN38" s="1156">
        <v>25583</v>
      </c>
      <c r="GO38" s="1156" t="s">
        <v>3752</v>
      </c>
      <c r="GP38" s="1156">
        <v>39.11</v>
      </c>
      <c r="GQ38" s="1156">
        <v>3224</v>
      </c>
      <c r="GR38" s="1156">
        <v>25418</v>
      </c>
      <c r="GS38" s="1156" t="s">
        <v>3746</v>
      </c>
      <c r="GT38" s="1156">
        <v>38.69</v>
      </c>
      <c r="GU38" s="1156">
        <v>3237</v>
      </c>
      <c r="GV38" s="1156">
        <v>28904</v>
      </c>
      <c r="GW38" s="1156" t="s">
        <v>3849</v>
      </c>
      <c r="GX38" s="1156">
        <v>37.29</v>
      </c>
      <c r="GY38" s="1156">
        <v>3171</v>
      </c>
      <c r="GZ38" s="1156">
        <v>25099</v>
      </c>
      <c r="HA38" s="1156" t="s">
        <v>3867</v>
      </c>
      <c r="HB38" s="1156">
        <v>36.96</v>
      </c>
      <c r="HC38" s="1156">
        <v>3111</v>
      </c>
      <c r="HD38" s="1156">
        <v>25226</v>
      </c>
      <c r="HE38" s="1156" t="s">
        <v>3707</v>
      </c>
      <c r="HF38" s="1156">
        <v>37.270000000000003</v>
      </c>
      <c r="HG38" s="1156">
        <v>3142</v>
      </c>
      <c r="HH38" s="1156">
        <v>25337</v>
      </c>
      <c r="HI38" s="1156" t="s">
        <v>3717</v>
      </c>
      <c r="HJ38" s="1156">
        <v>37.9</v>
      </c>
      <c r="HK38" s="1156">
        <v>3175</v>
      </c>
      <c r="HL38" s="1156">
        <v>25496</v>
      </c>
      <c r="HM38" s="1156" t="s">
        <v>3867</v>
      </c>
      <c r="HN38" s="1156">
        <v>39.56</v>
      </c>
      <c r="HO38" s="1156">
        <v>3290</v>
      </c>
      <c r="HP38" s="1156">
        <v>25619</v>
      </c>
      <c r="HQ38" s="1156" t="s">
        <v>3742</v>
      </c>
      <c r="HR38" s="1156">
        <v>39.369999999999997</v>
      </c>
      <c r="HS38" s="1156">
        <v>3239</v>
      </c>
      <c r="HT38" s="1156">
        <v>25869</v>
      </c>
      <c r="HU38" s="1156" t="s">
        <v>3743</v>
      </c>
      <c r="HV38" s="1156">
        <v>38.770000000000003</v>
      </c>
      <c r="HW38" s="1156">
        <v>3246</v>
      </c>
      <c r="HX38" s="1156">
        <v>25857</v>
      </c>
      <c r="HY38" s="1156" t="s">
        <v>3640</v>
      </c>
      <c r="HZ38" s="1156">
        <v>39.380000000000003</v>
      </c>
      <c r="IA38" s="1156">
        <v>3333</v>
      </c>
      <c r="IB38" s="1156">
        <v>25974</v>
      </c>
      <c r="IC38" s="1156" t="s">
        <v>3754</v>
      </c>
      <c r="ID38" s="1156">
        <v>38.770000000000003</v>
      </c>
      <c r="IE38" s="1156">
        <v>3253</v>
      </c>
      <c r="IF38" s="1156">
        <v>26049</v>
      </c>
      <c r="IG38" s="1156" t="s">
        <v>3864</v>
      </c>
      <c r="IH38" s="1156">
        <v>38.450000000000003</v>
      </c>
      <c r="II38" s="1156">
        <v>3212</v>
      </c>
      <c r="IJ38" s="1156">
        <v>26318</v>
      </c>
      <c r="IK38" s="1156" t="s">
        <v>3699</v>
      </c>
      <c r="IL38" s="1156">
        <v>40.159999999999997</v>
      </c>
      <c r="IM38" s="1156">
        <v>3339</v>
      </c>
      <c r="IN38" s="1156">
        <v>26267</v>
      </c>
      <c r="IO38" s="1156" t="s">
        <v>3720</v>
      </c>
      <c r="IP38" s="1156">
        <v>38.65</v>
      </c>
      <c r="IQ38" s="1156">
        <v>3263</v>
      </c>
      <c r="IR38" s="1156">
        <v>26207</v>
      </c>
      <c r="IS38" s="1156" t="s">
        <v>3706</v>
      </c>
      <c r="IT38" s="1156">
        <v>39.21</v>
      </c>
      <c r="IU38" s="1156">
        <v>3304</v>
      </c>
      <c r="IV38" s="1156">
        <v>26280</v>
      </c>
      <c r="IW38" s="1156" t="s">
        <v>3718</v>
      </c>
      <c r="IX38" s="1156">
        <v>37.93</v>
      </c>
      <c r="IY38" s="1156">
        <v>3173</v>
      </c>
      <c r="IZ38" s="1156">
        <v>26290</v>
      </c>
      <c r="JA38" s="1156" t="s">
        <v>3702</v>
      </c>
      <c r="JB38" s="1156">
        <v>36.44</v>
      </c>
      <c r="JC38" s="1156">
        <v>3088</v>
      </c>
      <c r="JD38" s="1156">
        <v>26349</v>
      </c>
      <c r="JE38" s="1156" t="s">
        <v>3636</v>
      </c>
      <c r="JF38" s="1156">
        <v>36.86</v>
      </c>
      <c r="JG38" s="1156">
        <v>3132</v>
      </c>
      <c r="JH38" s="1156">
        <v>26376</v>
      </c>
      <c r="JI38" s="1156" t="s">
        <v>3882</v>
      </c>
      <c r="JJ38" s="1156">
        <v>37.200000000000003</v>
      </c>
      <c r="JK38" s="1156">
        <v>3164</v>
      </c>
      <c r="JL38" s="1156">
        <v>26756</v>
      </c>
      <c r="JM38" s="1156" t="s">
        <v>3875</v>
      </c>
      <c r="JN38" s="1156">
        <v>37.479999999999997</v>
      </c>
      <c r="JO38" s="1156">
        <v>3269</v>
      </c>
      <c r="JP38" s="1156">
        <v>26733</v>
      </c>
      <c r="JQ38" s="1156" t="s">
        <v>3873</v>
      </c>
      <c r="JR38" s="1156">
        <v>37.61</v>
      </c>
      <c r="JS38" s="1156">
        <v>3171</v>
      </c>
      <c r="JT38" s="1156">
        <v>26955</v>
      </c>
      <c r="JU38" s="1156" t="s">
        <v>3870</v>
      </c>
      <c r="JV38" s="1156">
        <v>35.5</v>
      </c>
      <c r="JW38" s="1156">
        <v>3000</v>
      </c>
      <c r="JX38" s="1156">
        <v>26914</v>
      </c>
      <c r="JY38" s="1156" t="s">
        <v>3794</v>
      </c>
      <c r="JZ38" s="1156">
        <v>37.049999999999997</v>
      </c>
      <c r="KA38" s="1156">
        <v>3070</v>
      </c>
      <c r="KB38" s="1156">
        <v>27072</v>
      </c>
      <c r="KC38" s="1156" t="s">
        <v>3854</v>
      </c>
      <c r="KD38" s="1156">
        <v>31.71</v>
      </c>
      <c r="KE38" s="1156">
        <v>2659</v>
      </c>
      <c r="KF38" s="1156">
        <v>26841</v>
      </c>
      <c r="KG38" s="1156" t="s">
        <v>3528</v>
      </c>
      <c r="KH38" s="1156">
        <v>32.75</v>
      </c>
      <c r="KI38" s="1156">
        <v>2449</v>
      </c>
      <c r="KJ38" s="1156">
        <v>30193</v>
      </c>
      <c r="KK38" s="1156" t="s">
        <v>3789</v>
      </c>
      <c r="KL38" s="1156">
        <v>31.31</v>
      </c>
      <c r="KM38" s="1156">
        <v>2645</v>
      </c>
      <c r="KN38" s="1156">
        <v>29903</v>
      </c>
      <c r="KO38" s="1156" t="s">
        <v>3520</v>
      </c>
      <c r="KP38" s="1156">
        <v>36.97</v>
      </c>
      <c r="KQ38" s="1156">
        <v>4142</v>
      </c>
      <c r="KR38" s="1156">
        <v>30973</v>
      </c>
      <c r="KS38" s="1156" t="s">
        <v>3896</v>
      </c>
      <c r="KT38" s="1156">
        <v>29.64</v>
      </c>
      <c r="KU38" s="1156">
        <v>2627</v>
      </c>
      <c r="KV38" s="1156">
        <v>31425</v>
      </c>
      <c r="KW38" s="1156" t="s">
        <v>3415</v>
      </c>
    </row>
    <row r="39" spans="1:309" s="1156" customFormat="1" ht="13.5">
      <c r="A39" s="1156" t="s">
        <v>3897</v>
      </c>
      <c r="B39" s="1156">
        <v>77.72</v>
      </c>
      <c r="C39" s="1156">
        <v>5958</v>
      </c>
      <c r="D39" s="1156">
        <v>50584</v>
      </c>
      <c r="E39" s="1156" t="s">
        <v>3747</v>
      </c>
      <c r="F39" s="1156">
        <v>77.61</v>
      </c>
      <c r="G39" s="1156">
        <v>5941</v>
      </c>
      <c r="H39" s="1156">
        <v>51255</v>
      </c>
      <c r="I39" s="1156" t="s">
        <v>3754</v>
      </c>
      <c r="J39" s="1156">
        <v>77.78</v>
      </c>
      <c r="K39" s="1156">
        <v>5947</v>
      </c>
      <c r="L39" s="1156">
        <v>51549</v>
      </c>
      <c r="M39" s="1156" t="s">
        <v>3753</v>
      </c>
      <c r="N39" s="1156">
        <v>77.150000000000006</v>
      </c>
      <c r="O39" s="1156">
        <v>5958</v>
      </c>
      <c r="P39" s="1156">
        <v>51695</v>
      </c>
      <c r="Q39" s="1156" t="s">
        <v>3718</v>
      </c>
      <c r="R39" s="1156">
        <v>76.989999999999995</v>
      </c>
      <c r="S39" s="1156">
        <v>5959</v>
      </c>
      <c r="T39" s="1156">
        <v>51834</v>
      </c>
      <c r="U39" s="1156" t="s">
        <v>3867</v>
      </c>
      <c r="V39" s="1156">
        <v>77.33</v>
      </c>
      <c r="W39" s="1156">
        <v>5916</v>
      </c>
      <c r="X39" s="1156">
        <v>51898</v>
      </c>
      <c r="Y39" s="1156" t="s">
        <v>3856</v>
      </c>
      <c r="Z39" s="1156">
        <v>77.81</v>
      </c>
      <c r="AA39" s="1156">
        <v>6004</v>
      </c>
      <c r="AB39" s="1156">
        <v>52560</v>
      </c>
      <c r="AC39" s="1156" t="s">
        <v>3721</v>
      </c>
      <c r="AD39" s="1156">
        <v>77.83</v>
      </c>
      <c r="AE39" s="1156">
        <v>5979</v>
      </c>
      <c r="AF39" s="1156">
        <v>52437</v>
      </c>
      <c r="AG39" s="1156" t="s">
        <v>3857</v>
      </c>
      <c r="AH39" s="1156">
        <v>77.739999999999995</v>
      </c>
      <c r="AI39" s="1156">
        <v>6033</v>
      </c>
      <c r="AJ39" s="1156">
        <v>52685</v>
      </c>
      <c r="AK39" s="1156" t="s">
        <v>3706</v>
      </c>
      <c r="AL39" s="1156">
        <v>77.650000000000006</v>
      </c>
      <c r="AM39" s="1156">
        <v>6022</v>
      </c>
      <c r="AN39" s="1156">
        <v>52943</v>
      </c>
      <c r="AO39" s="1156" t="s">
        <v>3716</v>
      </c>
      <c r="AP39" s="1156">
        <v>77.28</v>
      </c>
      <c r="AQ39" s="1156">
        <v>5933</v>
      </c>
      <c r="AR39" s="1156">
        <v>53268</v>
      </c>
      <c r="AS39" s="1156" t="s">
        <v>3778</v>
      </c>
      <c r="AT39" s="1156">
        <v>76.89</v>
      </c>
      <c r="AU39" s="1156">
        <v>5868</v>
      </c>
      <c r="AV39" s="1156">
        <v>53353</v>
      </c>
      <c r="AW39" s="1156" t="s">
        <v>3712</v>
      </c>
      <c r="AX39" s="1156">
        <v>76.17</v>
      </c>
      <c r="AY39" s="1156">
        <v>5753</v>
      </c>
      <c r="AZ39" s="1156">
        <v>53399</v>
      </c>
      <c r="BA39" s="1156" t="s">
        <v>3859</v>
      </c>
      <c r="BB39" s="1156">
        <v>76.08</v>
      </c>
      <c r="BC39" s="1156">
        <v>5718</v>
      </c>
      <c r="BD39" s="1156">
        <v>52862</v>
      </c>
      <c r="BE39" s="1156" t="s">
        <v>3641</v>
      </c>
      <c r="BF39" s="1156">
        <v>75.84</v>
      </c>
      <c r="BG39" s="1156">
        <v>5731</v>
      </c>
      <c r="BH39" s="1156">
        <v>52699</v>
      </c>
      <c r="BI39" s="1156" t="s">
        <v>3641</v>
      </c>
      <c r="BJ39" s="1156">
        <v>74.97</v>
      </c>
      <c r="BK39" s="1156">
        <v>5687</v>
      </c>
      <c r="BL39" s="1156">
        <v>52670</v>
      </c>
      <c r="BM39" s="1156" t="s">
        <v>3708</v>
      </c>
      <c r="BN39" s="1156">
        <v>74.41</v>
      </c>
      <c r="BO39" s="1156">
        <v>5631</v>
      </c>
      <c r="BP39" s="1156">
        <v>52652</v>
      </c>
      <c r="BQ39" s="1156" t="s">
        <v>3798</v>
      </c>
      <c r="BR39" s="1156">
        <v>74.67</v>
      </c>
      <c r="BS39" s="1156">
        <v>5627</v>
      </c>
      <c r="BT39" s="1156">
        <v>52669</v>
      </c>
      <c r="BU39" s="1156" t="s">
        <v>3872</v>
      </c>
      <c r="BV39" s="1156">
        <v>75.47</v>
      </c>
      <c r="BW39" s="1156">
        <v>5783</v>
      </c>
      <c r="BX39" s="1156">
        <v>53361</v>
      </c>
      <c r="BY39" s="1156" t="s">
        <v>3710</v>
      </c>
      <c r="BZ39" s="1156">
        <v>75.92</v>
      </c>
      <c r="CA39" s="1156">
        <v>5862</v>
      </c>
      <c r="CB39" s="1156">
        <v>53671</v>
      </c>
      <c r="CC39" s="1156" t="s">
        <v>3710</v>
      </c>
      <c r="CD39" s="1156">
        <v>76.180000000000007</v>
      </c>
      <c r="CE39" s="1156">
        <v>5875</v>
      </c>
      <c r="CF39" s="1156">
        <v>53491</v>
      </c>
      <c r="CG39" s="1156" t="s">
        <v>3642</v>
      </c>
      <c r="CH39" s="1156">
        <v>76.14</v>
      </c>
      <c r="CI39" s="1156">
        <v>5924</v>
      </c>
      <c r="CJ39" s="1156">
        <v>52278</v>
      </c>
      <c r="CK39" s="1156" t="s">
        <v>3652</v>
      </c>
      <c r="CL39" s="1156">
        <v>75.66</v>
      </c>
      <c r="CM39" s="1156">
        <v>5875</v>
      </c>
      <c r="CN39" s="1156">
        <v>52111</v>
      </c>
      <c r="CO39" s="1156" t="s">
        <v>3778</v>
      </c>
      <c r="CP39" s="1156">
        <v>75.180000000000007</v>
      </c>
      <c r="CQ39" s="1156">
        <v>5815</v>
      </c>
      <c r="CR39" s="1156">
        <v>52991</v>
      </c>
      <c r="CS39" s="1156" t="s">
        <v>3872</v>
      </c>
      <c r="CT39" s="1156">
        <v>74.930000000000007</v>
      </c>
      <c r="CU39" s="1156">
        <v>5872</v>
      </c>
      <c r="CV39" s="1156">
        <v>52857</v>
      </c>
      <c r="CW39" s="1156" t="s">
        <v>3872</v>
      </c>
      <c r="CX39" s="1156">
        <v>74.89</v>
      </c>
      <c r="CY39" s="1156">
        <v>5857</v>
      </c>
      <c r="CZ39" s="1156">
        <v>52508</v>
      </c>
      <c r="DA39" s="1156" t="s">
        <v>3859</v>
      </c>
      <c r="DB39" s="1156">
        <v>74.67</v>
      </c>
      <c r="DC39" s="1156">
        <v>5807</v>
      </c>
      <c r="DD39" s="1156">
        <v>52563</v>
      </c>
      <c r="DE39" s="1156" t="s">
        <v>3865</v>
      </c>
      <c r="DF39" s="1156">
        <v>74.13</v>
      </c>
      <c r="DG39" s="1156">
        <v>5735</v>
      </c>
      <c r="DH39" s="1156">
        <v>52290</v>
      </c>
      <c r="DI39" s="1156" t="s">
        <v>3872</v>
      </c>
      <c r="DJ39" s="1156">
        <v>73.97</v>
      </c>
      <c r="DK39" s="1156">
        <v>5641</v>
      </c>
      <c r="DL39" s="1156">
        <v>52058</v>
      </c>
      <c r="DM39" s="1156" t="s">
        <v>3865</v>
      </c>
      <c r="DN39" s="1156">
        <v>74.63</v>
      </c>
      <c r="DO39" s="1156">
        <v>5712</v>
      </c>
      <c r="DP39" s="1156">
        <v>52033</v>
      </c>
      <c r="DQ39" s="1156" t="s">
        <v>3703</v>
      </c>
      <c r="DR39" s="1156">
        <v>75.63</v>
      </c>
      <c r="DS39" s="1156">
        <v>5841</v>
      </c>
      <c r="DT39" s="1156">
        <v>51789</v>
      </c>
      <c r="DU39" s="1156" t="s">
        <v>3700</v>
      </c>
      <c r="DV39" s="1156">
        <v>77.25</v>
      </c>
      <c r="DW39" s="1156">
        <v>5992</v>
      </c>
      <c r="DX39" s="1156">
        <v>51405</v>
      </c>
      <c r="DY39" s="1156" t="s">
        <v>3861</v>
      </c>
      <c r="DZ39" s="1156">
        <v>78.599999999999994</v>
      </c>
      <c r="EA39" s="1156">
        <v>6005</v>
      </c>
      <c r="EB39" s="1156">
        <v>51702</v>
      </c>
      <c r="EC39" s="1156" t="s">
        <v>3887</v>
      </c>
      <c r="ED39" s="1156">
        <v>84.13</v>
      </c>
      <c r="EE39" s="1156">
        <v>6638</v>
      </c>
      <c r="EF39" s="1156">
        <v>51590</v>
      </c>
      <c r="EG39" s="1156" t="s">
        <v>3898</v>
      </c>
      <c r="EH39" s="1156">
        <v>86.53</v>
      </c>
      <c r="EI39" s="1156">
        <v>7243</v>
      </c>
      <c r="EJ39" s="1156">
        <v>50812</v>
      </c>
      <c r="EK39" s="1156" t="s">
        <v>3899</v>
      </c>
      <c r="EL39" s="1156">
        <v>83.17</v>
      </c>
      <c r="EM39" s="1156">
        <v>6567</v>
      </c>
      <c r="EN39" s="1156">
        <v>50506</v>
      </c>
      <c r="EO39" s="1156" t="s">
        <v>3764</v>
      </c>
      <c r="EP39" s="1156">
        <v>79.760000000000005</v>
      </c>
      <c r="EQ39" s="1156">
        <v>5992</v>
      </c>
      <c r="ER39" s="1156">
        <v>50289</v>
      </c>
      <c r="ES39" s="1156" t="s">
        <v>3771</v>
      </c>
      <c r="ET39" s="1156">
        <v>73.62</v>
      </c>
      <c r="EU39" s="1156">
        <v>5406</v>
      </c>
      <c r="EV39" s="1156">
        <v>49012</v>
      </c>
      <c r="EW39" s="1156" t="s">
        <v>3752</v>
      </c>
      <c r="EX39" s="1156">
        <v>72.180000000000007</v>
      </c>
      <c r="EY39" s="1156">
        <v>5309</v>
      </c>
      <c r="EZ39" s="1156">
        <v>48193</v>
      </c>
      <c r="FA39" s="1156" t="s">
        <v>3749</v>
      </c>
      <c r="FB39" s="1156">
        <v>71.45</v>
      </c>
      <c r="FC39" s="1156">
        <v>5254</v>
      </c>
      <c r="FD39" s="1156">
        <v>47536</v>
      </c>
      <c r="FE39" s="1156" t="s">
        <v>3861</v>
      </c>
      <c r="FF39" s="1156">
        <v>69.819999999999993</v>
      </c>
      <c r="FG39" s="1156">
        <v>5100</v>
      </c>
      <c r="FH39" s="1156">
        <v>47790</v>
      </c>
      <c r="FI39" s="1156" t="s">
        <v>3699</v>
      </c>
      <c r="FJ39" s="1156">
        <v>70.819999999999993</v>
      </c>
      <c r="FK39" s="1156">
        <v>5356</v>
      </c>
      <c r="FL39" s="1156">
        <v>47885</v>
      </c>
      <c r="FM39" s="1156" t="s">
        <v>3715</v>
      </c>
      <c r="FN39" s="1156">
        <v>70.400000000000006</v>
      </c>
      <c r="FO39" s="1156">
        <v>5414</v>
      </c>
      <c r="FP39" s="1156">
        <v>47894</v>
      </c>
      <c r="FQ39" s="1156" t="s">
        <v>3717</v>
      </c>
      <c r="FR39" s="1156">
        <v>69.63</v>
      </c>
      <c r="FS39" s="1156">
        <v>5227</v>
      </c>
      <c r="FT39" s="1156">
        <v>48653</v>
      </c>
      <c r="FU39" s="1156" t="s">
        <v>3714</v>
      </c>
      <c r="FV39" s="1156">
        <v>72.959999999999994</v>
      </c>
      <c r="FW39" s="1156">
        <v>5601</v>
      </c>
      <c r="FX39" s="1156">
        <v>48651</v>
      </c>
      <c r="FY39" s="1156" t="s">
        <v>3640</v>
      </c>
      <c r="FZ39" s="1156">
        <v>75.11</v>
      </c>
      <c r="GA39" s="1156">
        <v>5793</v>
      </c>
      <c r="GB39" s="1156">
        <v>48941</v>
      </c>
      <c r="GC39" s="1156" t="s">
        <v>3756</v>
      </c>
      <c r="GD39" s="1156">
        <v>75.5</v>
      </c>
      <c r="GE39" s="1156">
        <v>5925</v>
      </c>
      <c r="GF39" s="1156">
        <v>48788</v>
      </c>
      <c r="GG39" s="1156" t="s">
        <v>3775</v>
      </c>
      <c r="GH39" s="1156">
        <v>75.58</v>
      </c>
      <c r="GI39" s="1156">
        <v>5792</v>
      </c>
      <c r="GJ39" s="1156">
        <v>48035</v>
      </c>
      <c r="GK39" s="1156" t="s">
        <v>3737</v>
      </c>
      <c r="GL39" s="1156">
        <v>75.84</v>
      </c>
      <c r="GM39" s="1156">
        <v>5774</v>
      </c>
      <c r="GN39" s="1156">
        <v>47435</v>
      </c>
      <c r="GO39" s="1156" t="s">
        <v>3800</v>
      </c>
      <c r="GP39" s="1156">
        <v>73</v>
      </c>
      <c r="GQ39" s="1156">
        <v>5587</v>
      </c>
      <c r="GR39" s="1156">
        <v>48472</v>
      </c>
      <c r="GS39" s="1156" t="s">
        <v>3883</v>
      </c>
      <c r="GT39" s="1156">
        <v>74.44</v>
      </c>
      <c r="GU39" s="1156">
        <v>5697</v>
      </c>
      <c r="GV39" s="1156">
        <v>50049</v>
      </c>
      <c r="GW39" s="1156" t="s">
        <v>3864</v>
      </c>
      <c r="GX39" s="1156">
        <v>75.33</v>
      </c>
      <c r="GY39" s="1156">
        <v>5829</v>
      </c>
      <c r="GZ39" s="1156">
        <v>47552</v>
      </c>
      <c r="HA39" s="1156" t="s">
        <v>3771</v>
      </c>
      <c r="HB39" s="1156">
        <v>72.69</v>
      </c>
      <c r="HC39" s="1156">
        <v>5548</v>
      </c>
      <c r="HD39" s="1156">
        <v>47506</v>
      </c>
      <c r="HE39" s="1156" t="s">
        <v>3720</v>
      </c>
      <c r="HF39" s="1156">
        <v>70.84</v>
      </c>
      <c r="HG39" s="1156">
        <v>5404</v>
      </c>
      <c r="HH39" s="1156">
        <v>47669</v>
      </c>
      <c r="HI39" s="1156" t="s">
        <v>3867</v>
      </c>
      <c r="HJ39" s="1156">
        <v>71.06</v>
      </c>
      <c r="HK39" s="1156">
        <v>5211</v>
      </c>
      <c r="HL39" s="1156">
        <v>47680</v>
      </c>
      <c r="HM39" s="1156" t="s">
        <v>3856</v>
      </c>
      <c r="HN39" s="1156">
        <v>75.11</v>
      </c>
      <c r="HO39" s="1156">
        <v>5485</v>
      </c>
      <c r="HP39" s="1156">
        <v>48692</v>
      </c>
      <c r="HQ39" s="1156" t="s">
        <v>3742</v>
      </c>
      <c r="HR39" s="1156">
        <v>75.48</v>
      </c>
      <c r="HS39" s="1156">
        <v>5724</v>
      </c>
      <c r="HT39" s="1156">
        <v>49205</v>
      </c>
      <c r="HU39" s="1156" t="s">
        <v>3756</v>
      </c>
      <c r="HV39" s="1156">
        <v>76.430000000000007</v>
      </c>
      <c r="HW39" s="1156">
        <v>5923</v>
      </c>
      <c r="HX39" s="1156">
        <v>49371</v>
      </c>
      <c r="HY39" s="1156" t="s">
        <v>3775</v>
      </c>
      <c r="HZ39" s="1156">
        <v>76.069999999999993</v>
      </c>
      <c r="IA39" s="1156">
        <v>5789</v>
      </c>
      <c r="IB39" s="1156">
        <v>50061</v>
      </c>
      <c r="IC39" s="1156" t="s">
        <v>3887</v>
      </c>
      <c r="ID39" s="1156">
        <v>75.88</v>
      </c>
      <c r="IE39" s="1156">
        <v>5753</v>
      </c>
      <c r="IF39" s="1156">
        <v>50360</v>
      </c>
      <c r="IG39" s="1156" t="s">
        <v>3883</v>
      </c>
      <c r="IH39" s="1156">
        <v>75.8</v>
      </c>
      <c r="II39" s="1156">
        <v>5747</v>
      </c>
      <c r="IJ39" s="1156">
        <v>50528</v>
      </c>
      <c r="IK39" s="1156" t="s">
        <v>3640</v>
      </c>
      <c r="IL39" s="1156">
        <v>77.77</v>
      </c>
      <c r="IM39" s="1156">
        <v>5879</v>
      </c>
      <c r="IN39" s="1156">
        <v>50482</v>
      </c>
      <c r="IO39" s="1156" t="s">
        <v>3741</v>
      </c>
      <c r="IP39" s="1156">
        <v>76.94</v>
      </c>
      <c r="IQ39" s="1156">
        <v>5915</v>
      </c>
      <c r="IR39" s="1156">
        <v>51049</v>
      </c>
      <c r="IS39" s="1156" t="s">
        <v>3753</v>
      </c>
      <c r="IT39" s="1156">
        <v>75.77</v>
      </c>
      <c r="IU39" s="1156">
        <v>5708</v>
      </c>
      <c r="IV39" s="1156">
        <v>51040</v>
      </c>
      <c r="IW39" s="1156" t="s">
        <v>3857</v>
      </c>
      <c r="IX39" s="1156">
        <v>75.39</v>
      </c>
      <c r="IY39" s="1156">
        <v>5835</v>
      </c>
      <c r="IZ39" s="1156">
        <v>51001</v>
      </c>
      <c r="JA39" s="1156" t="s">
        <v>3780</v>
      </c>
      <c r="JB39" s="1156">
        <v>71.33</v>
      </c>
      <c r="JC39" s="1156">
        <v>5365</v>
      </c>
      <c r="JD39" s="1156">
        <v>50675</v>
      </c>
      <c r="JE39" s="1156" t="s">
        <v>3888</v>
      </c>
      <c r="JF39" s="1156">
        <v>71.98</v>
      </c>
      <c r="JG39" s="1156">
        <v>5251</v>
      </c>
      <c r="JH39" s="1156">
        <v>50607</v>
      </c>
      <c r="JI39" s="1156" t="s">
        <v>3708</v>
      </c>
      <c r="JJ39" s="1156">
        <v>73.12</v>
      </c>
      <c r="JK39" s="1156">
        <v>5386</v>
      </c>
      <c r="JL39" s="1156">
        <v>51056</v>
      </c>
      <c r="JM39" s="1156" t="s">
        <v>3713</v>
      </c>
      <c r="JN39" s="1156">
        <v>73.83</v>
      </c>
      <c r="JO39" s="1156">
        <v>5533</v>
      </c>
      <c r="JP39" s="1156">
        <v>52062</v>
      </c>
      <c r="JQ39" s="1156" t="s">
        <v>3872</v>
      </c>
      <c r="JR39" s="1156">
        <v>73.22</v>
      </c>
      <c r="JS39" s="1156">
        <v>5583</v>
      </c>
      <c r="JT39" s="1156">
        <v>52309</v>
      </c>
      <c r="JU39" s="1156" t="s">
        <v>3709</v>
      </c>
      <c r="JV39" s="1156">
        <v>69.400000000000006</v>
      </c>
      <c r="JW39" s="1156">
        <v>5273</v>
      </c>
      <c r="JX39" s="1156">
        <v>52262</v>
      </c>
      <c r="JY39" s="1156" t="s">
        <v>3501</v>
      </c>
      <c r="JZ39" s="1156">
        <v>75.3</v>
      </c>
      <c r="KA39" s="1156">
        <v>5489</v>
      </c>
      <c r="KB39" s="1156">
        <v>52134</v>
      </c>
      <c r="KC39" s="1156" t="s">
        <v>3860</v>
      </c>
      <c r="KD39" s="1156">
        <v>70.03</v>
      </c>
      <c r="KE39" s="1156">
        <v>5375</v>
      </c>
      <c r="KF39" s="1156">
        <v>52254</v>
      </c>
      <c r="KG39" s="1156" t="s">
        <v>3848</v>
      </c>
      <c r="KH39" s="1156">
        <v>61.15</v>
      </c>
      <c r="KI39" s="1156">
        <v>3830</v>
      </c>
      <c r="KJ39" s="1156">
        <v>50950</v>
      </c>
      <c r="KK39" s="1156" t="s">
        <v>3809</v>
      </c>
      <c r="KL39" s="1156">
        <v>70.98</v>
      </c>
      <c r="KM39" s="1156">
        <v>5714</v>
      </c>
      <c r="KN39" s="1156">
        <v>51865</v>
      </c>
      <c r="KO39" s="1156" t="s">
        <v>3854</v>
      </c>
      <c r="KP39" s="1156">
        <v>65.52</v>
      </c>
      <c r="KQ39" s="1156">
        <v>5490</v>
      </c>
      <c r="KR39" s="1156">
        <v>54483</v>
      </c>
      <c r="KS39" s="1156" t="s">
        <v>3511</v>
      </c>
      <c r="KT39" s="1156">
        <v>61.66</v>
      </c>
      <c r="KU39" s="1156">
        <v>4830</v>
      </c>
      <c r="KV39" s="1156">
        <v>55817</v>
      </c>
      <c r="KW39" s="1156" t="s">
        <v>3459</v>
      </c>
    </row>
    <row r="40" spans="1:309" s="1156" customFormat="1" ht="13.5">
      <c r="A40" s="1156" t="s">
        <v>3900</v>
      </c>
      <c r="B40" s="1156">
        <v>23.69</v>
      </c>
      <c r="C40" s="1156">
        <v>2099</v>
      </c>
      <c r="D40" s="1156">
        <v>22010</v>
      </c>
      <c r="E40" s="1156" t="s">
        <v>3551</v>
      </c>
      <c r="F40" s="1156">
        <v>23.64</v>
      </c>
      <c r="G40" s="1156">
        <v>2093</v>
      </c>
      <c r="H40" s="1156">
        <v>22128</v>
      </c>
      <c r="I40" s="1156" t="s">
        <v>3901</v>
      </c>
      <c r="J40" s="1156">
        <v>23.7</v>
      </c>
      <c r="K40" s="1156">
        <v>2105</v>
      </c>
      <c r="L40" s="1156">
        <v>22452</v>
      </c>
      <c r="M40" s="1156" t="s">
        <v>3537</v>
      </c>
      <c r="N40" s="1156">
        <v>23.65</v>
      </c>
      <c r="O40" s="1156">
        <v>2132</v>
      </c>
      <c r="P40" s="1156">
        <v>23099</v>
      </c>
      <c r="Q40" s="1156" t="s">
        <v>3902</v>
      </c>
      <c r="R40" s="1156">
        <v>23.96</v>
      </c>
      <c r="S40" s="1156">
        <v>2122</v>
      </c>
      <c r="T40" s="1156">
        <v>22916</v>
      </c>
      <c r="U40" s="1156" t="s">
        <v>3604</v>
      </c>
      <c r="V40" s="1156">
        <v>23.98</v>
      </c>
      <c r="W40" s="1156">
        <v>2130</v>
      </c>
      <c r="X40" s="1156">
        <v>22171</v>
      </c>
      <c r="Y40" s="1156" t="s">
        <v>3532</v>
      </c>
      <c r="Z40" s="1156">
        <v>24.12</v>
      </c>
      <c r="AA40" s="1156">
        <v>2127</v>
      </c>
      <c r="AB40" s="1156">
        <v>22687</v>
      </c>
      <c r="AC40" s="1156" t="s">
        <v>3514</v>
      </c>
      <c r="AD40" s="1156">
        <v>24</v>
      </c>
      <c r="AE40" s="1156">
        <v>2121</v>
      </c>
      <c r="AF40" s="1156">
        <v>23223</v>
      </c>
      <c r="AG40" s="1156" t="s">
        <v>3478</v>
      </c>
      <c r="AH40" s="1156">
        <v>24.08</v>
      </c>
      <c r="AI40" s="1156">
        <v>2128</v>
      </c>
      <c r="AJ40" s="1156">
        <v>22190</v>
      </c>
      <c r="AK40" s="1156" t="s">
        <v>3789</v>
      </c>
      <c r="AL40" s="1156">
        <v>24.09</v>
      </c>
      <c r="AM40" s="1156">
        <v>2140</v>
      </c>
      <c r="AN40" s="1156">
        <v>22660</v>
      </c>
      <c r="AO40" s="1156" t="s">
        <v>3514</v>
      </c>
      <c r="AP40" s="1156">
        <v>24.14</v>
      </c>
      <c r="AQ40" s="1156">
        <v>2151</v>
      </c>
      <c r="AR40" s="1156">
        <v>22092</v>
      </c>
      <c r="AS40" s="1156" t="s">
        <v>3605</v>
      </c>
      <c r="AT40" s="1156">
        <v>24.05</v>
      </c>
      <c r="AU40" s="1156">
        <v>2154</v>
      </c>
      <c r="AV40" s="1156">
        <v>23222</v>
      </c>
      <c r="AW40" s="1156" t="s">
        <v>3440</v>
      </c>
      <c r="AX40" s="1156">
        <v>23.97</v>
      </c>
      <c r="AY40" s="1156">
        <v>2174</v>
      </c>
      <c r="AZ40" s="1156">
        <v>23036</v>
      </c>
      <c r="BA40" s="1156" t="s">
        <v>3444</v>
      </c>
      <c r="BB40" s="1156">
        <v>23.9</v>
      </c>
      <c r="BC40" s="1156">
        <v>2183</v>
      </c>
      <c r="BD40" s="1156">
        <v>21886</v>
      </c>
      <c r="BE40" s="1156" t="s">
        <v>3785</v>
      </c>
      <c r="BF40" s="1156">
        <v>23.88</v>
      </c>
      <c r="BG40" s="1156">
        <v>2121</v>
      </c>
      <c r="BH40" s="1156">
        <v>22684</v>
      </c>
      <c r="BI40" s="1156" t="s">
        <v>3458</v>
      </c>
      <c r="BJ40" s="1156">
        <v>23.8</v>
      </c>
      <c r="BK40" s="1156">
        <v>2137</v>
      </c>
      <c r="BL40" s="1156">
        <v>22241</v>
      </c>
      <c r="BM40" s="1156" t="s">
        <v>3903</v>
      </c>
      <c r="BN40" s="1156">
        <v>24.05</v>
      </c>
      <c r="BO40" s="1156">
        <v>2081</v>
      </c>
      <c r="BP40" s="1156">
        <v>22527</v>
      </c>
      <c r="BQ40" s="1156" t="s">
        <v>3791</v>
      </c>
      <c r="BR40" s="1156">
        <v>24.02</v>
      </c>
      <c r="BS40" s="1156">
        <v>2098</v>
      </c>
      <c r="BT40" s="1156">
        <v>22253</v>
      </c>
      <c r="BU40" s="1156" t="s">
        <v>3790</v>
      </c>
      <c r="BV40" s="1156">
        <v>23.91</v>
      </c>
      <c r="BW40" s="1156">
        <v>2136</v>
      </c>
      <c r="BX40" s="1156">
        <v>22213</v>
      </c>
      <c r="BY40" s="1156" t="s">
        <v>3551</v>
      </c>
      <c r="BZ40" s="1156">
        <v>23.77</v>
      </c>
      <c r="CA40" s="1156">
        <v>2184</v>
      </c>
      <c r="CB40" s="1156">
        <v>22597</v>
      </c>
      <c r="CC40" s="1156" t="s">
        <v>3538</v>
      </c>
      <c r="CD40" s="1156">
        <v>23.83</v>
      </c>
      <c r="CE40" s="1156">
        <v>2117</v>
      </c>
      <c r="CF40" s="1156">
        <v>22412</v>
      </c>
      <c r="CG40" s="1156" t="s">
        <v>3514</v>
      </c>
      <c r="CH40" s="1156">
        <v>23.72</v>
      </c>
      <c r="CI40" s="1156">
        <v>2157</v>
      </c>
      <c r="CJ40" s="1156">
        <v>20665</v>
      </c>
      <c r="CK40" s="1156" t="s">
        <v>3512</v>
      </c>
      <c r="CL40" s="1156">
        <v>23.41</v>
      </c>
      <c r="CM40" s="1156">
        <v>2130</v>
      </c>
      <c r="CN40" s="1156">
        <v>20840</v>
      </c>
      <c r="CO40" s="1156" t="s">
        <v>3506</v>
      </c>
      <c r="CP40" s="1156">
        <v>23.38</v>
      </c>
      <c r="CQ40" s="1156">
        <v>2152</v>
      </c>
      <c r="CR40" s="1156">
        <v>20508</v>
      </c>
      <c r="CS40" s="1156" t="s">
        <v>3442</v>
      </c>
      <c r="CT40" s="1156">
        <v>23.24</v>
      </c>
      <c r="CU40" s="1156">
        <v>2136</v>
      </c>
      <c r="CV40" s="1156">
        <v>20098</v>
      </c>
      <c r="CW40" s="1156" t="s">
        <v>3486</v>
      </c>
      <c r="CX40" s="1156">
        <v>23.15</v>
      </c>
      <c r="CY40" s="1156">
        <v>2094</v>
      </c>
      <c r="CZ40" s="1156">
        <v>20951</v>
      </c>
      <c r="DA40" s="1156" t="s">
        <v>3459</v>
      </c>
      <c r="DB40" s="1156">
        <v>23.17</v>
      </c>
      <c r="DC40" s="1156">
        <v>2085</v>
      </c>
      <c r="DD40" s="1156">
        <v>26434</v>
      </c>
      <c r="DE40" s="1156" t="s">
        <v>3904</v>
      </c>
      <c r="DF40" s="1156">
        <v>23.22</v>
      </c>
      <c r="DG40" s="1156">
        <v>2089</v>
      </c>
      <c r="DH40" s="1156">
        <v>26297</v>
      </c>
      <c r="DI40" s="1156" t="s">
        <v>3905</v>
      </c>
      <c r="DJ40" s="1156">
        <v>23.1</v>
      </c>
      <c r="DK40" s="1156">
        <v>2069</v>
      </c>
      <c r="DL40" s="1156">
        <v>26585</v>
      </c>
      <c r="DM40" s="1156" t="s">
        <v>3412</v>
      </c>
      <c r="DN40" s="1156">
        <v>23.27</v>
      </c>
      <c r="DO40" s="1156">
        <v>2086</v>
      </c>
      <c r="DP40" s="1156">
        <v>26314</v>
      </c>
      <c r="DQ40" s="1156" t="s">
        <v>3906</v>
      </c>
      <c r="DR40" s="1156">
        <v>23.51</v>
      </c>
      <c r="DS40" s="1156">
        <v>2113</v>
      </c>
      <c r="DT40" s="1156">
        <v>26278</v>
      </c>
      <c r="DU40" s="1156" t="s">
        <v>3567</v>
      </c>
      <c r="DV40" s="1156">
        <v>23.57</v>
      </c>
      <c r="DW40" s="1156">
        <v>2095</v>
      </c>
      <c r="DX40" s="1156">
        <v>26322</v>
      </c>
      <c r="DY40" s="1156" t="s">
        <v>3400</v>
      </c>
      <c r="DZ40" s="1156">
        <v>23.67</v>
      </c>
      <c r="EA40" s="1156">
        <v>2169</v>
      </c>
      <c r="EB40" s="1156">
        <v>27378</v>
      </c>
      <c r="EC40" s="1156" t="s">
        <v>3907</v>
      </c>
      <c r="ED40" s="1156" t="s">
        <v>633</v>
      </c>
      <c r="EE40" s="1156" t="s">
        <v>633</v>
      </c>
      <c r="EF40" s="1156" t="s">
        <v>633</v>
      </c>
      <c r="EG40" s="1156" t="s">
        <v>633</v>
      </c>
      <c r="EH40" s="1156">
        <v>28.93</v>
      </c>
      <c r="EI40" s="1156">
        <v>2976</v>
      </c>
      <c r="EJ40" s="1156">
        <v>28007</v>
      </c>
      <c r="EK40" s="1156" t="s">
        <v>3478</v>
      </c>
      <c r="EL40" s="1156" t="s">
        <v>633</v>
      </c>
      <c r="EM40" s="1156" t="s">
        <v>633</v>
      </c>
      <c r="EN40" s="1156" t="s">
        <v>633</v>
      </c>
      <c r="EO40" s="1156" t="s">
        <v>633</v>
      </c>
      <c r="EP40" s="1156">
        <v>30.63</v>
      </c>
      <c r="EQ40" s="1156">
        <v>2766</v>
      </c>
      <c r="ER40" s="1156">
        <v>28421</v>
      </c>
      <c r="ES40" s="1156" t="s">
        <v>3423</v>
      </c>
      <c r="ET40" s="1156">
        <v>32.39</v>
      </c>
      <c r="EU40" s="1156">
        <v>2907</v>
      </c>
      <c r="EV40" s="1156">
        <v>28513</v>
      </c>
      <c r="EW40" s="1156" t="s">
        <v>3845</v>
      </c>
      <c r="EX40" s="1156">
        <v>31.52</v>
      </c>
      <c r="EY40" s="1156">
        <v>2742</v>
      </c>
      <c r="EZ40" s="1156">
        <v>28366</v>
      </c>
      <c r="FA40" s="1156" t="s">
        <v>3480</v>
      </c>
      <c r="FB40" s="1156">
        <v>30.77</v>
      </c>
      <c r="FC40" s="1156">
        <v>2809</v>
      </c>
      <c r="FD40" s="1156">
        <v>28059</v>
      </c>
      <c r="FE40" s="1156" t="s">
        <v>3427</v>
      </c>
      <c r="FF40" s="1156">
        <v>31.11</v>
      </c>
      <c r="FG40" s="1156">
        <v>2888</v>
      </c>
      <c r="FH40" s="1156">
        <v>27614</v>
      </c>
      <c r="FI40" s="1156" t="s">
        <v>3417</v>
      </c>
      <c r="FJ40" s="1156">
        <v>34.909999999999997</v>
      </c>
      <c r="FK40" s="1156">
        <v>2948</v>
      </c>
      <c r="FL40" s="1156">
        <v>27456</v>
      </c>
      <c r="FM40" s="1156" t="s">
        <v>3655</v>
      </c>
      <c r="FN40" s="1156">
        <v>35.58</v>
      </c>
      <c r="FO40" s="1156">
        <v>2893</v>
      </c>
      <c r="FP40" s="1156">
        <v>26833</v>
      </c>
      <c r="FQ40" s="1156" t="s">
        <v>3490</v>
      </c>
      <c r="FR40" s="1156">
        <v>32.28</v>
      </c>
      <c r="FS40" s="1156">
        <v>2777</v>
      </c>
      <c r="FT40" s="1156">
        <v>26906</v>
      </c>
      <c r="FU40" s="1156" t="s">
        <v>3839</v>
      </c>
      <c r="FV40" s="1156">
        <v>31.95</v>
      </c>
      <c r="FW40" s="1156">
        <v>2624</v>
      </c>
      <c r="FX40" s="1156">
        <v>26817</v>
      </c>
      <c r="FY40" s="1156" t="s">
        <v>3460</v>
      </c>
      <c r="FZ40" s="1156">
        <v>30.76</v>
      </c>
      <c r="GA40" s="1156">
        <v>2599</v>
      </c>
      <c r="GB40" s="1156">
        <v>27047</v>
      </c>
      <c r="GC40" s="1156" t="s">
        <v>3426</v>
      </c>
      <c r="GD40" s="1156">
        <v>31.86</v>
      </c>
      <c r="GE40" s="1156">
        <v>2659</v>
      </c>
      <c r="GF40" s="1156">
        <v>27980</v>
      </c>
      <c r="GG40" s="1156" t="s">
        <v>3418</v>
      </c>
      <c r="GH40" s="1156">
        <v>32.08</v>
      </c>
      <c r="GI40" s="1156">
        <v>2840</v>
      </c>
      <c r="GJ40" s="1156">
        <v>28305</v>
      </c>
      <c r="GK40" s="1156" t="s">
        <v>3457</v>
      </c>
      <c r="GL40" s="1156">
        <v>30.06</v>
      </c>
      <c r="GM40" s="1156">
        <v>2733</v>
      </c>
      <c r="GN40" s="1156">
        <v>23259</v>
      </c>
      <c r="GO40" s="1156" t="s">
        <v>3493</v>
      </c>
      <c r="GP40" s="1156">
        <v>32.83</v>
      </c>
      <c r="GQ40" s="1156">
        <v>2583</v>
      </c>
      <c r="GR40" s="1156">
        <v>23844</v>
      </c>
      <c r="GS40" s="1156" t="s">
        <v>3729</v>
      </c>
      <c r="GT40" s="1156">
        <v>31.44</v>
      </c>
      <c r="GU40" s="1156">
        <v>2498</v>
      </c>
      <c r="GV40" s="1156">
        <v>23750</v>
      </c>
      <c r="GW40" s="1156" t="s">
        <v>3658</v>
      </c>
      <c r="GX40" s="1156">
        <v>30.78</v>
      </c>
      <c r="GY40" s="1156">
        <v>2545</v>
      </c>
      <c r="GZ40" s="1156">
        <v>23341</v>
      </c>
      <c r="HA40" s="1156" t="s">
        <v>3794</v>
      </c>
      <c r="HB40" s="1156">
        <v>32.729999999999997</v>
      </c>
      <c r="HC40" s="1156">
        <v>2688</v>
      </c>
      <c r="HD40" s="1156">
        <v>24075</v>
      </c>
      <c r="HE40" s="1156" t="s">
        <v>3722</v>
      </c>
      <c r="HF40" s="1156">
        <v>31.68</v>
      </c>
      <c r="HG40" s="1156">
        <v>2679</v>
      </c>
      <c r="HH40" s="1156">
        <v>28258</v>
      </c>
      <c r="HI40" s="1156" t="s">
        <v>3908</v>
      </c>
      <c r="HJ40" s="1156">
        <v>32.67</v>
      </c>
      <c r="HK40" s="1156">
        <v>2676</v>
      </c>
      <c r="HL40" s="1156">
        <v>28213</v>
      </c>
      <c r="HM40" s="1156" t="s">
        <v>3811</v>
      </c>
      <c r="HN40" s="1156">
        <v>34.020000000000003</v>
      </c>
      <c r="HO40" s="1156">
        <v>3194</v>
      </c>
      <c r="HP40" s="1156">
        <v>28088</v>
      </c>
      <c r="HQ40" s="1156" t="s">
        <v>3824</v>
      </c>
      <c r="HR40" s="1156">
        <v>32.090000000000003</v>
      </c>
      <c r="HS40" s="1156">
        <v>2789</v>
      </c>
      <c r="HT40" s="1156">
        <v>27815</v>
      </c>
      <c r="HU40" s="1156" t="s">
        <v>3597</v>
      </c>
      <c r="HV40" s="1156">
        <v>32.64</v>
      </c>
      <c r="HW40" s="1156">
        <v>2923</v>
      </c>
      <c r="HX40" s="1156">
        <v>27536</v>
      </c>
      <c r="HY40" s="1156" t="s">
        <v>3600</v>
      </c>
      <c r="HZ40" s="1156">
        <v>33.82</v>
      </c>
      <c r="IA40" s="1156">
        <v>2838</v>
      </c>
      <c r="IB40" s="1156">
        <v>27012</v>
      </c>
      <c r="IC40" s="1156" t="s">
        <v>3622</v>
      </c>
      <c r="ID40" s="1156">
        <v>33.89</v>
      </c>
      <c r="IE40" s="1156">
        <v>2727</v>
      </c>
      <c r="IF40" s="1156">
        <v>27189</v>
      </c>
      <c r="IG40" s="1156" t="s">
        <v>3909</v>
      </c>
      <c r="IH40" s="1156">
        <v>33.799999999999997</v>
      </c>
      <c r="II40" s="1156">
        <v>2773</v>
      </c>
      <c r="IJ40" s="1156">
        <v>27402</v>
      </c>
      <c r="IK40" s="1156" t="s">
        <v>3841</v>
      </c>
      <c r="IL40" s="1156">
        <v>35.950000000000003</v>
      </c>
      <c r="IM40" s="1156">
        <v>3273</v>
      </c>
      <c r="IN40" s="1156">
        <v>26724</v>
      </c>
      <c r="IO40" s="1156" t="s">
        <v>3728</v>
      </c>
      <c r="IP40" s="1156">
        <v>35.04</v>
      </c>
      <c r="IQ40" s="1156">
        <v>2938</v>
      </c>
      <c r="IR40" s="1156">
        <v>26385</v>
      </c>
      <c r="IS40" s="1156" t="s">
        <v>3501</v>
      </c>
      <c r="IT40" s="1156">
        <v>39.83</v>
      </c>
      <c r="IU40" s="1156">
        <v>3468</v>
      </c>
      <c r="IV40" s="1156">
        <v>26806</v>
      </c>
      <c r="IW40" s="1156" t="s">
        <v>3867</v>
      </c>
      <c r="IX40" s="1156">
        <v>47.68</v>
      </c>
      <c r="IY40" s="1156">
        <v>3884</v>
      </c>
      <c r="IZ40" s="1156">
        <v>26022</v>
      </c>
      <c r="JA40" s="1156" t="s">
        <v>3910</v>
      </c>
      <c r="JB40" s="1156">
        <v>34.049999999999997</v>
      </c>
      <c r="JC40" s="1156">
        <v>3002</v>
      </c>
      <c r="JD40" s="1156">
        <v>25022</v>
      </c>
      <c r="JE40" s="1156" t="s">
        <v>3632</v>
      </c>
      <c r="JF40" s="1156">
        <v>31.84</v>
      </c>
      <c r="JG40" s="1156">
        <v>2755</v>
      </c>
      <c r="JH40" s="1156">
        <v>25136</v>
      </c>
      <c r="JI40" s="1156" t="s">
        <v>3627</v>
      </c>
      <c r="JJ40" s="1156">
        <v>32.380000000000003</v>
      </c>
      <c r="JK40" s="1156">
        <v>2960</v>
      </c>
      <c r="JL40" s="1156">
        <v>25241</v>
      </c>
      <c r="JM40" s="1156" t="s">
        <v>3730</v>
      </c>
      <c r="JN40" s="1156">
        <v>32.880000000000003</v>
      </c>
      <c r="JO40" s="1156">
        <v>2541</v>
      </c>
      <c r="JP40" s="1156">
        <v>25061</v>
      </c>
      <c r="JQ40" s="1156" t="s">
        <v>3850</v>
      </c>
      <c r="JR40" s="1156">
        <v>32.450000000000003</v>
      </c>
      <c r="JS40" s="1156">
        <v>2710</v>
      </c>
      <c r="JT40" s="1156">
        <v>25003</v>
      </c>
      <c r="JU40" s="1156" t="s">
        <v>3659</v>
      </c>
      <c r="JV40" s="1156">
        <v>26.91</v>
      </c>
      <c r="JW40" s="1156">
        <v>2586</v>
      </c>
      <c r="JX40" s="1156">
        <v>24616</v>
      </c>
      <c r="JY40" s="1156" t="s">
        <v>3605</v>
      </c>
      <c r="JZ40" s="1156">
        <v>25.17</v>
      </c>
      <c r="KA40" s="1156">
        <v>2473</v>
      </c>
      <c r="KB40" s="1156">
        <v>24279</v>
      </c>
      <c r="KC40" s="1156" t="s">
        <v>3463</v>
      </c>
      <c r="KD40" s="1156">
        <v>27.4</v>
      </c>
      <c r="KE40" s="1156">
        <v>2397</v>
      </c>
      <c r="KF40" s="1156">
        <v>23676</v>
      </c>
      <c r="KG40" s="1156" t="s">
        <v>3811</v>
      </c>
      <c r="KH40" s="1156" t="s">
        <v>633</v>
      </c>
      <c r="KI40" s="1156" t="s">
        <v>633</v>
      </c>
      <c r="KJ40" s="1156" t="s">
        <v>633</v>
      </c>
      <c r="KK40" s="1156" t="s">
        <v>633</v>
      </c>
      <c r="KL40" s="1156">
        <v>23.08</v>
      </c>
      <c r="KM40" s="1156">
        <v>2084</v>
      </c>
      <c r="KN40" s="1156">
        <v>25097</v>
      </c>
      <c r="KO40" s="1156" t="s">
        <v>3579</v>
      </c>
      <c r="KP40" s="1156">
        <v>30.6</v>
      </c>
      <c r="KQ40" s="1156">
        <v>3912</v>
      </c>
      <c r="KR40" s="1156">
        <v>26333</v>
      </c>
      <c r="KS40" s="1156" t="s">
        <v>3487</v>
      </c>
      <c r="KT40" s="1156">
        <v>25.89</v>
      </c>
      <c r="KU40" s="1156">
        <v>2563</v>
      </c>
      <c r="KV40" s="1156">
        <v>21459</v>
      </c>
      <c r="KW40" s="1156" t="s">
        <v>3823</v>
      </c>
    </row>
    <row r="41" spans="1:309" s="1156" customFormat="1" ht="13.5">
      <c r="A41" s="1156" t="s">
        <v>3911</v>
      </c>
      <c r="B41" s="1156">
        <v>163.32</v>
      </c>
      <c r="C41" s="1156">
        <v>17512</v>
      </c>
      <c r="D41" s="1156">
        <v>125586</v>
      </c>
      <c r="E41" s="1156" t="s">
        <v>3734</v>
      </c>
      <c r="F41" s="1156">
        <v>162.78</v>
      </c>
      <c r="G41" s="1156">
        <v>17317</v>
      </c>
      <c r="H41" s="1156">
        <v>125944</v>
      </c>
      <c r="I41" s="1156" t="s">
        <v>3493</v>
      </c>
      <c r="J41" s="1156">
        <v>162.44</v>
      </c>
      <c r="K41" s="1156">
        <v>16823</v>
      </c>
      <c r="L41" s="1156">
        <v>126417</v>
      </c>
      <c r="M41" s="1156" t="s">
        <v>3735</v>
      </c>
      <c r="N41" s="1156">
        <v>162.31</v>
      </c>
      <c r="O41" s="1156">
        <v>16986</v>
      </c>
      <c r="P41" s="1156">
        <v>127038</v>
      </c>
      <c r="Q41" s="1156" t="s">
        <v>3891</v>
      </c>
      <c r="R41" s="1156">
        <v>161.74</v>
      </c>
      <c r="S41" s="1156">
        <v>17055</v>
      </c>
      <c r="T41" s="1156">
        <v>127611</v>
      </c>
      <c r="U41" s="1156" t="s">
        <v>3627</v>
      </c>
      <c r="V41" s="1156">
        <v>162.16</v>
      </c>
      <c r="W41" s="1156">
        <v>17096</v>
      </c>
      <c r="X41" s="1156">
        <v>128244</v>
      </c>
      <c r="Y41" s="1156" t="s">
        <v>3498</v>
      </c>
      <c r="Z41" s="1156">
        <v>163.30000000000001</v>
      </c>
      <c r="AA41" s="1156">
        <v>17260</v>
      </c>
      <c r="AB41" s="1156">
        <v>129005</v>
      </c>
      <c r="AC41" s="1156" t="s">
        <v>3461</v>
      </c>
      <c r="AD41" s="1156">
        <v>164.26</v>
      </c>
      <c r="AE41" s="1156">
        <v>17232</v>
      </c>
      <c r="AF41" s="1156">
        <v>129135</v>
      </c>
      <c r="AG41" s="1156" t="s">
        <v>3655</v>
      </c>
      <c r="AH41" s="1156">
        <v>164.63</v>
      </c>
      <c r="AI41" s="1156">
        <v>17404</v>
      </c>
      <c r="AJ41" s="1156">
        <v>129605</v>
      </c>
      <c r="AK41" s="1156" t="s">
        <v>3646</v>
      </c>
      <c r="AL41" s="1156">
        <v>165.7</v>
      </c>
      <c r="AM41" s="1156">
        <v>17347</v>
      </c>
      <c r="AN41" s="1156">
        <v>129669</v>
      </c>
      <c r="AO41" s="1156" t="s">
        <v>3891</v>
      </c>
      <c r="AP41" s="1156">
        <v>165.62</v>
      </c>
      <c r="AQ41" s="1156">
        <v>17413</v>
      </c>
      <c r="AR41" s="1156">
        <v>129821</v>
      </c>
      <c r="AS41" s="1156" t="s">
        <v>3877</v>
      </c>
      <c r="AT41" s="1156">
        <v>164.63</v>
      </c>
      <c r="AU41" s="1156">
        <v>17264</v>
      </c>
      <c r="AV41" s="1156">
        <v>130534</v>
      </c>
      <c r="AW41" s="1156" t="s">
        <v>3620</v>
      </c>
      <c r="AX41" s="1156">
        <v>163.41</v>
      </c>
      <c r="AY41" s="1156">
        <v>17578</v>
      </c>
      <c r="AZ41" s="1156">
        <v>130499</v>
      </c>
      <c r="BA41" s="1156" t="s">
        <v>3622</v>
      </c>
      <c r="BB41" s="1156">
        <v>162.55000000000001</v>
      </c>
      <c r="BC41" s="1156">
        <v>17525</v>
      </c>
      <c r="BD41" s="1156">
        <v>129112</v>
      </c>
      <c r="BE41" s="1156" t="s">
        <v>3626</v>
      </c>
      <c r="BF41" s="1156">
        <v>161.01</v>
      </c>
      <c r="BG41" s="1156">
        <v>17199</v>
      </c>
      <c r="BH41" s="1156">
        <v>128710</v>
      </c>
      <c r="BI41" s="1156" t="s">
        <v>3622</v>
      </c>
      <c r="BJ41" s="1156">
        <v>160.51</v>
      </c>
      <c r="BK41" s="1156">
        <v>17154</v>
      </c>
      <c r="BL41" s="1156">
        <v>128173</v>
      </c>
      <c r="BM41" s="1156" t="s">
        <v>3622</v>
      </c>
      <c r="BN41" s="1156">
        <v>160.49</v>
      </c>
      <c r="BO41" s="1156">
        <v>17200</v>
      </c>
      <c r="BP41" s="1156">
        <v>128114</v>
      </c>
      <c r="BQ41" s="1156" t="s">
        <v>3838</v>
      </c>
      <c r="BR41" s="1156">
        <v>161</v>
      </c>
      <c r="BS41" s="1156">
        <v>17047</v>
      </c>
      <c r="BT41" s="1156">
        <v>128276</v>
      </c>
      <c r="BU41" s="1156" t="s">
        <v>3833</v>
      </c>
      <c r="BV41" s="1156">
        <v>161.75</v>
      </c>
      <c r="BW41" s="1156">
        <v>17484</v>
      </c>
      <c r="BX41" s="1156">
        <v>128212</v>
      </c>
      <c r="BY41" s="1156" t="s">
        <v>3620</v>
      </c>
      <c r="BZ41" s="1156">
        <v>162</v>
      </c>
      <c r="CA41" s="1156">
        <v>17004</v>
      </c>
      <c r="CB41" s="1156">
        <v>128685</v>
      </c>
      <c r="CC41" s="1156" t="s">
        <v>3626</v>
      </c>
      <c r="CD41" s="1156">
        <v>162.77000000000001</v>
      </c>
      <c r="CE41" s="1156">
        <v>17410</v>
      </c>
      <c r="CF41" s="1156">
        <v>127998</v>
      </c>
      <c r="CG41" s="1156" t="s">
        <v>3655</v>
      </c>
      <c r="CH41" s="1156">
        <v>162.32</v>
      </c>
      <c r="CI41" s="1156">
        <v>17563</v>
      </c>
      <c r="CJ41" s="1156">
        <v>121796</v>
      </c>
      <c r="CK41" s="1156" t="s">
        <v>3796</v>
      </c>
      <c r="CL41" s="1156">
        <v>161.71</v>
      </c>
      <c r="CM41" s="1156">
        <v>17956</v>
      </c>
      <c r="CN41" s="1156">
        <v>121122</v>
      </c>
      <c r="CO41" s="1156" t="s">
        <v>3645</v>
      </c>
      <c r="CP41" s="1156">
        <v>161.55000000000001</v>
      </c>
      <c r="CQ41" s="1156">
        <v>18145</v>
      </c>
      <c r="CR41" s="1156">
        <v>122929</v>
      </c>
      <c r="CS41" s="1156" t="s">
        <v>3628</v>
      </c>
      <c r="CT41" s="1156">
        <v>161.80000000000001</v>
      </c>
      <c r="CU41" s="1156">
        <v>18252</v>
      </c>
      <c r="CV41" s="1156">
        <v>123783</v>
      </c>
      <c r="CW41" s="1156" t="s">
        <v>3416</v>
      </c>
      <c r="CX41" s="1156">
        <v>161.85</v>
      </c>
      <c r="CY41" s="1156">
        <v>18428</v>
      </c>
      <c r="CZ41" s="1156">
        <v>123633</v>
      </c>
      <c r="DA41" s="1156" t="s">
        <v>3732</v>
      </c>
      <c r="DB41" s="1156">
        <v>161.38</v>
      </c>
      <c r="DC41" s="1156">
        <v>18772</v>
      </c>
      <c r="DD41" s="1156">
        <v>122694</v>
      </c>
      <c r="DE41" s="1156" t="s">
        <v>3648</v>
      </c>
      <c r="DF41" s="1156">
        <v>161.19</v>
      </c>
      <c r="DG41" s="1156">
        <v>18937</v>
      </c>
      <c r="DH41" s="1156">
        <v>122798</v>
      </c>
      <c r="DI41" s="1156" t="s">
        <v>3850</v>
      </c>
      <c r="DJ41" s="1156">
        <v>161.01</v>
      </c>
      <c r="DK41" s="1156">
        <v>19200</v>
      </c>
      <c r="DL41" s="1156">
        <v>122079</v>
      </c>
      <c r="DM41" s="1156" t="s">
        <v>3794</v>
      </c>
      <c r="DN41" s="1156">
        <v>161.37</v>
      </c>
      <c r="DO41" s="1156">
        <v>19200</v>
      </c>
      <c r="DP41" s="1156">
        <v>121964</v>
      </c>
      <c r="DQ41" s="1156" t="s">
        <v>3644</v>
      </c>
      <c r="DR41" s="1156">
        <v>161.75</v>
      </c>
      <c r="DS41" s="1156">
        <v>18719</v>
      </c>
      <c r="DT41" s="1156">
        <v>121864</v>
      </c>
      <c r="DU41" s="1156" t="s">
        <v>3501</v>
      </c>
      <c r="DV41" s="1156">
        <v>163.25</v>
      </c>
      <c r="DW41" s="1156">
        <v>18757</v>
      </c>
      <c r="DX41" s="1156">
        <v>121790</v>
      </c>
      <c r="DY41" s="1156" t="s">
        <v>3848</v>
      </c>
      <c r="DZ41" s="1156">
        <v>165.53</v>
      </c>
      <c r="EA41" s="1156">
        <v>18976</v>
      </c>
      <c r="EB41" s="1156">
        <v>121168</v>
      </c>
      <c r="EC41" s="1156" t="s">
        <v>3635</v>
      </c>
      <c r="ED41" s="1156">
        <v>135.18</v>
      </c>
      <c r="EE41" s="1156">
        <v>10940</v>
      </c>
      <c r="EF41" s="1156">
        <v>120753</v>
      </c>
      <c r="EG41" s="1156" t="s">
        <v>3816</v>
      </c>
      <c r="EH41" s="1156">
        <v>142.16</v>
      </c>
      <c r="EI41" s="1156">
        <v>12066</v>
      </c>
      <c r="EJ41" s="1156">
        <v>119144</v>
      </c>
      <c r="EK41" s="1156" t="s">
        <v>3896</v>
      </c>
      <c r="EL41" s="1156">
        <v>131.88</v>
      </c>
      <c r="EM41" s="1156">
        <v>10246</v>
      </c>
      <c r="EN41" s="1156">
        <v>117992</v>
      </c>
      <c r="EO41" s="1156" t="s">
        <v>3476</v>
      </c>
      <c r="EP41" s="1156">
        <v>148.16999999999999</v>
      </c>
      <c r="EQ41" s="1156">
        <v>12767</v>
      </c>
      <c r="ER41" s="1156">
        <v>117393</v>
      </c>
      <c r="ES41" s="1156" t="s">
        <v>3621</v>
      </c>
      <c r="ET41" s="1156">
        <v>135.25</v>
      </c>
      <c r="EU41" s="1156">
        <v>10916</v>
      </c>
      <c r="EV41" s="1156">
        <v>114531</v>
      </c>
      <c r="EW41" s="1156" t="s">
        <v>3456</v>
      </c>
      <c r="EX41" s="1156">
        <v>132.5</v>
      </c>
      <c r="EY41" s="1156">
        <v>10736</v>
      </c>
      <c r="EZ41" s="1156">
        <v>112022</v>
      </c>
      <c r="FA41" s="1156" t="s">
        <v>3912</v>
      </c>
      <c r="FB41" s="1156">
        <v>130.99</v>
      </c>
      <c r="FC41" s="1156">
        <v>10400</v>
      </c>
      <c r="FD41" s="1156">
        <v>111920</v>
      </c>
      <c r="FE41" s="1156" t="s">
        <v>3599</v>
      </c>
      <c r="FF41" s="1156">
        <v>125.52</v>
      </c>
      <c r="FG41" s="1156">
        <v>9784</v>
      </c>
      <c r="FH41" s="1156">
        <v>112908</v>
      </c>
      <c r="FI41" s="1156" t="s">
        <v>3480</v>
      </c>
      <c r="FJ41" s="1156">
        <v>126.23</v>
      </c>
      <c r="FK41" s="1156">
        <v>10034</v>
      </c>
      <c r="FL41" s="1156">
        <v>111540</v>
      </c>
      <c r="FM41" s="1156" t="s">
        <v>3553</v>
      </c>
      <c r="FN41" s="1156">
        <v>127.51</v>
      </c>
      <c r="FO41" s="1156">
        <v>10338</v>
      </c>
      <c r="FP41" s="1156">
        <v>111467</v>
      </c>
      <c r="FQ41" s="1156" t="s">
        <v>3639</v>
      </c>
      <c r="FR41" s="1156">
        <v>128.05000000000001</v>
      </c>
      <c r="FS41" s="1156">
        <v>10274</v>
      </c>
      <c r="FT41" s="1156">
        <v>114362</v>
      </c>
      <c r="FU41" s="1156" t="s">
        <v>3816</v>
      </c>
      <c r="FV41" s="1156">
        <v>131.31</v>
      </c>
      <c r="FW41" s="1156">
        <v>10658</v>
      </c>
      <c r="FX41" s="1156">
        <v>114771</v>
      </c>
      <c r="FY41" s="1156" t="s">
        <v>3639</v>
      </c>
      <c r="FZ41" s="1156">
        <v>131.41</v>
      </c>
      <c r="GA41" s="1156">
        <v>10752</v>
      </c>
      <c r="GB41" s="1156">
        <v>114949</v>
      </c>
      <c r="GC41" s="1156" t="s">
        <v>3420</v>
      </c>
      <c r="GD41" s="1156">
        <v>134.80000000000001</v>
      </c>
      <c r="GE41" s="1156">
        <v>11046</v>
      </c>
      <c r="GF41" s="1156">
        <v>115094</v>
      </c>
      <c r="GG41" s="1156" t="s">
        <v>3599</v>
      </c>
      <c r="GH41" s="1156">
        <v>126.9</v>
      </c>
      <c r="GI41" s="1156">
        <v>10121</v>
      </c>
      <c r="GJ41" s="1156">
        <v>115491</v>
      </c>
      <c r="GK41" s="1156" t="s">
        <v>3818</v>
      </c>
      <c r="GL41" s="1156">
        <v>125.64</v>
      </c>
      <c r="GM41" s="1156">
        <v>9924</v>
      </c>
      <c r="GN41" s="1156">
        <v>115011</v>
      </c>
      <c r="GO41" s="1156" t="s">
        <v>3605</v>
      </c>
      <c r="GP41" s="1156">
        <v>126.8</v>
      </c>
      <c r="GQ41" s="1156">
        <v>9939</v>
      </c>
      <c r="GR41" s="1156">
        <v>115252</v>
      </c>
      <c r="GS41" s="1156" t="s">
        <v>3556</v>
      </c>
      <c r="GT41" s="1156">
        <v>130.53</v>
      </c>
      <c r="GU41" s="1156">
        <v>10254</v>
      </c>
      <c r="GV41" s="1156">
        <v>114282</v>
      </c>
      <c r="GW41" s="1156" t="s">
        <v>3913</v>
      </c>
      <c r="GX41" s="1156">
        <v>131.97999999999999</v>
      </c>
      <c r="GY41" s="1156">
        <v>10616</v>
      </c>
      <c r="GZ41" s="1156">
        <v>114814</v>
      </c>
      <c r="HA41" s="1156" t="s">
        <v>3880</v>
      </c>
      <c r="HB41" s="1156">
        <v>127.65</v>
      </c>
      <c r="HC41" s="1156">
        <v>10047</v>
      </c>
      <c r="HD41" s="1156">
        <v>114976</v>
      </c>
      <c r="HE41" s="1156" t="s">
        <v>3592</v>
      </c>
      <c r="HF41" s="1156">
        <v>126.6</v>
      </c>
      <c r="HG41" s="1156">
        <v>10120</v>
      </c>
      <c r="HH41" s="1156">
        <v>114166</v>
      </c>
      <c r="HI41" s="1156" t="s">
        <v>3503</v>
      </c>
      <c r="HJ41" s="1156">
        <v>124.4</v>
      </c>
      <c r="HK41" s="1156">
        <v>9741</v>
      </c>
      <c r="HL41" s="1156">
        <v>113872</v>
      </c>
      <c r="HM41" s="1156" t="s">
        <v>3605</v>
      </c>
      <c r="HN41" s="1156">
        <v>122.15</v>
      </c>
      <c r="HO41" s="1156">
        <v>9659</v>
      </c>
      <c r="HP41" s="1156">
        <v>113701</v>
      </c>
      <c r="HQ41" s="1156" t="s">
        <v>3819</v>
      </c>
      <c r="HR41" s="1156">
        <v>126.88</v>
      </c>
      <c r="HS41" s="1156">
        <v>10230</v>
      </c>
      <c r="HT41" s="1156">
        <v>115382</v>
      </c>
      <c r="HU41" s="1156" t="s">
        <v>3556</v>
      </c>
      <c r="HV41" s="1156">
        <v>130.44999999999999</v>
      </c>
      <c r="HW41" s="1156">
        <v>10829</v>
      </c>
      <c r="HX41" s="1156">
        <v>115143</v>
      </c>
      <c r="HY41" s="1156" t="s">
        <v>3613</v>
      </c>
      <c r="HZ41" s="1156">
        <v>131.80000000000001</v>
      </c>
      <c r="IA41" s="1156">
        <v>11037</v>
      </c>
      <c r="IB41" s="1156">
        <v>115137</v>
      </c>
      <c r="IC41" s="1156" t="s">
        <v>3639</v>
      </c>
      <c r="ID41" s="1156">
        <v>133.32</v>
      </c>
      <c r="IE41" s="1156">
        <v>11054</v>
      </c>
      <c r="IF41" s="1156">
        <v>115217</v>
      </c>
      <c r="IG41" s="1156" t="s">
        <v>3811</v>
      </c>
      <c r="IH41" s="1156">
        <v>133.69999999999999</v>
      </c>
      <c r="II41" s="1156">
        <v>11062</v>
      </c>
      <c r="IJ41" s="1156">
        <v>113701</v>
      </c>
      <c r="IK41" s="1156" t="s">
        <v>3529</v>
      </c>
      <c r="IL41" s="1156">
        <v>127.72</v>
      </c>
      <c r="IM41" s="1156">
        <v>10420</v>
      </c>
      <c r="IN41" s="1156">
        <v>113803</v>
      </c>
      <c r="IO41" s="1156" t="s">
        <v>3614</v>
      </c>
      <c r="IP41" s="1156">
        <v>129.09</v>
      </c>
      <c r="IQ41" s="1156">
        <v>10499</v>
      </c>
      <c r="IR41" s="1156">
        <v>113199</v>
      </c>
      <c r="IS41" s="1156" t="s">
        <v>3442</v>
      </c>
      <c r="IT41" s="1156">
        <v>127.27</v>
      </c>
      <c r="IU41" s="1156">
        <v>10191</v>
      </c>
      <c r="IV41" s="1156">
        <v>112534</v>
      </c>
      <c r="IW41" s="1156" t="s">
        <v>3553</v>
      </c>
      <c r="IX41" s="1156">
        <v>130.38</v>
      </c>
      <c r="IY41" s="1156">
        <v>10670</v>
      </c>
      <c r="IZ41" s="1156">
        <v>112752</v>
      </c>
      <c r="JA41" s="1156" t="s">
        <v>3486</v>
      </c>
      <c r="JB41" s="1156">
        <v>127.92</v>
      </c>
      <c r="JC41" s="1156">
        <v>10530</v>
      </c>
      <c r="JD41" s="1156">
        <v>112773</v>
      </c>
      <c r="JE41" s="1156" t="s">
        <v>3457</v>
      </c>
      <c r="JF41" s="1156">
        <v>129.04</v>
      </c>
      <c r="JG41" s="1156">
        <v>10604</v>
      </c>
      <c r="JH41" s="1156">
        <v>113341</v>
      </c>
      <c r="JI41" s="1156" t="s">
        <v>3418</v>
      </c>
      <c r="JJ41" s="1156">
        <v>132.72</v>
      </c>
      <c r="JK41" s="1156">
        <v>11023</v>
      </c>
      <c r="JL41" s="1156">
        <v>112566</v>
      </c>
      <c r="JM41" s="1156" t="s">
        <v>3594</v>
      </c>
      <c r="JN41" s="1156">
        <v>126.99</v>
      </c>
      <c r="JO41" s="1156">
        <v>10328</v>
      </c>
      <c r="JP41" s="1156">
        <v>111795</v>
      </c>
      <c r="JQ41" s="1156" t="s">
        <v>3845</v>
      </c>
      <c r="JR41" s="1156">
        <v>121.84</v>
      </c>
      <c r="JS41" s="1156">
        <v>9815</v>
      </c>
      <c r="JT41" s="1156">
        <v>111716</v>
      </c>
      <c r="JU41" s="1156" t="s">
        <v>3482</v>
      </c>
      <c r="JV41" s="1156">
        <v>108.73</v>
      </c>
      <c r="JW41" s="1156">
        <v>8431</v>
      </c>
      <c r="JX41" s="1156">
        <v>111514</v>
      </c>
      <c r="JY41" s="1156" t="s">
        <v>3738</v>
      </c>
      <c r="JZ41" s="1156">
        <v>134.05000000000001</v>
      </c>
      <c r="KA41" s="1156">
        <v>11361</v>
      </c>
      <c r="KB41" s="1156">
        <v>110647</v>
      </c>
      <c r="KC41" s="1156" t="s">
        <v>3843</v>
      </c>
      <c r="KD41" s="1156">
        <v>132.13999999999999</v>
      </c>
      <c r="KE41" s="1156">
        <v>11891</v>
      </c>
      <c r="KF41" s="1156">
        <v>109860</v>
      </c>
      <c r="KG41" s="1156" t="s">
        <v>3497</v>
      </c>
      <c r="KH41" s="1156">
        <v>113.51</v>
      </c>
      <c r="KI41" s="1156">
        <v>7977</v>
      </c>
      <c r="KJ41" s="1156">
        <v>104091</v>
      </c>
      <c r="KK41" s="1156" t="s">
        <v>3482</v>
      </c>
      <c r="KL41" s="1156">
        <v>130.41999999999999</v>
      </c>
      <c r="KM41" s="1156">
        <v>12404</v>
      </c>
      <c r="KN41" s="1156">
        <v>109844</v>
      </c>
      <c r="KO41" s="1156" t="s">
        <v>3540</v>
      </c>
      <c r="KP41" s="1156">
        <v>103.93</v>
      </c>
      <c r="KQ41" s="1156">
        <v>7995</v>
      </c>
      <c r="KR41" s="1156">
        <v>87833</v>
      </c>
      <c r="KS41" s="1156" t="s">
        <v>3912</v>
      </c>
      <c r="KT41" s="1156">
        <v>100.53</v>
      </c>
      <c r="KU41" s="1156">
        <v>7387</v>
      </c>
      <c r="KV41" s="1156">
        <v>110984</v>
      </c>
      <c r="KW41" s="1156" t="s">
        <v>3914</v>
      </c>
    </row>
    <row r="44" spans="1:309">
      <c r="A44" s="1156" t="s">
        <v>3915</v>
      </c>
      <c r="B44" s="1156" t="s">
        <v>3393</v>
      </c>
      <c r="C44" s="1156" t="s">
        <v>3394</v>
      </c>
      <c r="D44" s="1156" t="s">
        <v>3395</v>
      </c>
      <c r="E44" s="1156" t="s">
        <v>3396</v>
      </c>
    </row>
    <row r="45" spans="1:309">
      <c r="A45" s="1156" t="s">
        <v>3916</v>
      </c>
      <c r="B45" s="1156">
        <v>89.76</v>
      </c>
      <c r="C45" s="1156">
        <v>9498</v>
      </c>
      <c r="D45" s="1156">
        <v>61445</v>
      </c>
      <c r="E45" s="1156" t="s">
        <v>3700</v>
      </c>
    </row>
    <row r="46" spans="1:309">
      <c r="A46" s="1156" t="s">
        <v>3917</v>
      </c>
      <c r="B46" s="1156">
        <v>89.94</v>
      </c>
      <c r="C46" s="1156">
        <v>9398</v>
      </c>
      <c r="D46" s="1156">
        <v>62005</v>
      </c>
      <c r="E46" s="1156" t="s">
        <v>3778</v>
      </c>
    </row>
    <row r="47" spans="1:309">
      <c r="A47" s="1156" t="s">
        <v>3918</v>
      </c>
      <c r="B47" s="1156">
        <v>90.34</v>
      </c>
      <c r="C47" s="1156">
        <v>9472</v>
      </c>
      <c r="D47" s="1156">
        <v>62171</v>
      </c>
      <c r="E47" s="1156" t="s">
        <v>3711</v>
      </c>
    </row>
    <row r="48" spans="1:309">
      <c r="A48" s="1156" t="s">
        <v>3919</v>
      </c>
      <c r="B48" s="1156">
        <v>89.97</v>
      </c>
      <c r="C48" s="1156">
        <v>9440</v>
      </c>
      <c r="D48" s="1156">
        <v>62163</v>
      </c>
      <c r="E48" s="1156" t="s">
        <v>3704</v>
      </c>
    </row>
    <row r="49" spans="1:5">
      <c r="A49" s="1156" t="s">
        <v>3920</v>
      </c>
      <c r="B49" s="1156">
        <v>90.02</v>
      </c>
      <c r="C49" s="1156">
        <v>9464</v>
      </c>
      <c r="D49" s="1156">
        <v>62702</v>
      </c>
      <c r="E49" s="1156" t="s">
        <v>3703</v>
      </c>
    </row>
    <row r="50" spans="1:5">
      <c r="A50" s="1156" t="s">
        <v>3921</v>
      </c>
      <c r="B50" s="1156">
        <v>90.41</v>
      </c>
      <c r="C50" s="1156">
        <v>9496</v>
      </c>
      <c r="D50" s="1156">
        <v>62741</v>
      </c>
      <c r="E50" s="1156" t="s">
        <v>3712</v>
      </c>
    </row>
    <row r="51" spans="1:5">
      <c r="A51" s="1156" t="s">
        <v>3922</v>
      </c>
      <c r="B51" s="1156">
        <v>91.16</v>
      </c>
      <c r="C51" s="1156">
        <v>9559</v>
      </c>
      <c r="D51" s="1156">
        <v>62820</v>
      </c>
      <c r="E51" s="1156" t="s">
        <v>3778</v>
      </c>
    </row>
    <row r="52" spans="1:5">
      <c r="A52" s="1156" t="s">
        <v>3923</v>
      </c>
      <c r="B52" s="1156">
        <v>91.93</v>
      </c>
      <c r="C52" s="1156">
        <v>9640</v>
      </c>
      <c r="D52" s="1156">
        <v>63017</v>
      </c>
      <c r="E52" s="1156" t="s">
        <v>3700</v>
      </c>
    </row>
    <row r="53" spans="1:5">
      <c r="A53" s="1156" t="s">
        <v>3924</v>
      </c>
      <c r="B53" s="1156">
        <v>92.24</v>
      </c>
      <c r="C53" s="1156">
        <v>9694</v>
      </c>
      <c r="D53" s="1156">
        <v>62914</v>
      </c>
      <c r="E53" s="1156" t="s">
        <v>3716</v>
      </c>
    </row>
    <row r="54" spans="1:5">
      <c r="A54" s="1156" t="s">
        <v>3925</v>
      </c>
      <c r="B54" s="1156">
        <v>92.4</v>
      </c>
      <c r="C54" s="1156">
        <v>9682</v>
      </c>
      <c r="D54" s="1156">
        <v>62893</v>
      </c>
      <c r="E54" s="1156" t="s">
        <v>3698</v>
      </c>
    </row>
    <row r="55" spans="1:5">
      <c r="A55" s="1156" t="s">
        <v>3926</v>
      </c>
      <c r="B55" s="1156">
        <v>92.17</v>
      </c>
      <c r="C55" s="1156">
        <v>9648</v>
      </c>
      <c r="D55" s="1156">
        <v>62924</v>
      </c>
      <c r="E55" s="1156" t="s">
        <v>3707</v>
      </c>
    </row>
    <row r="56" spans="1:5">
      <c r="A56" s="1156" t="s">
        <v>3927</v>
      </c>
      <c r="B56" s="1156">
        <v>91.81</v>
      </c>
      <c r="C56" s="1156">
        <v>9557</v>
      </c>
      <c r="D56" s="1156">
        <v>62967</v>
      </c>
      <c r="E56" s="1156" t="s">
        <v>3858</v>
      </c>
    </row>
    <row r="57" spans="1:5">
      <c r="A57" s="1156" t="s">
        <v>3928</v>
      </c>
      <c r="B57" s="1156">
        <v>91.56</v>
      </c>
      <c r="C57" s="1156">
        <v>9550</v>
      </c>
      <c r="D57" s="1156">
        <v>63006</v>
      </c>
      <c r="E57" s="1156" t="s">
        <v>3711</v>
      </c>
    </row>
    <row r="58" spans="1:5">
      <c r="A58" s="1156" t="s">
        <v>3929</v>
      </c>
      <c r="B58" s="1156">
        <v>91.32</v>
      </c>
      <c r="C58" s="1156">
        <v>9527</v>
      </c>
      <c r="D58" s="1156">
        <v>62988</v>
      </c>
      <c r="E58" s="1156" t="s">
        <v>3701</v>
      </c>
    </row>
    <row r="59" spans="1:5">
      <c r="A59" s="1156" t="s">
        <v>3930</v>
      </c>
      <c r="B59" s="1156">
        <v>90.9</v>
      </c>
      <c r="C59" s="1156">
        <v>9488</v>
      </c>
      <c r="D59" s="1156">
        <v>63195</v>
      </c>
      <c r="E59" s="1156" t="s">
        <v>3641</v>
      </c>
    </row>
    <row r="60" spans="1:5">
      <c r="A60" s="1156" t="s">
        <v>3931</v>
      </c>
      <c r="B60" s="1156">
        <v>90.48</v>
      </c>
      <c r="C60" s="1156">
        <v>9451</v>
      </c>
      <c r="D60" s="1156">
        <v>63453</v>
      </c>
      <c r="E60" s="1156" t="s">
        <v>3859</v>
      </c>
    </row>
    <row r="61" spans="1:5">
      <c r="A61" s="1156" t="s">
        <v>3932</v>
      </c>
      <c r="B61" s="1156">
        <v>89.94</v>
      </c>
      <c r="C61" s="1156">
        <v>9412</v>
      </c>
      <c r="D61" s="1156">
        <v>63436</v>
      </c>
      <c r="E61" s="1156" t="s">
        <v>3872</v>
      </c>
    </row>
    <row r="62" spans="1:5">
      <c r="A62" s="1156" t="s">
        <v>3933</v>
      </c>
      <c r="B62" s="1156">
        <v>90.26</v>
      </c>
      <c r="C62" s="1156">
        <v>9420</v>
      </c>
      <c r="D62" s="1156">
        <v>63544</v>
      </c>
      <c r="E62" s="1156" t="s">
        <v>3865</v>
      </c>
    </row>
    <row r="63" spans="1:5">
      <c r="A63" s="1156" t="s">
        <v>3934</v>
      </c>
      <c r="B63" s="1156">
        <v>90.83</v>
      </c>
      <c r="C63" s="1156">
        <v>9537</v>
      </c>
      <c r="D63" s="1156">
        <v>63521</v>
      </c>
      <c r="E63" s="1156" t="s">
        <v>3714</v>
      </c>
    </row>
    <row r="64" spans="1:5">
      <c r="A64" s="1156" t="s">
        <v>3935</v>
      </c>
      <c r="B64" s="1156">
        <v>91.24</v>
      </c>
      <c r="C64" s="1156">
        <v>9585</v>
      </c>
      <c r="D64" s="1156">
        <v>63546</v>
      </c>
      <c r="E64" s="1156" t="s">
        <v>3851</v>
      </c>
    </row>
    <row r="65" spans="1:5">
      <c r="A65" s="1156" t="s">
        <v>3936</v>
      </c>
      <c r="B65" s="1156">
        <v>91.47</v>
      </c>
      <c r="C65" s="1156">
        <v>9725</v>
      </c>
      <c r="D65" s="1156">
        <v>63624</v>
      </c>
      <c r="E65" s="1156" t="s">
        <v>3851</v>
      </c>
    </row>
    <row r="66" spans="1:5">
      <c r="A66" s="1156" t="s">
        <v>3937</v>
      </c>
      <c r="B66" s="1156">
        <v>91.43</v>
      </c>
      <c r="C66" s="1156">
        <v>9722</v>
      </c>
      <c r="D66" s="1156">
        <v>63314</v>
      </c>
      <c r="E66" s="1156" t="s">
        <v>3860</v>
      </c>
    </row>
    <row r="67" spans="1:5">
      <c r="A67" s="1156" t="s">
        <v>3938</v>
      </c>
      <c r="B67" s="1156">
        <v>91.15</v>
      </c>
      <c r="C67" s="1156">
        <v>9756</v>
      </c>
      <c r="D67" s="1156">
        <v>63413</v>
      </c>
      <c r="E67" s="1156" t="s">
        <v>3851</v>
      </c>
    </row>
    <row r="68" spans="1:5">
      <c r="A68" s="1156" t="s">
        <v>3939</v>
      </c>
      <c r="B68" s="1156">
        <v>91</v>
      </c>
      <c r="C68" s="1156">
        <v>9709</v>
      </c>
      <c r="D68" s="1156">
        <v>62910</v>
      </c>
      <c r="E68" s="1156" t="s">
        <v>3704</v>
      </c>
    </row>
    <row r="69" spans="1:5">
      <c r="A69" s="1156" t="s">
        <v>3940</v>
      </c>
      <c r="B69" s="1156">
        <v>91.01</v>
      </c>
      <c r="C69" s="1156">
        <v>9752</v>
      </c>
      <c r="D69" s="1156">
        <v>63102</v>
      </c>
      <c r="E69" s="1156" t="s">
        <v>3702</v>
      </c>
    </row>
    <row r="70" spans="1:5">
      <c r="A70" s="1156" t="s">
        <v>3941</v>
      </c>
      <c r="B70" s="1156">
        <v>91.01</v>
      </c>
      <c r="C70" s="1156">
        <v>9855</v>
      </c>
      <c r="D70" s="1156">
        <v>63025</v>
      </c>
      <c r="E70" s="1156" t="s">
        <v>3702</v>
      </c>
    </row>
    <row r="71" spans="1:5">
      <c r="A71" s="1156" t="s">
        <v>3942</v>
      </c>
      <c r="B71" s="1156">
        <v>90.69</v>
      </c>
      <c r="C71" s="1156">
        <v>9811</v>
      </c>
      <c r="D71" s="1156">
        <v>62868</v>
      </c>
      <c r="E71" s="1156" t="s">
        <v>3702</v>
      </c>
    </row>
    <row r="72" spans="1:5">
      <c r="A72" s="1156" t="s">
        <v>3943</v>
      </c>
      <c r="B72" s="1156">
        <v>90.2</v>
      </c>
      <c r="C72" s="1156">
        <v>9755</v>
      </c>
      <c r="D72" s="1156">
        <v>63064</v>
      </c>
      <c r="E72" s="1156" t="s">
        <v>3714</v>
      </c>
    </row>
    <row r="73" spans="1:5">
      <c r="A73" s="1156" t="s">
        <v>3944</v>
      </c>
      <c r="B73" s="1156">
        <v>90.05</v>
      </c>
      <c r="C73" s="1156">
        <v>9751</v>
      </c>
      <c r="D73" s="1156">
        <v>62158</v>
      </c>
      <c r="E73" s="1156" t="s">
        <v>3701</v>
      </c>
    </row>
    <row r="74" spans="1:5">
      <c r="A74" s="1156" t="s">
        <v>3945</v>
      </c>
      <c r="B74" s="1156">
        <v>90.59</v>
      </c>
      <c r="C74" s="1156">
        <v>9789</v>
      </c>
      <c r="D74" s="1156">
        <v>62067</v>
      </c>
      <c r="E74" s="1156" t="s">
        <v>3700</v>
      </c>
    </row>
    <row r="75" spans="1:5">
      <c r="A75" s="1156" t="s">
        <v>3946</v>
      </c>
      <c r="B75" s="1156">
        <v>91.58</v>
      </c>
      <c r="C75" s="1156">
        <v>9976</v>
      </c>
      <c r="D75" s="1156">
        <v>62157</v>
      </c>
      <c r="E75" s="1156" t="s">
        <v>3705</v>
      </c>
    </row>
    <row r="76" spans="1:5">
      <c r="A76" s="1156" t="s">
        <v>3947</v>
      </c>
      <c r="B76" s="1156">
        <v>93.26</v>
      </c>
      <c r="C76" s="1156">
        <v>10068</v>
      </c>
      <c r="D76" s="1156">
        <v>62323</v>
      </c>
      <c r="E76" s="1156" t="s">
        <v>3749</v>
      </c>
    </row>
    <row r="77" spans="1:5">
      <c r="A77" s="1156" t="s">
        <v>3948</v>
      </c>
      <c r="B77" s="1156">
        <v>94.36</v>
      </c>
      <c r="C77" s="1156">
        <v>10093</v>
      </c>
      <c r="D77" s="1156">
        <v>62425</v>
      </c>
      <c r="E77" s="1156" t="s">
        <v>3751</v>
      </c>
    </row>
    <row r="78" spans="1:5">
      <c r="A78" s="1156" t="s">
        <v>3949</v>
      </c>
      <c r="B78" s="1156">
        <v>99.27</v>
      </c>
      <c r="C78" s="1156">
        <v>9911</v>
      </c>
      <c r="D78" s="1156">
        <v>62870</v>
      </c>
      <c r="E78" s="1156" t="s">
        <v>3950</v>
      </c>
    </row>
    <row r="79" spans="1:5">
      <c r="A79" s="1156" t="s">
        <v>3951</v>
      </c>
      <c r="B79" s="1156">
        <v>98.88</v>
      </c>
      <c r="C79" s="1156">
        <v>9994</v>
      </c>
      <c r="D79" s="1156">
        <v>62866</v>
      </c>
      <c r="E79" s="1156" t="s">
        <v>3737</v>
      </c>
    </row>
    <row r="80" spans="1:5">
      <c r="A80" s="1156" t="s">
        <v>3952</v>
      </c>
      <c r="B80" s="1156">
        <v>92.54</v>
      </c>
      <c r="C80" s="1156">
        <v>8494</v>
      </c>
      <c r="D80" s="1156">
        <v>62819</v>
      </c>
      <c r="E80" s="1156" t="s">
        <v>3705</v>
      </c>
    </row>
    <row r="81" spans="1:5">
      <c r="A81" s="1156" t="s">
        <v>3953</v>
      </c>
      <c r="B81" s="1156">
        <v>97.63</v>
      </c>
      <c r="C81" s="1156">
        <v>9352</v>
      </c>
      <c r="D81" s="1156">
        <v>61890</v>
      </c>
      <c r="E81" s="1156" t="s">
        <v>3757</v>
      </c>
    </row>
    <row r="82" spans="1:5">
      <c r="A82" s="1156" t="s">
        <v>3954</v>
      </c>
      <c r="B82" s="1156">
        <v>92.36</v>
      </c>
      <c r="C82" s="1156">
        <v>8381</v>
      </c>
      <c r="D82" s="1156">
        <v>60748</v>
      </c>
      <c r="E82" s="1156" t="s">
        <v>3887</v>
      </c>
    </row>
    <row r="83" spans="1:5">
      <c r="A83" s="1156" t="s">
        <v>3955</v>
      </c>
      <c r="B83" s="1156">
        <v>92.56</v>
      </c>
      <c r="C83" s="1156">
        <v>8557</v>
      </c>
      <c r="D83" s="1156">
        <v>60772</v>
      </c>
      <c r="E83" s="1156" t="s">
        <v>3743</v>
      </c>
    </row>
    <row r="84" spans="1:5">
      <c r="A84" s="1156" t="s">
        <v>3956</v>
      </c>
      <c r="B84" s="1156">
        <v>88</v>
      </c>
      <c r="C84" s="1156">
        <v>8068</v>
      </c>
      <c r="D84" s="1156">
        <v>60127</v>
      </c>
      <c r="E84" s="1156" t="s">
        <v>3707</v>
      </c>
    </row>
    <row r="85" spans="1:5">
      <c r="A85" s="1156" t="s">
        <v>3957</v>
      </c>
      <c r="B85" s="1156">
        <v>89.55</v>
      </c>
      <c r="C85" s="1156">
        <v>8316</v>
      </c>
      <c r="D85" s="1156">
        <v>59263</v>
      </c>
      <c r="E85" s="1156" t="s">
        <v>3751</v>
      </c>
    </row>
    <row r="86" spans="1:5">
      <c r="A86" s="1156" t="s">
        <v>3958</v>
      </c>
      <c r="B86" s="1156">
        <v>88.35</v>
      </c>
      <c r="C86" s="1156">
        <v>8122</v>
      </c>
      <c r="D86" s="1156">
        <v>60422</v>
      </c>
      <c r="E86" s="1156" t="s">
        <v>3699</v>
      </c>
    </row>
    <row r="87" spans="1:5">
      <c r="A87" s="1156" t="s">
        <v>3959</v>
      </c>
      <c r="B87" s="1156">
        <v>89.62</v>
      </c>
      <c r="C87" s="1156">
        <v>8178</v>
      </c>
      <c r="D87" s="1156">
        <v>60313</v>
      </c>
      <c r="E87" s="1156" t="s">
        <v>3867</v>
      </c>
    </row>
    <row r="88" spans="1:5">
      <c r="A88" s="1156" t="s">
        <v>3960</v>
      </c>
      <c r="B88" s="1156">
        <v>88.55</v>
      </c>
      <c r="C88" s="1156">
        <v>8123</v>
      </c>
      <c r="D88" s="1156">
        <v>60547</v>
      </c>
      <c r="E88" s="1156" t="s">
        <v>3699</v>
      </c>
    </row>
    <row r="89" spans="1:5">
      <c r="A89" s="1156" t="s">
        <v>3961</v>
      </c>
      <c r="B89" s="1156">
        <v>91.38</v>
      </c>
      <c r="C89" s="1156">
        <v>8491</v>
      </c>
      <c r="D89" s="1156">
        <v>61086</v>
      </c>
      <c r="E89" s="1156" t="s">
        <v>3749</v>
      </c>
    </row>
    <row r="90" spans="1:5">
      <c r="A90" s="1156" t="s">
        <v>3962</v>
      </c>
      <c r="B90" s="1156">
        <v>92.22</v>
      </c>
      <c r="C90" s="1156">
        <v>8379</v>
      </c>
      <c r="D90" s="1156">
        <v>61164</v>
      </c>
      <c r="E90" s="1156" t="s">
        <v>3753</v>
      </c>
    </row>
    <row r="91" spans="1:5">
      <c r="A91" s="1156" t="s">
        <v>3963</v>
      </c>
      <c r="B91" s="1156">
        <v>92.39</v>
      </c>
      <c r="C91" s="1156">
        <v>8357</v>
      </c>
      <c r="D91" s="1156">
        <v>61323</v>
      </c>
      <c r="E91" s="1156" t="s">
        <v>3883</v>
      </c>
    </row>
    <row r="92" spans="1:5">
      <c r="A92" s="1156" t="s">
        <v>3964</v>
      </c>
      <c r="B92" s="1156">
        <v>92.09</v>
      </c>
      <c r="C92" s="1156">
        <v>8215</v>
      </c>
      <c r="D92" s="1156">
        <v>61094</v>
      </c>
      <c r="E92" s="1156" t="s">
        <v>3753</v>
      </c>
    </row>
    <row r="93" spans="1:5">
      <c r="A93" s="1156" t="s">
        <v>3965</v>
      </c>
      <c r="B93" s="1156">
        <v>92.19</v>
      </c>
      <c r="C93" s="1156">
        <v>8188</v>
      </c>
      <c r="D93" s="1156">
        <v>60203</v>
      </c>
      <c r="E93" s="1156" t="s">
        <v>3745</v>
      </c>
    </row>
    <row r="94" spans="1:5">
      <c r="A94" s="1156" t="s">
        <v>3966</v>
      </c>
      <c r="B94" s="1156">
        <v>97.14</v>
      </c>
      <c r="C94" s="1156">
        <v>8766</v>
      </c>
      <c r="D94" s="1156">
        <v>60415</v>
      </c>
      <c r="E94" s="1156" t="s">
        <v>3758</v>
      </c>
    </row>
    <row r="95" spans="1:5">
      <c r="A95" s="1156" t="s">
        <v>3967</v>
      </c>
      <c r="B95" s="1156">
        <v>96.67</v>
      </c>
      <c r="C95" s="1156">
        <v>8737</v>
      </c>
      <c r="D95" s="1156">
        <v>60684</v>
      </c>
      <c r="E95" s="1156" t="s">
        <v>3862</v>
      </c>
    </row>
    <row r="96" spans="1:5">
      <c r="A96" s="1156" t="s">
        <v>3968</v>
      </c>
      <c r="B96" s="1156">
        <v>93.53</v>
      </c>
      <c r="C96" s="1156">
        <v>8393</v>
      </c>
      <c r="D96" s="1156">
        <v>60846</v>
      </c>
      <c r="E96" s="1156" t="s">
        <v>3747</v>
      </c>
    </row>
    <row r="97" spans="1:5">
      <c r="A97" s="1156" t="s">
        <v>3969</v>
      </c>
      <c r="B97" s="1156">
        <v>90.51</v>
      </c>
      <c r="C97" s="1156">
        <v>8119</v>
      </c>
      <c r="D97" s="1156">
        <v>60792</v>
      </c>
      <c r="E97" s="1156" t="s">
        <v>3864</v>
      </c>
    </row>
    <row r="98" spans="1:5">
      <c r="A98" s="1156" t="s">
        <v>3970</v>
      </c>
      <c r="B98" s="1156">
        <v>88.84</v>
      </c>
      <c r="C98" s="1156">
        <v>7737</v>
      </c>
      <c r="D98" s="1156">
        <v>60884</v>
      </c>
      <c r="E98" s="1156" t="s">
        <v>3700</v>
      </c>
    </row>
    <row r="99" spans="1:5">
      <c r="A99" s="1156" t="s">
        <v>3971</v>
      </c>
      <c r="B99" s="1156">
        <v>90</v>
      </c>
      <c r="C99" s="1156">
        <v>7799</v>
      </c>
      <c r="D99" s="1156">
        <v>60965</v>
      </c>
      <c r="E99" s="1156" t="s">
        <v>3780</v>
      </c>
    </row>
    <row r="100" spans="1:5">
      <c r="A100" s="1156" t="s">
        <v>3972</v>
      </c>
      <c r="B100" s="1156">
        <v>91.9</v>
      </c>
      <c r="C100" s="1156">
        <v>8143</v>
      </c>
      <c r="D100" s="1156">
        <v>61179</v>
      </c>
      <c r="E100" s="1156" t="s">
        <v>3752</v>
      </c>
    </row>
    <row r="101" spans="1:5">
      <c r="A101" s="1156" t="s">
        <v>3973</v>
      </c>
      <c r="B101" s="1156">
        <v>93.25</v>
      </c>
      <c r="C101" s="1156">
        <v>8509</v>
      </c>
      <c r="D101" s="1156">
        <v>61256</v>
      </c>
      <c r="E101" s="1156" t="s">
        <v>3743</v>
      </c>
    </row>
    <row r="102" spans="1:5">
      <c r="A102" s="1156" t="s">
        <v>3974</v>
      </c>
      <c r="B102" s="1156">
        <v>93.63</v>
      </c>
      <c r="C102" s="1156">
        <v>8423</v>
      </c>
      <c r="D102" s="1156">
        <v>61779</v>
      </c>
      <c r="E102" s="1156" t="s">
        <v>3754</v>
      </c>
    </row>
    <row r="103" spans="1:5">
      <c r="A103" s="1156" t="s">
        <v>3975</v>
      </c>
      <c r="B103" s="1156">
        <v>94.48</v>
      </c>
      <c r="C103" s="1156">
        <v>8710</v>
      </c>
      <c r="D103" s="1156">
        <v>61956</v>
      </c>
      <c r="E103" s="1156" t="s">
        <v>3719</v>
      </c>
    </row>
    <row r="104" spans="1:5">
      <c r="A104" s="1156" t="s">
        <v>3976</v>
      </c>
      <c r="B104" s="1156">
        <v>94.62</v>
      </c>
      <c r="C104" s="1156">
        <v>8702</v>
      </c>
      <c r="D104" s="1156">
        <v>62492</v>
      </c>
      <c r="E104" s="1156" t="s">
        <v>3754</v>
      </c>
    </row>
    <row r="105" spans="1:5">
      <c r="A105" s="1156" t="s">
        <v>3977</v>
      </c>
      <c r="B105" s="1156">
        <v>94.74</v>
      </c>
      <c r="C105" s="1156">
        <v>8571</v>
      </c>
      <c r="D105" s="1156">
        <v>62709</v>
      </c>
      <c r="E105" s="1156" t="s">
        <v>3751</v>
      </c>
    </row>
    <row r="106" spans="1:5">
      <c r="A106" s="1156" t="s">
        <v>3978</v>
      </c>
      <c r="B106" s="1156">
        <v>95.76</v>
      </c>
      <c r="C106" s="1156">
        <v>8793</v>
      </c>
      <c r="D106" s="1156">
        <v>62464</v>
      </c>
      <c r="E106" s="1156" t="s">
        <v>3756</v>
      </c>
    </row>
    <row r="107" spans="1:5">
      <c r="A107" s="1156" t="s">
        <v>3979</v>
      </c>
      <c r="B107" s="1156">
        <v>94.9</v>
      </c>
      <c r="C107" s="1156">
        <v>8494</v>
      </c>
      <c r="D107" s="1156">
        <v>62105</v>
      </c>
      <c r="E107" s="1156" t="s">
        <v>3720</v>
      </c>
    </row>
    <row r="108" spans="1:5">
      <c r="A108" s="1156" t="s">
        <v>3980</v>
      </c>
      <c r="B108" s="1156">
        <v>93.49</v>
      </c>
      <c r="C108" s="1156">
        <v>8597</v>
      </c>
      <c r="D108" s="1156">
        <v>61964</v>
      </c>
      <c r="E108" s="1156" t="s">
        <v>3753</v>
      </c>
    </row>
    <row r="109" spans="1:5">
      <c r="A109" s="1156" t="s">
        <v>3981</v>
      </c>
      <c r="B109" s="1156">
        <v>93.68</v>
      </c>
      <c r="C109" s="1156">
        <v>8503</v>
      </c>
      <c r="D109" s="1156">
        <v>60910</v>
      </c>
      <c r="E109" s="1156" t="s">
        <v>3746</v>
      </c>
    </row>
    <row r="110" spans="1:5">
      <c r="A110" s="1156" t="s">
        <v>3982</v>
      </c>
      <c r="B110" s="1156">
        <v>93.17</v>
      </c>
      <c r="C110" s="1156">
        <v>8456</v>
      </c>
      <c r="D110" s="1156">
        <v>60891</v>
      </c>
      <c r="E110" s="1156" t="s">
        <v>3720</v>
      </c>
    </row>
    <row r="111" spans="1:5">
      <c r="A111" s="1156" t="s">
        <v>3983</v>
      </c>
      <c r="B111" s="1156">
        <v>93.96</v>
      </c>
      <c r="C111" s="1156">
        <v>8470</v>
      </c>
      <c r="D111" s="1156">
        <v>60921</v>
      </c>
      <c r="E111" s="1156" t="s">
        <v>3742</v>
      </c>
    </row>
    <row r="112" spans="1:5">
      <c r="A112" s="1156" t="s">
        <v>3984</v>
      </c>
      <c r="B112" s="1156">
        <v>92.98</v>
      </c>
      <c r="C112" s="1156">
        <v>8341</v>
      </c>
      <c r="D112" s="1156">
        <v>59164</v>
      </c>
      <c r="E112" s="1156" t="s">
        <v>3737</v>
      </c>
    </row>
    <row r="113" spans="1:5">
      <c r="A113" s="1156" t="s">
        <v>3985</v>
      </c>
      <c r="B113" s="1156">
        <v>90.73</v>
      </c>
      <c r="C113" s="1156">
        <v>8030</v>
      </c>
      <c r="D113" s="1156">
        <v>58113</v>
      </c>
      <c r="E113" s="1156" t="s">
        <v>3776</v>
      </c>
    </row>
    <row r="114" spans="1:5">
      <c r="A114" s="1156" t="s">
        <v>3986</v>
      </c>
      <c r="B114" s="1156">
        <v>85.98</v>
      </c>
      <c r="C114" s="1156">
        <v>7568</v>
      </c>
      <c r="D114" s="1156">
        <v>57093</v>
      </c>
      <c r="E114" s="1156" t="s">
        <v>3883</v>
      </c>
    </row>
    <row r="115" spans="1:5">
      <c r="A115" s="1156" t="s">
        <v>3987</v>
      </c>
      <c r="B115" s="1156">
        <v>96.26</v>
      </c>
      <c r="C115" s="1156">
        <v>8977</v>
      </c>
      <c r="D115" s="1156">
        <v>56804</v>
      </c>
      <c r="E115" s="1156" t="s">
        <v>3988</v>
      </c>
    </row>
    <row r="116" spans="1:5">
      <c r="A116" s="1156" t="s">
        <v>3989</v>
      </c>
      <c r="B116" s="1156">
        <v>93.19</v>
      </c>
      <c r="C116" s="1156">
        <v>8551</v>
      </c>
      <c r="D116" s="1156">
        <v>56119</v>
      </c>
      <c r="E116" s="1156" t="s">
        <v>3990</v>
      </c>
    </row>
    <row r="117" spans="1:5">
      <c r="A117" s="1156" t="s">
        <v>3991</v>
      </c>
      <c r="B117" s="1156">
        <v>77.03</v>
      </c>
      <c r="C117" s="1156">
        <v>5960</v>
      </c>
      <c r="D117" s="1156">
        <v>57939</v>
      </c>
      <c r="E117" s="1156" t="s">
        <v>3724</v>
      </c>
    </row>
    <row r="118" spans="1:5">
      <c r="A118" s="1156" t="s">
        <v>3992</v>
      </c>
      <c r="B118" s="1156">
        <v>95.74</v>
      </c>
      <c r="C118" s="1156">
        <v>10067</v>
      </c>
      <c r="D118" s="1156">
        <v>58296</v>
      </c>
      <c r="E118" s="1156" t="s">
        <v>3772</v>
      </c>
    </row>
    <row r="119" spans="1:5">
      <c r="A119" s="1156" t="s">
        <v>3993</v>
      </c>
      <c r="B119" s="1156">
        <v>82.95</v>
      </c>
      <c r="C119" s="1156">
        <v>7343</v>
      </c>
      <c r="D119" s="1156">
        <v>58319</v>
      </c>
      <c r="E119" s="1156" t="s">
        <v>3708</v>
      </c>
    </row>
    <row r="120" spans="1:5">
      <c r="A120" s="1156" t="s">
        <v>3994</v>
      </c>
      <c r="B120" s="1156">
        <v>74.73</v>
      </c>
      <c r="C120" s="1156">
        <v>6384</v>
      </c>
      <c r="D120" s="1156">
        <v>58334</v>
      </c>
      <c r="E120" s="1156" t="s">
        <v>3650</v>
      </c>
    </row>
  </sheetData>
  <mergeCells count="309">
    <mergeCell ref="KT25:KW25"/>
    <mergeCell ref="JV25:JY25"/>
    <mergeCell ref="JZ25:KC25"/>
    <mergeCell ref="KD25:KG25"/>
    <mergeCell ref="KH25:KK25"/>
    <mergeCell ref="KL25:KO25"/>
    <mergeCell ref="KP25:KS25"/>
    <mergeCell ref="IX25:JA25"/>
    <mergeCell ref="JB25:JE25"/>
    <mergeCell ref="JF25:JI25"/>
    <mergeCell ref="JJ25:JM25"/>
    <mergeCell ref="JN25:JQ25"/>
    <mergeCell ref="JR25:JU25"/>
    <mergeCell ref="HZ25:IC25"/>
    <mergeCell ref="ID25:IG25"/>
    <mergeCell ref="IH25:IK25"/>
    <mergeCell ref="IL25:IO25"/>
    <mergeCell ref="IP25:IS25"/>
    <mergeCell ref="IT25:IW25"/>
    <mergeCell ref="HB25:HE25"/>
    <mergeCell ref="HF25:HI25"/>
    <mergeCell ref="HJ25:HM25"/>
    <mergeCell ref="HN25:HQ25"/>
    <mergeCell ref="HR25:HU25"/>
    <mergeCell ref="HV25:HY25"/>
    <mergeCell ref="GD25:GG25"/>
    <mergeCell ref="GH25:GK25"/>
    <mergeCell ref="GL25:GO25"/>
    <mergeCell ref="GP25:GS25"/>
    <mergeCell ref="GT25:GW25"/>
    <mergeCell ref="GX25:HA25"/>
    <mergeCell ref="FF25:FI25"/>
    <mergeCell ref="FJ25:FM25"/>
    <mergeCell ref="FN25:FQ25"/>
    <mergeCell ref="FR25:FU25"/>
    <mergeCell ref="FV25:FY25"/>
    <mergeCell ref="FZ25:GC25"/>
    <mergeCell ref="EH25:EK25"/>
    <mergeCell ref="EL25:EO25"/>
    <mergeCell ref="EP25:ES25"/>
    <mergeCell ref="ET25:EW25"/>
    <mergeCell ref="EX25:FA25"/>
    <mergeCell ref="FB25:FE25"/>
    <mergeCell ref="DJ25:DM25"/>
    <mergeCell ref="DN25:DQ25"/>
    <mergeCell ref="DR25:DU25"/>
    <mergeCell ref="DV25:DY25"/>
    <mergeCell ref="DZ25:EC25"/>
    <mergeCell ref="ED25:EG25"/>
    <mergeCell ref="CL25:CO25"/>
    <mergeCell ref="CP25:CS25"/>
    <mergeCell ref="CT25:CW25"/>
    <mergeCell ref="CX25:DA25"/>
    <mergeCell ref="DB25:DE25"/>
    <mergeCell ref="DF25:DI25"/>
    <mergeCell ref="BN25:BQ25"/>
    <mergeCell ref="BR25:BU25"/>
    <mergeCell ref="BV25:BY25"/>
    <mergeCell ref="BZ25:CC25"/>
    <mergeCell ref="CD25:CG25"/>
    <mergeCell ref="CH25:CK25"/>
    <mergeCell ref="AP25:AS25"/>
    <mergeCell ref="AT25:AW25"/>
    <mergeCell ref="AX25:BA25"/>
    <mergeCell ref="BB25:BE25"/>
    <mergeCell ref="BF25:BI25"/>
    <mergeCell ref="BJ25:BM25"/>
    <mergeCell ref="R25:U25"/>
    <mergeCell ref="V25:Y25"/>
    <mergeCell ref="Z25:AC25"/>
    <mergeCell ref="AD25:AG25"/>
    <mergeCell ref="AH25:AK25"/>
    <mergeCell ref="AL25:AO25"/>
    <mergeCell ref="JZ16:KC16"/>
    <mergeCell ref="KD16:KG16"/>
    <mergeCell ref="KH16:KK16"/>
    <mergeCell ref="KL16:KO16"/>
    <mergeCell ref="KP16:KS16"/>
    <mergeCell ref="A25:A26"/>
    <mergeCell ref="B25:E25"/>
    <mergeCell ref="F25:I25"/>
    <mergeCell ref="J25:M25"/>
    <mergeCell ref="N25:Q25"/>
    <mergeCell ref="JB16:JE16"/>
    <mergeCell ref="JF16:JI16"/>
    <mergeCell ref="JJ16:JM16"/>
    <mergeCell ref="JN16:JQ16"/>
    <mergeCell ref="JR16:JU16"/>
    <mergeCell ref="JV16:JY16"/>
    <mergeCell ref="ID16:IG16"/>
    <mergeCell ref="IH16:IK16"/>
    <mergeCell ref="IL16:IO16"/>
    <mergeCell ref="IP16:IS16"/>
    <mergeCell ref="IT16:IW16"/>
    <mergeCell ref="IX16:JA16"/>
    <mergeCell ref="HF16:HI16"/>
    <mergeCell ref="HJ16:HM16"/>
    <mergeCell ref="HN16:HQ16"/>
    <mergeCell ref="HR16:HU16"/>
    <mergeCell ref="HV16:HY16"/>
    <mergeCell ref="HZ16:IC16"/>
    <mergeCell ref="GH16:GK16"/>
    <mergeCell ref="GL16:GO16"/>
    <mergeCell ref="GP16:GS16"/>
    <mergeCell ref="GT16:GW16"/>
    <mergeCell ref="GX16:HA16"/>
    <mergeCell ref="HB16:HE16"/>
    <mergeCell ref="FJ16:FM16"/>
    <mergeCell ref="FN16:FQ16"/>
    <mergeCell ref="FR16:FU16"/>
    <mergeCell ref="FV16:FY16"/>
    <mergeCell ref="FZ16:GC16"/>
    <mergeCell ref="GD16:GG16"/>
    <mergeCell ref="EL16:EO16"/>
    <mergeCell ref="EP16:ES16"/>
    <mergeCell ref="ET16:EW16"/>
    <mergeCell ref="EX16:FA16"/>
    <mergeCell ref="FB16:FE16"/>
    <mergeCell ref="FF16:FI16"/>
    <mergeCell ref="DN16:DQ16"/>
    <mergeCell ref="DR16:DU16"/>
    <mergeCell ref="DV16:DY16"/>
    <mergeCell ref="DZ16:EC16"/>
    <mergeCell ref="ED16:EG16"/>
    <mergeCell ref="EH16:EK16"/>
    <mergeCell ref="CP16:CS16"/>
    <mergeCell ref="CT16:CW16"/>
    <mergeCell ref="CX16:DA16"/>
    <mergeCell ref="DB16:DE16"/>
    <mergeCell ref="DF16:DI16"/>
    <mergeCell ref="DJ16:DM16"/>
    <mergeCell ref="BR16:BU16"/>
    <mergeCell ref="BV16:BY16"/>
    <mergeCell ref="BZ16:CC16"/>
    <mergeCell ref="CD16:CG16"/>
    <mergeCell ref="CH16:CK16"/>
    <mergeCell ref="CL16:CO16"/>
    <mergeCell ref="AT16:AW16"/>
    <mergeCell ref="AX16:BA16"/>
    <mergeCell ref="BB16:BE16"/>
    <mergeCell ref="BF16:BI16"/>
    <mergeCell ref="BJ16:BM16"/>
    <mergeCell ref="BN16:BQ16"/>
    <mergeCell ref="V16:Y16"/>
    <mergeCell ref="Z16:AC16"/>
    <mergeCell ref="AD16:AG16"/>
    <mergeCell ref="AH16:AK16"/>
    <mergeCell ref="AL16:AO16"/>
    <mergeCell ref="AP16:AS16"/>
    <mergeCell ref="A16:A17"/>
    <mergeCell ref="B16:E16"/>
    <mergeCell ref="F16:I16"/>
    <mergeCell ref="J16:M16"/>
    <mergeCell ref="N16:Q16"/>
    <mergeCell ref="R16:U16"/>
    <mergeCell ref="JV10:JY10"/>
    <mergeCell ref="JZ10:KC10"/>
    <mergeCell ref="KD10:KG10"/>
    <mergeCell ref="KH10:KK10"/>
    <mergeCell ref="KL10:KO10"/>
    <mergeCell ref="KP10:KS10"/>
    <mergeCell ref="IX10:JA10"/>
    <mergeCell ref="JB10:JE10"/>
    <mergeCell ref="JF10:JI10"/>
    <mergeCell ref="JJ10:JM10"/>
    <mergeCell ref="JN10:JQ10"/>
    <mergeCell ref="JR10:JU10"/>
    <mergeCell ref="HZ10:IC10"/>
    <mergeCell ref="ID10:IG10"/>
    <mergeCell ref="IH10:IK10"/>
    <mergeCell ref="IL10:IO10"/>
    <mergeCell ref="IP10:IS10"/>
    <mergeCell ref="IT10:IW10"/>
    <mergeCell ref="HB10:HE10"/>
    <mergeCell ref="HF10:HI10"/>
    <mergeCell ref="HJ10:HM10"/>
    <mergeCell ref="HN10:HQ10"/>
    <mergeCell ref="HR10:HU10"/>
    <mergeCell ref="HV10:HY10"/>
    <mergeCell ref="GD10:GG10"/>
    <mergeCell ref="GH10:GK10"/>
    <mergeCell ref="GL10:GO10"/>
    <mergeCell ref="GP10:GS10"/>
    <mergeCell ref="GT10:GW10"/>
    <mergeCell ref="GX10:HA10"/>
    <mergeCell ref="FF10:FI10"/>
    <mergeCell ref="FJ10:FM10"/>
    <mergeCell ref="FN10:FQ10"/>
    <mergeCell ref="FR10:FU10"/>
    <mergeCell ref="FV10:FY10"/>
    <mergeCell ref="FZ10:GC10"/>
    <mergeCell ref="EH10:EK10"/>
    <mergeCell ref="EL10:EO10"/>
    <mergeCell ref="EP10:ES10"/>
    <mergeCell ref="ET10:EW10"/>
    <mergeCell ref="EX10:FA10"/>
    <mergeCell ref="FB10:FE10"/>
    <mergeCell ref="DJ10:DM10"/>
    <mergeCell ref="DN10:DQ10"/>
    <mergeCell ref="DR10:DU10"/>
    <mergeCell ref="DV10:DY10"/>
    <mergeCell ref="DZ10:EC10"/>
    <mergeCell ref="ED10:EG10"/>
    <mergeCell ref="CL10:CO10"/>
    <mergeCell ref="CP10:CS10"/>
    <mergeCell ref="CT10:CW10"/>
    <mergeCell ref="CX10:DA10"/>
    <mergeCell ref="DB10:DE10"/>
    <mergeCell ref="DF10:DI10"/>
    <mergeCell ref="BN10:BQ10"/>
    <mergeCell ref="BR10:BU10"/>
    <mergeCell ref="BV10:BY10"/>
    <mergeCell ref="BZ10:CC10"/>
    <mergeCell ref="CD10:CG10"/>
    <mergeCell ref="CH10:CK10"/>
    <mergeCell ref="AP10:AS10"/>
    <mergeCell ref="AT10:AW10"/>
    <mergeCell ref="AX10:BA10"/>
    <mergeCell ref="BB10:BE10"/>
    <mergeCell ref="BF10:BI10"/>
    <mergeCell ref="BJ10:BM10"/>
    <mergeCell ref="R10:U10"/>
    <mergeCell ref="V10:Y10"/>
    <mergeCell ref="Z10:AC10"/>
    <mergeCell ref="AD10:AG10"/>
    <mergeCell ref="AH10:AK10"/>
    <mergeCell ref="AL10:AO10"/>
    <mergeCell ref="JZ1:KC1"/>
    <mergeCell ref="KD1:KG1"/>
    <mergeCell ref="KH1:KK1"/>
    <mergeCell ref="KL1:KO1"/>
    <mergeCell ref="KP1:KS1"/>
    <mergeCell ref="A10:A11"/>
    <mergeCell ref="B10:E10"/>
    <mergeCell ref="F10:I10"/>
    <mergeCell ref="J10:M10"/>
    <mergeCell ref="N10:Q10"/>
    <mergeCell ref="JB1:JE1"/>
    <mergeCell ref="JF1:JI1"/>
    <mergeCell ref="JJ1:JM1"/>
    <mergeCell ref="JN1:JQ1"/>
    <mergeCell ref="JR1:JU1"/>
    <mergeCell ref="JV1:JY1"/>
    <mergeCell ref="ID1:IG1"/>
    <mergeCell ref="IH1:IK1"/>
    <mergeCell ref="IL1:IO1"/>
    <mergeCell ref="IP1:IS1"/>
    <mergeCell ref="IT1:IW1"/>
    <mergeCell ref="IX1:JA1"/>
    <mergeCell ref="HF1:HI1"/>
    <mergeCell ref="HJ1:HM1"/>
    <mergeCell ref="HN1:HQ1"/>
    <mergeCell ref="HR1:HU1"/>
    <mergeCell ref="HV1:HY1"/>
    <mergeCell ref="HZ1:IC1"/>
    <mergeCell ref="GH1:GK1"/>
    <mergeCell ref="GL1:GO1"/>
    <mergeCell ref="GP1:GS1"/>
    <mergeCell ref="GT1:GW1"/>
    <mergeCell ref="GX1:HA1"/>
    <mergeCell ref="HB1:HE1"/>
    <mergeCell ref="FJ1:FM1"/>
    <mergeCell ref="FN1:FQ1"/>
    <mergeCell ref="FR1:FU1"/>
    <mergeCell ref="FV1:FY1"/>
    <mergeCell ref="FZ1:GC1"/>
    <mergeCell ref="GD1:GG1"/>
    <mergeCell ref="EL1:EO1"/>
    <mergeCell ref="EP1:ES1"/>
    <mergeCell ref="ET1:EW1"/>
    <mergeCell ref="EX1:FA1"/>
    <mergeCell ref="FB1:FE1"/>
    <mergeCell ref="FF1:FI1"/>
    <mergeCell ref="DN1:DQ1"/>
    <mergeCell ref="DR1:DU1"/>
    <mergeCell ref="DV1:DY1"/>
    <mergeCell ref="DZ1:EC1"/>
    <mergeCell ref="ED1:EG1"/>
    <mergeCell ref="EH1:EK1"/>
    <mergeCell ref="CP1:CS1"/>
    <mergeCell ref="CT1:CW1"/>
    <mergeCell ref="CX1:DA1"/>
    <mergeCell ref="DB1:DE1"/>
    <mergeCell ref="DF1:DI1"/>
    <mergeCell ref="DJ1:DM1"/>
    <mergeCell ref="BR1:BU1"/>
    <mergeCell ref="BV1:BY1"/>
    <mergeCell ref="BZ1:CC1"/>
    <mergeCell ref="CD1:CG1"/>
    <mergeCell ref="CH1:CK1"/>
    <mergeCell ref="CL1:CO1"/>
    <mergeCell ref="AT1:AW1"/>
    <mergeCell ref="AX1:BA1"/>
    <mergeCell ref="BB1:BE1"/>
    <mergeCell ref="BF1:BI1"/>
    <mergeCell ref="BJ1:BM1"/>
    <mergeCell ref="BN1:BQ1"/>
    <mergeCell ref="V1:Y1"/>
    <mergeCell ref="Z1:AC1"/>
    <mergeCell ref="AD1:AG1"/>
    <mergeCell ref="AH1:AK1"/>
    <mergeCell ref="AL1:AO1"/>
    <mergeCell ref="AP1:AS1"/>
    <mergeCell ref="A1:A2"/>
    <mergeCell ref="B1:E1"/>
    <mergeCell ref="F1:I1"/>
    <mergeCell ref="J1:M1"/>
    <mergeCell ref="N1:Q1"/>
    <mergeCell ref="R1:U1"/>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D843E-7109-4575-8D74-E3F5C9218FEC}">
  <dimension ref="A1:BY103"/>
  <sheetViews>
    <sheetView workbookViewId="0">
      <selection activeCell="R8" sqref="R8:BX10"/>
    </sheetView>
  </sheetViews>
  <sheetFormatPr defaultRowHeight="14.25"/>
  <cols>
    <col min="1" max="1" width="13.375" style="3479" customWidth="1"/>
    <col min="2" max="5" width="9" style="3479" hidden="1" customWidth="1"/>
    <col min="6" max="8" width="11.625" style="3479" hidden="1" customWidth="1"/>
    <col min="9" max="17" width="9" style="3479" hidden="1" customWidth="1"/>
    <col min="18" max="20" width="9.75" style="3479" customWidth="1"/>
    <col min="21" max="29" width="9" style="3479"/>
    <col min="30" max="32" width="10.125" style="3479" customWidth="1"/>
    <col min="33" max="41" width="9" style="3479"/>
    <col min="42" max="44" width="10.875" style="3479" customWidth="1"/>
    <col min="45" max="53" width="9" style="3479"/>
    <col min="54" max="56" width="10.5" style="3479" customWidth="1"/>
    <col min="57" max="65" width="9" style="3479"/>
    <col min="66" max="68" width="10.25" style="3479" customWidth="1"/>
    <col min="69" max="16384" width="9" style="3479"/>
  </cols>
  <sheetData>
    <row r="1" spans="1:77">
      <c r="A1" s="3477" t="s">
        <v>3392</v>
      </c>
      <c r="B1" s="3482">
        <v>45383.333831018521</v>
      </c>
      <c r="C1" s="3482">
        <v>45352.333831018521</v>
      </c>
      <c r="D1" s="3482">
        <v>45323.333831018521</v>
      </c>
      <c r="E1" s="3482">
        <v>45292.333831018521</v>
      </c>
      <c r="F1" s="3482">
        <v>45261.333831018521</v>
      </c>
      <c r="G1" s="3482">
        <v>45231.333831018521</v>
      </c>
      <c r="H1" s="3482">
        <v>45200.333831018521</v>
      </c>
      <c r="I1" s="3482">
        <v>45170.333831018521</v>
      </c>
      <c r="J1" s="3482">
        <v>45139.333831018521</v>
      </c>
      <c r="K1" s="3482">
        <v>45108.333831018521</v>
      </c>
      <c r="L1" s="3482">
        <v>45078.333831018521</v>
      </c>
      <c r="M1" s="3482">
        <v>45047.333831018521</v>
      </c>
      <c r="N1" s="3482">
        <v>45017.333831018521</v>
      </c>
      <c r="O1" s="3482">
        <v>44986.333831018521</v>
      </c>
      <c r="P1" s="3482">
        <v>44958.333831018521</v>
      </c>
      <c r="Q1" s="3482">
        <v>44927.333831018521</v>
      </c>
      <c r="R1" s="3482">
        <v>44896.333831018521</v>
      </c>
      <c r="S1" s="3482">
        <v>44866.333831018521</v>
      </c>
      <c r="T1" s="3482">
        <v>44835.333831018521</v>
      </c>
      <c r="U1" s="3482">
        <v>44805.333831018521</v>
      </c>
      <c r="V1" s="3482">
        <v>44774.333831018521</v>
      </c>
      <c r="W1" s="3482">
        <v>44743.333831018521</v>
      </c>
      <c r="X1" s="3482">
        <v>44713.333831018521</v>
      </c>
      <c r="Y1" s="3482">
        <v>44682.333831018521</v>
      </c>
      <c r="Z1" s="3482">
        <v>44652.333831018521</v>
      </c>
      <c r="AA1" s="3482">
        <v>44621.333831018521</v>
      </c>
      <c r="AB1" s="3482">
        <v>44593.333831018521</v>
      </c>
      <c r="AC1" s="3482">
        <v>44562.333831018521</v>
      </c>
      <c r="AD1" s="3482">
        <v>44531.333831018521</v>
      </c>
      <c r="AE1" s="3482">
        <v>44501.333831018521</v>
      </c>
      <c r="AF1" s="3482">
        <v>44470.333831018521</v>
      </c>
      <c r="AG1" s="3482">
        <v>44440.333831018521</v>
      </c>
      <c r="AH1" s="3482">
        <v>44409.333831018521</v>
      </c>
      <c r="AI1" s="3482">
        <v>44378.333831018521</v>
      </c>
      <c r="AJ1" s="3482">
        <v>44348.333831018521</v>
      </c>
      <c r="AK1" s="3482">
        <v>44317.333831018521</v>
      </c>
      <c r="AL1" s="3482">
        <v>44287.333831018521</v>
      </c>
      <c r="AM1" s="3482">
        <v>44256.333831018521</v>
      </c>
      <c r="AN1" s="3482">
        <v>44228.333831018521</v>
      </c>
      <c r="AO1" s="3482">
        <v>44197.333831018521</v>
      </c>
      <c r="AP1" s="3482">
        <v>44166.333831018521</v>
      </c>
      <c r="AQ1" s="3482">
        <v>44136.333831018521</v>
      </c>
      <c r="AR1" s="3482">
        <v>44105.333831018521</v>
      </c>
      <c r="AS1" s="3482">
        <v>44075.333831018521</v>
      </c>
      <c r="AT1" s="3482">
        <v>44044.333831018521</v>
      </c>
      <c r="AU1" s="3482">
        <v>44013.333831018521</v>
      </c>
      <c r="AV1" s="3482">
        <v>43983.333831018521</v>
      </c>
      <c r="AW1" s="3482">
        <v>43952.333831018521</v>
      </c>
      <c r="AX1" s="3482">
        <v>43922.333831018521</v>
      </c>
      <c r="AY1" s="3482">
        <v>43891.333831018521</v>
      </c>
      <c r="AZ1" s="3482">
        <v>43862.333831018521</v>
      </c>
      <c r="BA1" s="3482">
        <v>43831.333831018521</v>
      </c>
      <c r="BB1" s="3482">
        <v>43800.333831018521</v>
      </c>
      <c r="BC1" s="3482">
        <v>43770.333831018521</v>
      </c>
      <c r="BD1" s="3482">
        <v>43739.333831018521</v>
      </c>
      <c r="BE1" s="3482">
        <v>43709.333831018521</v>
      </c>
      <c r="BF1" s="3482">
        <v>43678.333831018521</v>
      </c>
      <c r="BG1" s="3482">
        <v>43647.333831018521</v>
      </c>
      <c r="BH1" s="3482">
        <v>43617.333831018521</v>
      </c>
      <c r="BI1" s="3482">
        <v>43586.333831018521</v>
      </c>
      <c r="BJ1" s="3482">
        <v>43556.333831018521</v>
      </c>
      <c r="BK1" s="3482">
        <v>43525.333831018521</v>
      </c>
      <c r="BL1" s="3482">
        <v>43497.333831018521</v>
      </c>
      <c r="BM1" s="3482">
        <v>43466.333831018521</v>
      </c>
      <c r="BN1" s="3482">
        <v>43435.333831018521</v>
      </c>
      <c r="BO1" s="3482">
        <v>43405.333831018521</v>
      </c>
      <c r="BP1" s="3482">
        <v>43374.333831018521</v>
      </c>
      <c r="BQ1" s="3482">
        <v>43344.333831018521</v>
      </c>
      <c r="BR1" s="3482">
        <v>43313.333831018521</v>
      </c>
      <c r="BS1" s="3482">
        <v>43282.333831018521</v>
      </c>
      <c r="BT1" s="3482">
        <v>43252.333831018521</v>
      </c>
      <c r="BU1" s="3482">
        <v>43221.333831018521</v>
      </c>
      <c r="BV1" s="3482">
        <v>43191.333831018521</v>
      </c>
      <c r="BW1" s="3482">
        <v>43160.333831018521</v>
      </c>
      <c r="BX1" s="3482">
        <v>43132.333831018521</v>
      </c>
      <c r="BY1" s="3482">
        <v>43101.333831018521</v>
      </c>
    </row>
    <row r="2" spans="1:77">
      <c r="A2" s="3477"/>
      <c r="B2" s="3479" t="s">
        <v>3393</v>
      </c>
      <c r="C2" s="3479" t="s">
        <v>3393</v>
      </c>
      <c r="D2" s="3479" t="s">
        <v>3393</v>
      </c>
      <c r="E2" s="3479" t="s">
        <v>3393</v>
      </c>
      <c r="F2" s="3479" t="s">
        <v>3393</v>
      </c>
      <c r="G2" s="3479" t="s">
        <v>3393</v>
      </c>
      <c r="H2" s="3479" t="s">
        <v>3393</v>
      </c>
      <c r="I2" s="3479" t="s">
        <v>3393</v>
      </c>
      <c r="J2" s="3479" t="s">
        <v>3393</v>
      </c>
      <c r="K2" s="3479" t="s">
        <v>3393</v>
      </c>
      <c r="L2" s="3479" t="s">
        <v>3393</v>
      </c>
      <c r="M2" s="3479" t="s">
        <v>3393</v>
      </c>
      <c r="N2" s="3479" t="s">
        <v>3393</v>
      </c>
      <c r="O2" s="3479" t="s">
        <v>3393</v>
      </c>
      <c r="P2" s="3479" t="s">
        <v>3393</v>
      </c>
      <c r="Q2" s="3479" t="s">
        <v>3393</v>
      </c>
      <c r="R2" s="3479" t="s">
        <v>3393</v>
      </c>
      <c r="S2" s="3479" t="s">
        <v>3393</v>
      </c>
      <c r="T2" s="3479" t="s">
        <v>3393</v>
      </c>
      <c r="U2" s="3479" t="s">
        <v>3393</v>
      </c>
      <c r="V2" s="3479" t="s">
        <v>3393</v>
      </c>
      <c r="W2" s="3479" t="s">
        <v>3393</v>
      </c>
      <c r="X2" s="3479" t="s">
        <v>3393</v>
      </c>
      <c r="Y2" s="3479" t="s">
        <v>3393</v>
      </c>
      <c r="Z2" s="3479" t="s">
        <v>3393</v>
      </c>
      <c r="AA2" s="3479" t="s">
        <v>3393</v>
      </c>
      <c r="AB2" s="3479" t="s">
        <v>3393</v>
      </c>
      <c r="AC2" s="3479" t="s">
        <v>3393</v>
      </c>
      <c r="AD2" s="3479" t="s">
        <v>3393</v>
      </c>
      <c r="AE2" s="3479" t="s">
        <v>3393</v>
      </c>
      <c r="AF2" s="3479" t="s">
        <v>3393</v>
      </c>
      <c r="AG2" s="3479" t="s">
        <v>3393</v>
      </c>
      <c r="AH2" s="3479" t="s">
        <v>3393</v>
      </c>
      <c r="AI2" s="3479" t="s">
        <v>3393</v>
      </c>
      <c r="AJ2" s="3479" t="s">
        <v>3393</v>
      </c>
      <c r="AK2" s="3479" t="s">
        <v>3393</v>
      </c>
      <c r="AL2" s="3479" t="s">
        <v>3393</v>
      </c>
      <c r="AM2" s="3479" t="s">
        <v>3393</v>
      </c>
      <c r="AN2" s="3479" t="s">
        <v>3393</v>
      </c>
      <c r="AO2" s="3479" t="s">
        <v>3393</v>
      </c>
      <c r="AP2" s="3479" t="s">
        <v>3393</v>
      </c>
      <c r="AQ2" s="3479" t="s">
        <v>3393</v>
      </c>
      <c r="AR2" s="3479" t="s">
        <v>3393</v>
      </c>
      <c r="AS2" s="3479" t="s">
        <v>3393</v>
      </c>
      <c r="AT2" s="3479" t="s">
        <v>3393</v>
      </c>
      <c r="AU2" s="3479" t="s">
        <v>3393</v>
      </c>
      <c r="AV2" s="3479" t="s">
        <v>3393</v>
      </c>
      <c r="AW2" s="3479" t="s">
        <v>3393</v>
      </c>
      <c r="AX2" s="3479" t="s">
        <v>3393</v>
      </c>
      <c r="AY2" s="3479" t="s">
        <v>3393</v>
      </c>
      <c r="AZ2" s="3479" t="s">
        <v>3393</v>
      </c>
      <c r="BA2" s="3479" t="s">
        <v>3393</v>
      </c>
      <c r="BB2" s="3479" t="s">
        <v>3393</v>
      </c>
      <c r="BC2" s="3479" t="s">
        <v>3393</v>
      </c>
      <c r="BD2" s="3479" t="s">
        <v>3393</v>
      </c>
      <c r="BE2" s="3479" t="s">
        <v>3393</v>
      </c>
      <c r="BF2" s="3479" t="s">
        <v>3393</v>
      </c>
      <c r="BG2" s="3479" t="s">
        <v>3393</v>
      </c>
      <c r="BH2" s="3479" t="s">
        <v>3393</v>
      </c>
      <c r="BI2" s="3479" t="s">
        <v>3393</v>
      </c>
      <c r="BJ2" s="3479" t="s">
        <v>3393</v>
      </c>
      <c r="BK2" s="3479" t="s">
        <v>3393</v>
      </c>
      <c r="BL2" s="3479" t="s">
        <v>3393</v>
      </c>
      <c r="BM2" s="3479" t="s">
        <v>3393</v>
      </c>
      <c r="BN2" s="3479" t="s">
        <v>3393</v>
      </c>
      <c r="BO2" s="3479" t="s">
        <v>3393</v>
      </c>
      <c r="BP2" s="3479" t="s">
        <v>3393</v>
      </c>
      <c r="BQ2" s="3479" t="s">
        <v>3393</v>
      </c>
      <c r="BR2" s="3479" t="s">
        <v>3393</v>
      </c>
      <c r="BS2" s="3479" t="s">
        <v>3393</v>
      </c>
      <c r="BT2" s="3479" t="s">
        <v>3393</v>
      </c>
      <c r="BU2" s="3479" t="s">
        <v>3393</v>
      </c>
      <c r="BV2" s="3479" t="s">
        <v>3393</v>
      </c>
      <c r="BW2" s="3479" t="s">
        <v>3393</v>
      </c>
      <c r="BX2" s="3479" t="s">
        <v>3393</v>
      </c>
      <c r="BY2" s="3479" t="s">
        <v>3393</v>
      </c>
    </row>
    <row r="3" spans="1:77">
      <c r="A3" s="3479" t="s">
        <v>3398</v>
      </c>
      <c r="B3" s="3479">
        <v>124.73</v>
      </c>
      <c r="C3" s="3479">
        <v>122.5</v>
      </c>
      <c r="D3" s="3479">
        <v>121.16</v>
      </c>
      <c r="E3" s="3479">
        <v>123.85</v>
      </c>
      <c r="F3" s="3479">
        <v>125.55</v>
      </c>
      <c r="G3" s="3479">
        <v>128.91999999999999</v>
      </c>
      <c r="H3" s="3479">
        <v>130.93</v>
      </c>
      <c r="I3" s="3479">
        <v>132.58000000000001</v>
      </c>
      <c r="J3" s="3479">
        <v>128.91</v>
      </c>
      <c r="K3" s="3479">
        <v>130.22999999999999</v>
      </c>
      <c r="L3" s="3479">
        <v>127.24</v>
      </c>
      <c r="M3" s="3479">
        <v>123.53</v>
      </c>
      <c r="N3" s="3479">
        <v>124.29</v>
      </c>
      <c r="O3" s="3479">
        <v>125.68</v>
      </c>
      <c r="P3" s="3479">
        <v>123.43</v>
      </c>
      <c r="Q3" s="3479">
        <v>120.62</v>
      </c>
      <c r="R3" s="3479">
        <v>120.64</v>
      </c>
      <c r="S3" s="3479">
        <v>119.72</v>
      </c>
      <c r="T3" s="3479">
        <v>122.01</v>
      </c>
      <c r="U3" s="3479">
        <v>171.02</v>
      </c>
      <c r="V3" s="3479">
        <v>144.47</v>
      </c>
      <c r="W3" s="3479">
        <v>144.19</v>
      </c>
      <c r="X3" s="3479">
        <v>142.41</v>
      </c>
      <c r="Y3" s="3479">
        <v>143.88999999999999</v>
      </c>
      <c r="Z3" s="3479">
        <v>124.21</v>
      </c>
      <c r="AA3" s="3479">
        <v>138.63</v>
      </c>
      <c r="AB3" s="3479">
        <v>134.72</v>
      </c>
      <c r="AC3" s="3479">
        <v>133.04</v>
      </c>
      <c r="AD3" s="3479">
        <v>128.91999999999999</v>
      </c>
      <c r="AE3" s="3479">
        <v>137.07</v>
      </c>
      <c r="AF3" s="3479">
        <v>133.66999999999999</v>
      </c>
      <c r="AG3" s="3479">
        <v>131.66999999999999</v>
      </c>
      <c r="AH3" s="3479" t="s">
        <v>633</v>
      </c>
      <c r="AI3" s="3479" t="s">
        <v>633</v>
      </c>
      <c r="AJ3" s="3479" t="s">
        <v>633</v>
      </c>
      <c r="AK3" s="3479" t="s">
        <v>633</v>
      </c>
      <c r="AL3" s="3479" t="s">
        <v>633</v>
      </c>
      <c r="AM3" s="3479" t="s">
        <v>633</v>
      </c>
      <c r="AN3" s="3479" t="s">
        <v>633</v>
      </c>
      <c r="AO3" s="3479" t="s">
        <v>633</v>
      </c>
      <c r="AP3" s="3479" t="s">
        <v>633</v>
      </c>
      <c r="AQ3" s="3479" t="s">
        <v>633</v>
      </c>
      <c r="AR3" s="3479">
        <v>114.69</v>
      </c>
      <c r="AS3" s="3479">
        <v>121.02</v>
      </c>
      <c r="AT3" s="3479">
        <v>123.9</v>
      </c>
      <c r="AU3" s="3479" t="s">
        <v>633</v>
      </c>
      <c r="AV3" s="3479">
        <v>136.13999999999999</v>
      </c>
      <c r="AW3" s="3479">
        <v>116.77</v>
      </c>
      <c r="AX3" s="3479">
        <v>104.46</v>
      </c>
      <c r="AY3" s="3479">
        <v>111.95</v>
      </c>
      <c r="AZ3" s="3479">
        <v>106.56</v>
      </c>
      <c r="BA3" s="3479" t="s">
        <v>633</v>
      </c>
      <c r="BB3" s="3479">
        <v>116.33</v>
      </c>
      <c r="BC3" s="3479">
        <v>116.37</v>
      </c>
      <c r="BD3" s="3479">
        <v>130.69999999999999</v>
      </c>
      <c r="BE3" s="3479">
        <v>117.56</v>
      </c>
      <c r="BF3" s="3479">
        <v>122.49</v>
      </c>
      <c r="BG3" s="3479">
        <v>126.8</v>
      </c>
      <c r="BH3" s="3479">
        <v>121.48</v>
      </c>
      <c r="BI3" s="3479">
        <v>117.38</v>
      </c>
      <c r="BJ3" s="3479">
        <v>110.95</v>
      </c>
      <c r="BK3" s="3479">
        <v>115.7</v>
      </c>
      <c r="BL3" s="3479">
        <v>116.38</v>
      </c>
      <c r="BM3" s="3479">
        <v>114.78</v>
      </c>
      <c r="BN3" s="3479">
        <v>115.63</v>
      </c>
      <c r="BO3" s="3479">
        <v>118.2</v>
      </c>
      <c r="BP3" s="3479">
        <v>116.06</v>
      </c>
      <c r="BQ3" s="3479">
        <v>120</v>
      </c>
      <c r="BR3" s="3479">
        <v>119.96</v>
      </c>
      <c r="BS3" s="3479">
        <v>112.94</v>
      </c>
      <c r="BT3" s="3479" t="s">
        <v>633</v>
      </c>
      <c r="BU3" s="3479" t="s">
        <v>633</v>
      </c>
      <c r="BV3" s="3479">
        <v>177.46</v>
      </c>
      <c r="BW3" s="3479" t="s">
        <v>633</v>
      </c>
      <c r="BX3" s="3479">
        <v>120.39</v>
      </c>
      <c r="BY3" s="3479">
        <v>108.01</v>
      </c>
    </row>
    <row r="4" spans="1:77" s="3480" customFormat="1">
      <c r="A4" s="3480" t="s">
        <v>3455</v>
      </c>
      <c r="B4" s="3480">
        <v>121.44</v>
      </c>
      <c r="C4" s="3480">
        <v>118.17</v>
      </c>
      <c r="D4" s="3480">
        <v>117.24</v>
      </c>
      <c r="E4" s="3480">
        <v>116.47</v>
      </c>
      <c r="F4" s="3480">
        <v>113.09</v>
      </c>
      <c r="G4" s="3480">
        <v>120.44</v>
      </c>
      <c r="H4" s="3480">
        <v>128.96</v>
      </c>
      <c r="I4" s="3480">
        <v>136.91</v>
      </c>
      <c r="J4" s="3480">
        <v>114.55</v>
      </c>
      <c r="K4" s="3480">
        <v>111.93</v>
      </c>
      <c r="L4" s="3480">
        <v>110.41</v>
      </c>
      <c r="M4" s="3480">
        <v>113.41</v>
      </c>
      <c r="N4" s="3480">
        <v>106.59</v>
      </c>
      <c r="O4" s="3480">
        <v>107.57</v>
      </c>
      <c r="P4" s="3480">
        <v>107.91</v>
      </c>
      <c r="Q4" s="3480">
        <v>108.55</v>
      </c>
      <c r="R4" s="3480">
        <v>110.52</v>
      </c>
      <c r="S4" s="3480">
        <v>111.49</v>
      </c>
      <c r="T4" s="3480">
        <v>116.55</v>
      </c>
      <c r="U4" s="3480">
        <v>139.13</v>
      </c>
      <c r="V4" s="3480">
        <v>111.89</v>
      </c>
      <c r="W4" s="3480">
        <v>116.13</v>
      </c>
      <c r="X4" s="3480">
        <v>107.62</v>
      </c>
      <c r="Y4" s="3480">
        <v>108.05</v>
      </c>
      <c r="Z4" s="3480">
        <v>108.56</v>
      </c>
      <c r="AA4" s="3480">
        <v>102.58</v>
      </c>
      <c r="AB4" s="3480">
        <v>108.15</v>
      </c>
      <c r="AC4" s="3480">
        <v>114</v>
      </c>
      <c r="AD4" s="3480">
        <v>115.7</v>
      </c>
      <c r="AE4" s="3480">
        <v>111.92</v>
      </c>
      <c r="AF4" s="3480">
        <v>113.46</v>
      </c>
      <c r="AG4" s="3480">
        <v>111.55</v>
      </c>
      <c r="AH4" s="3480">
        <v>116.75</v>
      </c>
      <c r="AI4" s="3480">
        <v>115.12</v>
      </c>
      <c r="AJ4" s="3480" t="s">
        <v>633</v>
      </c>
      <c r="AK4" s="3480">
        <v>115.1</v>
      </c>
      <c r="AL4" s="3480">
        <v>108.64</v>
      </c>
      <c r="AM4" s="3480">
        <v>98.97</v>
      </c>
      <c r="AN4" s="3480">
        <v>96.35</v>
      </c>
      <c r="AO4" s="3480">
        <v>97.15</v>
      </c>
      <c r="AP4" s="3480">
        <v>94.77</v>
      </c>
      <c r="AQ4" s="3480">
        <v>97.21</v>
      </c>
      <c r="AR4" s="3480">
        <v>97.64</v>
      </c>
      <c r="AS4" s="3480">
        <v>97.95</v>
      </c>
      <c r="AT4" s="3480">
        <v>98.48</v>
      </c>
      <c r="AU4" s="3480">
        <v>99.15</v>
      </c>
      <c r="AV4" s="3480">
        <v>104.89</v>
      </c>
      <c r="AW4" s="3480">
        <v>106.63</v>
      </c>
      <c r="AX4" s="3480">
        <v>104.37</v>
      </c>
      <c r="AY4" s="3480">
        <v>113.63</v>
      </c>
      <c r="AZ4" s="3480">
        <v>112.3</v>
      </c>
      <c r="BA4" s="3480">
        <v>112.63</v>
      </c>
      <c r="BB4" s="3480">
        <v>112.84</v>
      </c>
      <c r="BC4" s="3480">
        <v>105.22</v>
      </c>
      <c r="BD4" s="3480">
        <v>120.75</v>
      </c>
      <c r="BE4" s="3480">
        <v>110.24</v>
      </c>
      <c r="BF4" s="3480">
        <v>110.08</v>
      </c>
      <c r="BG4" s="3480">
        <v>109.4</v>
      </c>
      <c r="BH4" s="3480">
        <v>117.36</v>
      </c>
      <c r="BI4" s="3480">
        <v>115.76</v>
      </c>
      <c r="BJ4" s="3480">
        <v>114.55</v>
      </c>
      <c r="BK4" s="3480">
        <v>113.03</v>
      </c>
      <c r="BL4" s="3480">
        <v>113</v>
      </c>
      <c r="BM4" s="3480">
        <v>106.08</v>
      </c>
      <c r="BN4" s="3480">
        <v>104.29</v>
      </c>
      <c r="BO4" s="3480">
        <v>103.86</v>
      </c>
      <c r="BP4" s="3480">
        <v>112.11</v>
      </c>
      <c r="BQ4" s="3480">
        <v>102.28</v>
      </c>
      <c r="BR4" s="3480">
        <v>91.75</v>
      </c>
      <c r="BS4" s="3480">
        <v>96.16</v>
      </c>
      <c r="BT4" s="3480" t="s">
        <v>633</v>
      </c>
      <c r="BU4" s="3480" t="s">
        <v>633</v>
      </c>
      <c r="BV4" s="3480">
        <v>95.4</v>
      </c>
      <c r="BW4" s="3480" t="s">
        <v>633</v>
      </c>
      <c r="BX4" s="3480">
        <v>93.37</v>
      </c>
      <c r="BY4" s="3480">
        <v>87.93</v>
      </c>
    </row>
    <row r="5" spans="1:77">
      <c r="A5" s="3479" t="s">
        <v>3507</v>
      </c>
      <c r="B5" s="3479">
        <v>127.25</v>
      </c>
      <c r="C5" s="3479">
        <v>125.77</v>
      </c>
      <c r="D5" s="3479">
        <v>123.71</v>
      </c>
      <c r="E5" s="3479">
        <v>124.22</v>
      </c>
      <c r="F5" s="3479">
        <v>120.02</v>
      </c>
      <c r="G5" s="3479">
        <v>116.36</v>
      </c>
      <c r="H5" s="3479">
        <v>119.07</v>
      </c>
      <c r="I5" s="3479">
        <v>121.87</v>
      </c>
      <c r="J5" s="3479">
        <v>116.39</v>
      </c>
      <c r="K5" s="3479">
        <v>113.15</v>
      </c>
      <c r="L5" s="3479">
        <v>106.4</v>
      </c>
      <c r="M5" s="3479">
        <v>107.7</v>
      </c>
      <c r="N5" s="3479">
        <v>107.37</v>
      </c>
      <c r="O5" s="3479">
        <v>108.2</v>
      </c>
      <c r="P5" s="3479">
        <v>107.45</v>
      </c>
      <c r="Q5" s="3479">
        <v>108.79</v>
      </c>
      <c r="R5" s="3479">
        <v>112.35</v>
      </c>
      <c r="S5" s="3479">
        <v>112.71</v>
      </c>
      <c r="T5" s="3479">
        <v>116.29</v>
      </c>
      <c r="U5" s="3479">
        <v>118.69</v>
      </c>
      <c r="V5" s="3479">
        <v>120.27</v>
      </c>
      <c r="W5" s="3479">
        <v>116.1</v>
      </c>
      <c r="X5" s="3479">
        <v>113.93</v>
      </c>
      <c r="Y5" s="3479">
        <v>112.07</v>
      </c>
      <c r="Z5" s="3479">
        <v>112.01</v>
      </c>
      <c r="AA5" s="3479">
        <v>139.58000000000001</v>
      </c>
      <c r="AB5" s="3479">
        <v>122.03</v>
      </c>
      <c r="AC5" s="3479">
        <v>112.13</v>
      </c>
      <c r="AD5" s="3479">
        <v>115.85</v>
      </c>
      <c r="AE5" s="3479">
        <v>116.48</v>
      </c>
      <c r="AF5" s="3479">
        <v>115.79</v>
      </c>
      <c r="AG5" s="3479">
        <v>114.71</v>
      </c>
      <c r="AH5" s="3479">
        <v>106.89</v>
      </c>
      <c r="AI5" s="3479" t="s">
        <v>633</v>
      </c>
      <c r="AJ5" s="3479" t="s">
        <v>633</v>
      </c>
      <c r="AK5" s="3479">
        <v>106.82</v>
      </c>
      <c r="AL5" s="3479" t="s">
        <v>633</v>
      </c>
      <c r="AM5" s="3479">
        <v>87.48</v>
      </c>
      <c r="AN5" s="3479">
        <v>93.09</v>
      </c>
      <c r="AO5" s="3479">
        <v>90.07</v>
      </c>
      <c r="AP5" s="3479">
        <v>100.18</v>
      </c>
      <c r="AQ5" s="3479" t="s">
        <v>633</v>
      </c>
      <c r="AR5" s="3479">
        <v>98.72</v>
      </c>
      <c r="AS5" s="3479">
        <v>97.75</v>
      </c>
      <c r="AT5" s="3479">
        <v>105.42</v>
      </c>
      <c r="AU5" s="3479">
        <v>98.48</v>
      </c>
      <c r="AV5" s="3479">
        <v>109.75</v>
      </c>
      <c r="AW5" s="3479">
        <v>106.48</v>
      </c>
      <c r="AX5" s="3479">
        <v>109.73</v>
      </c>
      <c r="AY5" s="3479">
        <v>110.42</v>
      </c>
      <c r="AZ5" s="3479">
        <v>116.23</v>
      </c>
      <c r="BA5" s="3479" t="s">
        <v>633</v>
      </c>
      <c r="BB5" s="3479">
        <v>116.38</v>
      </c>
      <c r="BC5" s="3479" t="s">
        <v>633</v>
      </c>
      <c r="BD5" s="3479" t="s">
        <v>633</v>
      </c>
      <c r="BE5" s="3479" t="s">
        <v>633</v>
      </c>
      <c r="BF5" s="3479" t="s">
        <v>633</v>
      </c>
      <c r="BG5" s="3479" t="s">
        <v>633</v>
      </c>
      <c r="BH5" s="3479" t="s">
        <v>633</v>
      </c>
      <c r="BI5" s="3479" t="s">
        <v>633</v>
      </c>
      <c r="BJ5" s="3479" t="s">
        <v>633</v>
      </c>
      <c r="BK5" s="3479" t="s">
        <v>633</v>
      </c>
      <c r="BL5" s="3479" t="s">
        <v>633</v>
      </c>
      <c r="BM5" s="3479" t="s">
        <v>633</v>
      </c>
      <c r="BN5" s="3479" t="s">
        <v>633</v>
      </c>
      <c r="BO5" s="3479" t="s">
        <v>633</v>
      </c>
      <c r="BP5" s="3479" t="s">
        <v>633</v>
      </c>
      <c r="BQ5" s="3479" t="s">
        <v>633</v>
      </c>
      <c r="BR5" s="3479" t="s">
        <v>633</v>
      </c>
      <c r="BS5" s="3479" t="s">
        <v>633</v>
      </c>
      <c r="BT5" s="3479" t="s">
        <v>633</v>
      </c>
      <c r="BU5" s="3479" t="s">
        <v>633</v>
      </c>
      <c r="BV5" s="3479" t="s">
        <v>633</v>
      </c>
      <c r="BW5" s="3479" t="s">
        <v>633</v>
      </c>
      <c r="BX5" s="3479" t="s">
        <v>633</v>
      </c>
      <c r="BY5" s="3479" t="s">
        <v>633</v>
      </c>
    </row>
    <row r="6" spans="1:77">
      <c r="A6" s="3479" t="s">
        <v>3545</v>
      </c>
      <c r="B6" s="3479">
        <v>129.77000000000001</v>
      </c>
      <c r="C6" s="3479">
        <v>129.87</v>
      </c>
      <c r="D6" s="3479">
        <v>132.63</v>
      </c>
      <c r="E6" s="3479">
        <v>129.02000000000001</v>
      </c>
      <c r="F6" s="3479">
        <v>130.63</v>
      </c>
      <c r="G6" s="3479">
        <v>134.35</v>
      </c>
      <c r="H6" s="3479">
        <v>138.43</v>
      </c>
      <c r="I6" s="3479">
        <v>143.69</v>
      </c>
      <c r="J6" s="3479">
        <v>150.6</v>
      </c>
      <c r="K6" s="3479">
        <v>143.05000000000001</v>
      </c>
      <c r="L6" s="3479">
        <v>145.54</v>
      </c>
      <c r="M6" s="3479">
        <v>143.87</v>
      </c>
      <c r="N6" s="3479">
        <v>143.34</v>
      </c>
      <c r="O6" s="3479">
        <v>144.87</v>
      </c>
      <c r="P6" s="3479">
        <v>143.38</v>
      </c>
      <c r="Q6" s="3479">
        <v>145.28</v>
      </c>
      <c r="R6" s="3479">
        <v>140.72999999999999</v>
      </c>
      <c r="S6" s="3479">
        <v>139.24</v>
      </c>
      <c r="T6" s="3479">
        <v>141.86000000000001</v>
      </c>
      <c r="U6" s="3479">
        <v>143.91999999999999</v>
      </c>
      <c r="V6" s="3479">
        <v>142.34</v>
      </c>
      <c r="W6" s="3479">
        <v>132.88</v>
      </c>
      <c r="X6" s="3479">
        <v>128.94</v>
      </c>
      <c r="Y6" s="3479">
        <v>131.33000000000001</v>
      </c>
      <c r="Z6" s="3479">
        <v>128.30000000000001</v>
      </c>
      <c r="AA6" s="3479">
        <v>120.1</v>
      </c>
      <c r="AB6" s="3479">
        <v>117.82</v>
      </c>
      <c r="AC6" s="3479">
        <v>120.93</v>
      </c>
      <c r="AD6" s="3479">
        <v>105.82</v>
      </c>
      <c r="AE6" s="3479">
        <v>92.69</v>
      </c>
      <c r="AF6" s="3479">
        <v>105.51</v>
      </c>
      <c r="AG6" s="3479">
        <v>91.04</v>
      </c>
      <c r="AH6" s="3479">
        <v>120.86</v>
      </c>
      <c r="AI6" s="3479">
        <v>121.62</v>
      </c>
      <c r="AJ6" s="3479">
        <v>122.44</v>
      </c>
      <c r="AK6" s="3479">
        <v>122.77</v>
      </c>
      <c r="AL6" s="3479">
        <v>107.8</v>
      </c>
      <c r="AM6" s="3479">
        <v>105.94</v>
      </c>
      <c r="AN6" s="3479">
        <v>100.92</v>
      </c>
      <c r="AO6" s="3479">
        <v>105.64</v>
      </c>
      <c r="AP6" s="3479">
        <v>101.91</v>
      </c>
      <c r="AQ6" s="3479">
        <v>101.76</v>
      </c>
      <c r="AR6" s="3479">
        <v>102.72</v>
      </c>
      <c r="AS6" s="3479">
        <v>103.79</v>
      </c>
      <c r="AT6" s="3479">
        <v>98.36</v>
      </c>
      <c r="AU6" s="3479">
        <v>104.2</v>
      </c>
      <c r="AV6" s="3479">
        <v>106.45</v>
      </c>
      <c r="AW6" s="3479">
        <v>106.43</v>
      </c>
      <c r="AX6" s="3479">
        <v>102.4</v>
      </c>
      <c r="AY6" s="3479">
        <v>101.05</v>
      </c>
      <c r="AZ6" s="3479">
        <v>101.57</v>
      </c>
      <c r="BA6" s="3479">
        <v>96.21</v>
      </c>
      <c r="BB6" s="3479">
        <v>104.66</v>
      </c>
      <c r="BC6" s="3479">
        <v>105.45</v>
      </c>
      <c r="BD6" s="3479">
        <v>102.08</v>
      </c>
      <c r="BE6" s="3479">
        <v>106.98</v>
      </c>
      <c r="BF6" s="3479">
        <v>107.52</v>
      </c>
      <c r="BG6" s="3479">
        <v>106.87</v>
      </c>
      <c r="BH6" s="3479">
        <v>106.22</v>
      </c>
      <c r="BI6" s="3479">
        <v>104.92</v>
      </c>
      <c r="BJ6" s="3479">
        <v>104.68</v>
      </c>
      <c r="BK6" s="3479">
        <v>104.96</v>
      </c>
      <c r="BL6" s="3479">
        <v>111.27</v>
      </c>
      <c r="BM6" s="3479">
        <v>114.31</v>
      </c>
      <c r="BN6" s="3479">
        <v>107.89</v>
      </c>
      <c r="BO6" s="3479">
        <v>106.1</v>
      </c>
      <c r="BP6" s="3479">
        <v>108.04</v>
      </c>
      <c r="BQ6" s="3479">
        <v>106.13</v>
      </c>
      <c r="BR6" s="3479">
        <v>106.14</v>
      </c>
      <c r="BS6" s="3479">
        <v>103.78</v>
      </c>
      <c r="BT6" s="3479">
        <v>110.25</v>
      </c>
      <c r="BU6" s="3479">
        <v>109.84</v>
      </c>
      <c r="BV6" s="3479">
        <v>106.38</v>
      </c>
      <c r="BW6" s="3479">
        <v>100.05</v>
      </c>
      <c r="BX6" s="3479">
        <v>98.53</v>
      </c>
      <c r="BY6" s="3479">
        <v>90.18</v>
      </c>
    </row>
    <row r="8" spans="1:77">
      <c r="R8" s="3493">
        <f t="shared" ref="R8:AG10" si="0">(R3-S3)/S3</f>
        <v>7.6845973939191591E-3</v>
      </c>
      <c r="S8" s="3493">
        <f t="shared" si="0"/>
        <v>-1.8768953364478373E-2</v>
      </c>
      <c r="T8" s="3493">
        <f t="shared" si="0"/>
        <v>-0.28657466962928313</v>
      </c>
      <c r="U8" s="3493">
        <f t="shared" si="0"/>
        <v>0.18377517823769648</v>
      </c>
      <c r="V8" s="3493">
        <f t="shared" si="0"/>
        <v>1.9418822387128173E-3</v>
      </c>
      <c r="W8" s="3493">
        <f t="shared" si="0"/>
        <v>1.2499122252650804E-2</v>
      </c>
      <c r="X8" s="3493">
        <f t="shared" si="0"/>
        <v>-1.0285634859962402E-2</v>
      </c>
      <c r="Y8" s="3493">
        <f t="shared" si="0"/>
        <v>0.15844134932775134</v>
      </c>
      <c r="Z8" s="3493">
        <f t="shared" si="0"/>
        <v>-0.10401788934574048</v>
      </c>
      <c r="AA8" s="3493">
        <f t="shared" si="0"/>
        <v>2.9023159144893087E-2</v>
      </c>
      <c r="AB8" s="3493">
        <f t="shared" si="0"/>
        <v>1.2627781118460666E-2</v>
      </c>
      <c r="AC8" s="3493">
        <f t="shared" si="0"/>
        <v>3.1957803288861344E-2</v>
      </c>
      <c r="AD8" s="3493">
        <f t="shared" si="0"/>
        <v>-5.945867075217047E-2</v>
      </c>
      <c r="AE8" s="3493">
        <f t="shared" si="0"/>
        <v>2.5435774668960919E-2</v>
      </c>
      <c r="AF8" s="3493">
        <f t="shared" si="0"/>
        <v>1.5189488873699402E-2</v>
      </c>
      <c r="AG8" s="3493" t="e">
        <f t="shared" si="0"/>
        <v>#VALUE!</v>
      </c>
      <c r="AH8" s="3493" t="e">
        <f t="shared" ref="S8:BX10" si="1">(AH3-AI3)/AI3</f>
        <v>#VALUE!</v>
      </c>
      <c r="AI8" s="3493" t="e">
        <f t="shared" si="1"/>
        <v>#VALUE!</v>
      </c>
      <c r="AJ8" s="3493" t="e">
        <f t="shared" si="1"/>
        <v>#VALUE!</v>
      </c>
      <c r="AK8" s="3493" t="e">
        <f t="shared" si="1"/>
        <v>#VALUE!</v>
      </c>
      <c r="AL8" s="3493" t="e">
        <f t="shared" si="1"/>
        <v>#VALUE!</v>
      </c>
      <c r="AM8" s="3493" t="e">
        <f t="shared" si="1"/>
        <v>#VALUE!</v>
      </c>
      <c r="AN8" s="3493" t="e">
        <f t="shared" si="1"/>
        <v>#VALUE!</v>
      </c>
      <c r="AO8" s="3493" t="e">
        <f t="shared" si="1"/>
        <v>#VALUE!</v>
      </c>
      <c r="AP8" s="3493" t="e">
        <f t="shared" si="1"/>
        <v>#VALUE!</v>
      </c>
      <c r="AQ8" s="3493" t="e">
        <f t="shared" si="1"/>
        <v>#VALUE!</v>
      </c>
      <c r="AR8" s="3493">
        <f t="shared" si="1"/>
        <v>-5.2305404065443713E-2</v>
      </c>
      <c r="AS8" s="3493">
        <f t="shared" si="1"/>
        <v>-2.3244552058111458E-2</v>
      </c>
      <c r="AT8" s="3493" t="e">
        <f t="shared" si="1"/>
        <v>#VALUE!</v>
      </c>
      <c r="AU8" s="3493" t="e">
        <f t="shared" si="1"/>
        <v>#VALUE!</v>
      </c>
      <c r="AV8" s="3493">
        <f t="shared" si="1"/>
        <v>0.16588164768348027</v>
      </c>
      <c r="AW8" s="3493">
        <f t="shared" si="1"/>
        <v>0.11784415087114689</v>
      </c>
      <c r="AX8" s="3493">
        <f t="shared" si="1"/>
        <v>-6.6904868244752197E-2</v>
      </c>
      <c r="AY8" s="3493">
        <f t="shared" si="1"/>
        <v>5.0581831831831833E-2</v>
      </c>
      <c r="AZ8" s="3493" t="e">
        <f t="shared" si="1"/>
        <v>#VALUE!</v>
      </c>
      <c r="BA8" s="3493" t="e">
        <f t="shared" si="1"/>
        <v>#VALUE!</v>
      </c>
      <c r="BB8" s="3493">
        <f t="shared" si="1"/>
        <v>-3.437312021999334E-4</v>
      </c>
      <c r="BC8" s="3493">
        <f t="shared" si="1"/>
        <v>-0.10964039785768925</v>
      </c>
      <c r="BD8" s="3493">
        <f t="shared" si="1"/>
        <v>0.11177271180673687</v>
      </c>
      <c r="BE8" s="3493">
        <f t="shared" si="1"/>
        <v>-4.0248183525185673E-2</v>
      </c>
      <c r="BF8" s="3493">
        <f t="shared" si="1"/>
        <v>-3.399053627760254E-2</v>
      </c>
      <c r="BG8" s="3493">
        <f t="shared" si="1"/>
        <v>4.3793216990451043E-2</v>
      </c>
      <c r="BH8" s="3493">
        <f t="shared" si="1"/>
        <v>3.4929289487135876E-2</v>
      </c>
      <c r="BI8" s="3493">
        <f t="shared" si="1"/>
        <v>5.7954033348355048E-2</v>
      </c>
      <c r="BJ8" s="3493">
        <f t="shared" si="1"/>
        <v>-4.1054451166810717E-2</v>
      </c>
      <c r="BK8" s="3493">
        <f t="shared" si="1"/>
        <v>-5.8429283382023774E-3</v>
      </c>
      <c r="BL8" s="3493">
        <f t="shared" si="1"/>
        <v>1.3939710751001868E-2</v>
      </c>
      <c r="BM8" s="3493">
        <f t="shared" si="1"/>
        <v>-7.3510334688229213E-3</v>
      </c>
      <c r="BN8" s="3493">
        <f t="shared" si="1"/>
        <v>-2.1742808798646426E-2</v>
      </c>
      <c r="BO8" s="3493">
        <f t="shared" si="1"/>
        <v>1.8438738583491304E-2</v>
      </c>
      <c r="BP8" s="3493">
        <f t="shared" si="1"/>
        <v>-3.2833333333333312E-2</v>
      </c>
      <c r="BQ8" s="3493">
        <f t="shared" si="1"/>
        <v>3.3344448149388341E-4</v>
      </c>
      <c r="BR8" s="3493">
        <f t="shared" si="1"/>
        <v>6.2156897467681924E-2</v>
      </c>
      <c r="BS8" s="3493" t="e">
        <f t="shared" si="1"/>
        <v>#VALUE!</v>
      </c>
      <c r="BT8" s="3493" t="e">
        <f t="shared" si="1"/>
        <v>#VALUE!</v>
      </c>
      <c r="BU8" s="3493" t="e">
        <f t="shared" si="1"/>
        <v>#VALUE!</v>
      </c>
      <c r="BV8" s="3493" t="e">
        <f t="shared" si="1"/>
        <v>#VALUE!</v>
      </c>
      <c r="BW8" s="3493" t="e">
        <f t="shared" si="1"/>
        <v>#VALUE!</v>
      </c>
      <c r="BX8" s="3493">
        <f t="shared" si="1"/>
        <v>0.11461901675770757</v>
      </c>
    </row>
    <row r="9" spans="1:77">
      <c r="R9" s="3493">
        <f t="shared" si="0"/>
        <v>-8.700331868328989E-3</v>
      </c>
      <c r="S9" s="3493">
        <f t="shared" si="1"/>
        <v>-4.3414843414843432E-2</v>
      </c>
      <c r="T9" s="3493">
        <f t="shared" si="1"/>
        <v>-0.16229425716955365</v>
      </c>
      <c r="U9" s="3493">
        <f t="shared" si="1"/>
        <v>0.24345339172401462</v>
      </c>
      <c r="V9" s="3493">
        <f t="shared" si="1"/>
        <v>-3.6510806854387283E-2</v>
      </c>
      <c r="W9" s="3493">
        <f t="shared" si="1"/>
        <v>7.9074521464411726E-2</v>
      </c>
      <c r="X9" s="3493">
        <f t="shared" si="1"/>
        <v>-3.9796390559925275E-3</v>
      </c>
      <c r="Y9" s="3493">
        <f t="shared" si="1"/>
        <v>-4.6978629329403566E-3</v>
      </c>
      <c r="Z9" s="3493">
        <f t="shared" si="1"/>
        <v>5.8295964125560575E-2</v>
      </c>
      <c r="AA9" s="3493">
        <f t="shared" si="1"/>
        <v>-5.1502542764678749E-2</v>
      </c>
      <c r="AB9" s="3493">
        <f t="shared" si="1"/>
        <v>-5.1315789473684162E-2</v>
      </c>
      <c r="AC9" s="3493">
        <f t="shared" si="1"/>
        <v>-1.4693171996542808E-2</v>
      </c>
      <c r="AD9" s="3493">
        <f t="shared" si="1"/>
        <v>3.3774124374553259E-2</v>
      </c>
      <c r="AE9" s="3493">
        <f t="shared" si="1"/>
        <v>-1.3573065397496847E-2</v>
      </c>
      <c r="AF9" s="3493">
        <f t="shared" si="1"/>
        <v>1.7122366651725653E-2</v>
      </c>
      <c r="AG9" s="3493">
        <f t="shared" si="1"/>
        <v>-4.4539614561027861E-2</v>
      </c>
      <c r="AH9" s="3493">
        <f t="shared" si="1"/>
        <v>1.415913829047946E-2</v>
      </c>
      <c r="AI9" s="3493" t="e">
        <f t="shared" si="1"/>
        <v>#VALUE!</v>
      </c>
      <c r="AJ9" s="3493" t="e">
        <f t="shared" si="1"/>
        <v>#VALUE!</v>
      </c>
      <c r="AK9" s="3493">
        <f t="shared" si="1"/>
        <v>5.9462444771723064E-2</v>
      </c>
      <c r="AL9" s="3493">
        <f t="shared" si="1"/>
        <v>9.7706375669394788E-2</v>
      </c>
      <c r="AM9" s="3493">
        <f t="shared" si="1"/>
        <v>2.7192527244421429E-2</v>
      </c>
      <c r="AN9" s="3493">
        <f t="shared" si="1"/>
        <v>-8.2346886258364525E-3</v>
      </c>
      <c r="AO9" s="3493">
        <f t="shared" si="1"/>
        <v>2.5113432520840032E-2</v>
      </c>
      <c r="AP9" s="3493">
        <f t="shared" si="1"/>
        <v>-2.5100298323217755E-2</v>
      </c>
      <c r="AQ9" s="3493">
        <f t="shared" si="1"/>
        <v>-4.4039328144203898E-3</v>
      </c>
      <c r="AR9" s="3493">
        <f t="shared" si="1"/>
        <v>-3.1648800408371849E-3</v>
      </c>
      <c r="AS9" s="3493">
        <f t="shared" si="1"/>
        <v>-5.3818034118602873E-3</v>
      </c>
      <c r="AT9" s="3493">
        <f t="shared" si="1"/>
        <v>-6.7574382249117665E-3</v>
      </c>
      <c r="AU9" s="3493">
        <f t="shared" si="1"/>
        <v>-5.4723996567832917E-2</v>
      </c>
      <c r="AV9" s="3493">
        <f t="shared" si="1"/>
        <v>-1.6318109350089045E-2</v>
      </c>
      <c r="AW9" s="3493">
        <f t="shared" si="1"/>
        <v>2.1653731915301243E-2</v>
      </c>
      <c r="AX9" s="3493">
        <f t="shared" si="1"/>
        <v>-8.1492563583560607E-2</v>
      </c>
      <c r="AY9" s="3493">
        <f t="shared" si="1"/>
        <v>1.1843276936776477E-2</v>
      </c>
      <c r="AZ9" s="3493">
        <f t="shared" si="1"/>
        <v>-2.9299476160880608E-3</v>
      </c>
      <c r="BA9" s="3493">
        <f t="shared" si="1"/>
        <v>-1.8610421836228993E-3</v>
      </c>
      <c r="BB9" s="3493">
        <f t="shared" si="1"/>
        <v>7.2419692073750278E-2</v>
      </c>
      <c r="BC9" s="3493">
        <f t="shared" si="1"/>
        <v>-0.12861283643892341</v>
      </c>
      <c r="BD9" s="3493">
        <f t="shared" si="1"/>
        <v>9.5337445573294682E-2</v>
      </c>
      <c r="BE9" s="3493">
        <f t="shared" si="1"/>
        <v>1.4534883720929922E-3</v>
      </c>
      <c r="BF9" s="3493">
        <f t="shared" si="1"/>
        <v>6.2157221206580677E-3</v>
      </c>
      <c r="BG9" s="3493">
        <f t="shared" si="1"/>
        <v>-6.7825494205862258E-2</v>
      </c>
      <c r="BH9" s="3493">
        <f t="shared" si="1"/>
        <v>1.3821700069108451E-2</v>
      </c>
      <c r="BI9" s="3493">
        <f t="shared" si="1"/>
        <v>1.0563072893932849E-2</v>
      </c>
      <c r="BJ9" s="3493">
        <f t="shared" si="1"/>
        <v>1.3447757232593081E-2</v>
      </c>
      <c r="BK9" s="3493">
        <f t="shared" si="1"/>
        <v>2.6548672566372686E-4</v>
      </c>
      <c r="BL9" s="3493">
        <f t="shared" si="1"/>
        <v>6.5233785822021134E-2</v>
      </c>
      <c r="BM9" s="3493">
        <f t="shared" si="1"/>
        <v>1.7163678205005195E-2</v>
      </c>
      <c r="BN9" s="3493">
        <f t="shared" si="1"/>
        <v>4.1401887155787295E-3</v>
      </c>
      <c r="BO9" s="3493">
        <f t="shared" si="1"/>
        <v>-7.3588439925073593E-2</v>
      </c>
      <c r="BP9" s="3493">
        <f t="shared" si="1"/>
        <v>9.6108721157606547E-2</v>
      </c>
      <c r="BQ9" s="3493">
        <f t="shared" si="1"/>
        <v>0.11476839237057222</v>
      </c>
      <c r="BR9" s="3493">
        <f t="shared" si="1"/>
        <v>-4.5861064891846888E-2</v>
      </c>
      <c r="BS9" s="3493" t="e">
        <f t="shared" si="1"/>
        <v>#VALUE!</v>
      </c>
      <c r="BT9" s="3493" t="e">
        <f t="shared" si="1"/>
        <v>#VALUE!</v>
      </c>
      <c r="BU9" s="3493" t="e">
        <f t="shared" si="1"/>
        <v>#VALUE!</v>
      </c>
      <c r="BV9" s="3493" t="e">
        <f t="shared" si="1"/>
        <v>#VALUE!</v>
      </c>
      <c r="BW9" s="3493" t="e">
        <f t="shared" si="1"/>
        <v>#VALUE!</v>
      </c>
      <c r="BX9" s="3493">
        <f t="shared" si="1"/>
        <v>6.1867394518366856E-2</v>
      </c>
    </row>
    <row r="10" spans="1:77">
      <c r="R10" s="3493">
        <f t="shared" si="0"/>
        <v>-3.1940377961139159E-3</v>
      </c>
      <c r="S10" s="3493">
        <f t="shared" si="1"/>
        <v>-3.0785106200017304E-2</v>
      </c>
      <c r="T10" s="3493">
        <f t="shared" si="1"/>
        <v>-2.0220743112309307E-2</v>
      </c>
      <c r="U10" s="3493">
        <f t="shared" si="1"/>
        <v>-1.313710817327678E-2</v>
      </c>
      <c r="V10" s="3493">
        <f t="shared" si="1"/>
        <v>3.5917312661498724E-2</v>
      </c>
      <c r="W10" s="3493">
        <f t="shared" si="1"/>
        <v>1.9046783112437352E-2</v>
      </c>
      <c r="X10" s="3493">
        <f t="shared" si="1"/>
        <v>1.6596769875970498E-2</v>
      </c>
      <c r="Y10" s="3493">
        <f t="shared" si="1"/>
        <v>5.3566645835182629E-4</v>
      </c>
      <c r="Z10" s="3493">
        <f t="shared" si="1"/>
        <v>-0.19752113483307068</v>
      </c>
      <c r="AA10" s="3493">
        <f t="shared" si="1"/>
        <v>0.14381709415717456</v>
      </c>
      <c r="AB10" s="3493">
        <f t="shared" si="1"/>
        <v>8.8290377240702808E-2</v>
      </c>
      <c r="AC10" s="3493">
        <f t="shared" si="1"/>
        <v>-3.2110487699611556E-2</v>
      </c>
      <c r="AD10" s="3493">
        <f t="shared" si="1"/>
        <v>-5.4086538461539293E-3</v>
      </c>
      <c r="AE10" s="3493">
        <f t="shared" si="1"/>
        <v>5.9590638224371511E-3</v>
      </c>
      <c r="AF10" s="3493">
        <f t="shared" si="1"/>
        <v>9.4150466393515177E-3</v>
      </c>
      <c r="AG10" s="3493">
        <f t="shared" si="1"/>
        <v>7.3159322668163468E-2</v>
      </c>
      <c r="AH10" s="3493" t="e">
        <f t="shared" si="1"/>
        <v>#VALUE!</v>
      </c>
      <c r="AI10" s="3493" t="e">
        <f t="shared" si="1"/>
        <v>#VALUE!</v>
      </c>
      <c r="AJ10" s="3493" t="e">
        <f t="shared" si="1"/>
        <v>#VALUE!</v>
      </c>
      <c r="AK10" s="3493" t="e">
        <f t="shared" si="1"/>
        <v>#VALUE!</v>
      </c>
      <c r="AL10" s="3493" t="e">
        <f t="shared" si="1"/>
        <v>#VALUE!</v>
      </c>
      <c r="AM10" s="3493">
        <f t="shared" si="1"/>
        <v>-6.0264260393167894E-2</v>
      </c>
      <c r="AN10" s="3493">
        <f t="shared" si="1"/>
        <v>3.3529477073387479E-2</v>
      </c>
      <c r="AO10" s="3493">
        <f t="shared" si="1"/>
        <v>-0.10091834697544433</v>
      </c>
      <c r="AP10" s="3493" t="e">
        <f t="shared" si="1"/>
        <v>#VALUE!</v>
      </c>
      <c r="AQ10" s="3493" t="e">
        <f t="shared" si="1"/>
        <v>#VALUE!</v>
      </c>
      <c r="AR10" s="3493">
        <f t="shared" si="1"/>
        <v>9.9232736572889904E-3</v>
      </c>
      <c r="AS10" s="3493">
        <f t="shared" si="1"/>
        <v>-7.2756592676911411E-2</v>
      </c>
      <c r="AT10" s="3493">
        <f t="shared" si="1"/>
        <v>7.0471161657189252E-2</v>
      </c>
      <c r="AU10" s="3493">
        <f t="shared" si="1"/>
        <v>-0.10268792710706147</v>
      </c>
      <c r="AV10" s="3493">
        <f t="shared" si="1"/>
        <v>3.0709992486851953E-2</v>
      </c>
      <c r="AW10" s="3493">
        <f t="shared" si="1"/>
        <v>-2.9618153649867855E-2</v>
      </c>
      <c r="AX10" s="3493">
        <f t="shared" si="1"/>
        <v>-6.2488679587031125E-3</v>
      </c>
      <c r="AY10" s="3493">
        <f t="shared" si="1"/>
        <v>-4.9987094553901767E-2</v>
      </c>
      <c r="AZ10" s="3493" t="e">
        <f t="shared" si="1"/>
        <v>#VALUE!</v>
      </c>
      <c r="BA10" s="3493" t="e">
        <f t="shared" si="1"/>
        <v>#VALUE!</v>
      </c>
      <c r="BB10" s="3493" t="e">
        <f t="shared" si="1"/>
        <v>#VALUE!</v>
      </c>
      <c r="BC10" s="3493" t="e">
        <f t="shared" si="1"/>
        <v>#VALUE!</v>
      </c>
      <c r="BD10" s="3493" t="e">
        <f t="shared" si="1"/>
        <v>#VALUE!</v>
      </c>
      <c r="BE10" s="3493" t="e">
        <f t="shared" si="1"/>
        <v>#VALUE!</v>
      </c>
      <c r="BF10" s="3493" t="e">
        <f t="shared" si="1"/>
        <v>#VALUE!</v>
      </c>
      <c r="BG10" s="3493" t="e">
        <f t="shared" si="1"/>
        <v>#VALUE!</v>
      </c>
      <c r="BH10" s="3493" t="e">
        <f t="shared" si="1"/>
        <v>#VALUE!</v>
      </c>
      <c r="BI10" s="3493" t="e">
        <f t="shared" si="1"/>
        <v>#VALUE!</v>
      </c>
      <c r="BJ10" s="3493" t="e">
        <f t="shared" si="1"/>
        <v>#VALUE!</v>
      </c>
      <c r="BK10" s="3493" t="e">
        <f t="shared" si="1"/>
        <v>#VALUE!</v>
      </c>
      <c r="BL10" s="3493" t="e">
        <f t="shared" si="1"/>
        <v>#VALUE!</v>
      </c>
      <c r="BM10" s="3493" t="e">
        <f t="shared" si="1"/>
        <v>#VALUE!</v>
      </c>
      <c r="BN10" s="3493" t="e">
        <f t="shared" si="1"/>
        <v>#VALUE!</v>
      </c>
      <c r="BO10" s="3493" t="e">
        <f t="shared" si="1"/>
        <v>#VALUE!</v>
      </c>
      <c r="BP10" s="3493" t="e">
        <f t="shared" si="1"/>
        <v>#VALUE!</v>
      </c>
      <c r="BQ10" s="3493" t="e">
        <f t="shared" si="1"/>
        <v>#VALUE!</v>
      </c>
      <c r="BR10" s="3493" t="e">
        <f t="shared" si="1"/>
        <v>#VALUE!</v>
      </c>
      <c r="BS10" s="3493" t="e">
        <f t="shared" si="1"/>
        <v>#VALUE!</v>
      </c>
      <c r="BT10" s="3493" t="e">
        <f t="shared" si="1"/>
        <v>#VALUE!</v>
      </c>
      <c r="BU10" s="3493" t="e">
        <f t="shared" si="1"/>
        <v>#VALUE!</v>
      </c>
      <c r="BV10" s="3493" t="e">
        <f t="shared" si="1"/>
        <v>#VALUE!</v>
      </c>
      <c r="BW10" s="3493" t="e">
        <f t="shared" si="1"/>
        <v>#VALUE!</v>
      </c>
      <c r="BX10" s="3493" t="e">
        <f t="shared" si="1"/>
        <v>#VALUE!</v>
      </c>
    </row>
    <row r="12" spans="1:77">
      <c r="A12" s="3479" t="s">
        <v>3590</v>
      </c>
      <c r="B12" s="3482">
        <v>45383.333831018521</v>
      </c>
      <c r="C12" s="3482">
        <v>45352.333831018521</v>
      </c>
      <c r="D12" s="3482">
        <v>45323.333831018521</v>
      </c>
      <c r="E12" s="3482">
        <v>45292.333831018521</v>
      </c>
      <c r="F12" s="3482">
        <v>45261.333831018521</v>
      </c>
      <c r="G12" s="3482">
        <v>45231.333831018521</v>
      </c>
      <c r="H12" s="3482">
        <v>45200.333831018521</v>
      </c>
      <c r="I12" s="3482">
        <v>45170.333831018521</v>
      </c>
      <c r="J12" s="3482">
        <v>45139.333831018521</v>
      </c>
      <c r="K12" s="3482">
        <v>45108.333831018521</v>
      </c>
      <c r="L12" s="3482">
        <v>45078.333831018521</v>
      </c>
      <c r="M12" s="3482">
        <v>45047.333831018521</v>
      </c>
      <c r="N12" s="3482">
        <v>45017.333831018521</v>
      </c>
      <c r="O12" s="3482">
        <v>44986.333831018521</v>
      </c>
      <c r="P12" s="3482">
        <v>44958.333831018521</v>
      </c>
      <c r="Q12" s="3482">
        <v>44927.333831018521</v>
      </c>
      <c r="R12" s="3482">
        <v>44896.333831018521</v>
      </c>
      <c r="S12" s="3482">
        <v>44866.333831018521</v>
      </c>
      <c r="T12" s="3482">
        <v>44835.333831018521</v>
      </c>
      <c r="U12" s="3482">
        <v>44805.333831018521</v>
      </c>
      <c r="V12" s="3482">
        <v>44774.333831018521</v>
      </c>
      <c r="W12" s="3482">
        <v>44743.333831018521</v>
      </c>
      <c r="X12" s="3482">
        <v>44713.333831018521</v>
      </c>
      <c r="Y12" s="3482">
        <v>44682.333831018521</v>
      </c>
      <c r="Z12" s="3482">
        <v>44652.333831018521</v>
      </c>
      <c r="AA12" s="3482">
        <v>44621.333831018521</v>
      </c>
      <c r="AB12" s="3482">
        <v>44593.333831018521</v>
      </c>
      <c r="AC12" s="3482">
        <v>44562.333831018521</v>
      </c>
      <c r="AD12" s="3482">
        <v>44531.333831018521</v>
      </c>
      <c r="AE12" s="3482">
        <v>44501.333831018521</v>
      </c>
      <c r="AF12" s="3482">
        <v>44470.333831018521</v>
      </c>
      <c r="AG12" s="3482">
        <v>44440.333831018521</v>
      </c>
      <c r="AH12" s="3482">
        <v>44409.333831018521</v>
      </c>
      <c r="AI12" s="3482">
        <v>44378.333831018521</v>
      </c>
      <c r="AJ12" s="3482">
        <v>44348.333831018521</v>
      </c>
      <c r="AK12" s="3482">
        <v>44317.333831018521</v>
      </c>
      <c r="AL12" s="3482">
        <v>44287.333831018521</v>
      </c>
      <c r="AM12" s="3482">
        <v>44256.333831018521</v>
      </c>
      <c r="AN12" s="3482">
        <v>44228.333831018521</v>
      </c>
      <c r="AO12" s="3482">
        <v>44197.333831018521</v>
      </c>
      <c r="AP12" s="3482">
        <v>44166.333831018521</v>
      </c>
      <c r="AQ12" s="3482">
        <v>44136.333831018521</v>
      </c>
      <c r="AR12" s="3482">
        <v>44105.333831018521</v>
      </c>
      <c r="AS12" s="3482">
        <v>44075.333831018521</v>
      </c>
      <c r="AT12" s="3482">
        <v>44044.333831018521</v>
      </c>
      <c r="AU12" s="3482">
        <v>44013.333831018521</v>
      </c>
      <c r="AV12" s="3482">
        <v>43983.333831018521</v>
      </c>
      <c r="AW12" s="3482">
        <v>43952.333831018521</v>
      </c>
      <c r="AX12" s="3482">
        <v>43922.333831018521</v>
      </c>
      <c r="AY12" s="3482">
        <v>43891.333831018521</v>
      </c>
      <c r="AZ12" s="3482">
        <v>43862.333831018521</v>
      </c>
      <c r="BA12" s="3482">
        <v>43831.333831018521</v>
      </c>
      <c r="BB12" s="3482">
        <v>43800.333831018521</v>
      </c>
      <c r="BC12" s="3482">
        <v>43770.333831018521</v>
      </c>
      <c r="BD12" s="3482">
        <v>43739.333831018521</v>
      </c>
      <c r="BE12" s="3482">
        <v>43709.333831018521</v>
      </c>
      <c r="BF12" s="3482">
        <v>43678.333831018521</v>
      </c>
      <c r="BG12" s="3482">
        <v>43647.333831018521</v>
      </c>
      <c r="BH12" s="3482">
        <v>43617.333831018521</v>
      </c>
      <c r="BI12" s="3482">
        <v>43586.333831018521</v>
      </c>
      <c r="BJ12" s="3482">
        <v>43556.333831018521</v>
      </c>
      <c r="BK12" s="3482">
        <v>43525.333831018521</v>
      </c>
      <c r="BL12" s="3482">
        <v>43497.333831018521</v>
      </c>
      <c r="BM12" s="3482">
        <v>43466.333831018521</v>
      </c>
      <c r="BN12" s="3482">
        <v>43435.333831018521</v>
      </c>
      <c r="BO12" s="3482">
        <v>43405.333831018521</v>
      </c>
      <c r="BP12" s="3482">
        <v>43374.333831018521</v>
      </c>
      <c r="BQ12" s="3482">
        <v>43344.333831018521</v>
      </c>
      <c r="BR12" s="3482">
        <v>43313.333831018521</v>
      </c>
      <c r="BS12" s="3482">
        <v>43282.333831018521</v>
      </c>
      <c r="BT12" s="3482">
        <v>43252.333831018521</v>
      </c>
      <c r="BU12" s="3482">
        <v>43221.333831018521</v>
      </c>
      <c r="BV12" s="3482">
        <v>43191.333831018521</v>
      </c>
      <c r="BW12" s="3482">
        <v>43160.333831018521</v>
      </c>
      <c r="BX12" s="3482">
        <v>43132.333831018521</v>
      </c>
      <c r="BY12" s="3482">
        <v>43101.333831018521</v>
      </c>
    </row>
    <row r="13" spans="1:77">
      <c r="A13" s="3479" t="s">
        <v>3591</v>
      </c>
      <c r="B13" s="3479">
        <v>117.18</v>
      </c>
      <c r="C13" s="3479">
        <v>116.63</v>
      </c>
      <c r="D13" s="3479">
        <v>116.59</v>
      </c>
      <c r="E13" s="3479">
        <v>117.68</v>
      </c>
      <c r="F13" s="3479">
        <v>117.24</v>
      </c>
      <c r="G13" s="3479">
        <v>117.21</v>
      </c>
      <c r="H13" s="3479">
        <v>120.55</v>
      </c>
      <c r="I13" s="3479">
        <v>122.19</v>
      </c>
      <c r="J13" s="3479">
        <v>118.12</v>
      </c>
      <c r="K13" s="3479">
        <v>128.36000000000001</v>
      </c>
      <c r="L13" s="3479">
        <v>124.66</v>
      </c>
      <c r="M13" s="3479">
        <v>126.55</v>
      </c>
      <c r="N13" s="3479">
        <v>125.53</v>
      </c>
      <c r="O13" s="3479">
        <v>126.41</v>
      </c>
      <c r="P13" s="3479">
        <v>128.02000000000001</v>
      </c>
      <c r="Q13" s="3479">
        <v>126.95</v>
      </c>
      <c r="R13" s="3479">
        <v>126.5</v>
      </c>
      <c r="S13" s="3479">
        <v>127.28</v>
      </c>
      <c r="T13" s="3479">
        <v>127.37</v>
      </c>
      <c r="U13" s="3479">
        <v>128.91999999999999</v>
      </c>
      <c r="V13" s="3479">
        <v>124.21</v>
      </c>
      <c r="W13" s="3479">
        <v>126.28</v>
      </c>
      <c r="X13" s="3479">
        <v>113.71</v>
      </c>
      <c r="Y13" s="3479">
        <v>114.99</v>
      </c>
      <c r="Z13" s="3479">
        <v>113.01</v>
      </c>
      <c r="AA13" s="3479">
        <v>115.81</v>
      </c>
      <c r="AB13" s="3479">
        <v>115.04</v>
      </c>
      <c r="AC13" s="3479">
        <v>113.83</v>
      </c>
      <c r="AD13" s="3479">
        <v>113.54</v>
      </c>
      <c r="AE13" s="3479">
        <v>108.85</v>
      </c>
      <c r="AF13" s="3479">
        <v>114.45</v>
      </c>
      <c r="AG13" s="3479">
        <v>110.99</v>
      </c>
      <c r="AH13" s="3479">
        <v>113.99</v>
      </c>
      <c r="AI13" s="3479">
        <v>114.43</v>
      </c>
      <c r="AJ13" s="3479">
        <v>116.87</v>
      </c>
      <c r="AK13" s="3479">
        <v>113.73</v>
      </c>
      <c r="AL13" s="3479">
        <v>102.69</v>
      </c>
      <c r="AM13" s="3479">
        <v>96.13</v>
      </c>
      <c r="AN13" s="3479">
        <v>93.35</v>
      </c>
      <c r="AO13" s="3479">
        <v>96.08</v>
      </c>
      <c r="AP13" s="3479">
        <v>95.09</v>
      </c>
      <c r="AQ13" s="3479">
        <v>94.63</v>
      </c>
      <c r="AR13" s="3479">
        <v>99.22</v>
      </c>
      <c r="AS13" s="3479">
        <v>100.69</v>
      </c>
      <c r="AT13" s="3479">
        <v>98.34</v>
      </c>
      <c r="AU13" s="3479">
        <v>96.15</v>
      </c>
      <c r="AV13" s="3479">
        <v>98.26</v>
      </c>
      <c r="AW13" s="3479">
        <v>98.8</v>
      </c>
      <c r="AX13" s="3479">
        <v>100.22</v>
      </c>
      <c r="AY13" s="3479">
        <v>102.45</v>
      </c>
      <c r="AZ13" s="3479">
        <v>103.23</v>
      </c>
      <c r="BA13" s="3479">
        <v>97.6</v>
      </c>
      <c r="BB13" s="3479">
        <v>102.75</v>
      </c>
      <c r="BC13" s="3479">
        <v>99.62</v>
      </c>
      <c r="BD13" s="3479">
        <v>104.69</v>
      </c>
      <c r="BE13" s="3479">
        <v>102.78</v>
      </c>
      <c r="BF13" s="3479">
        <v>103.37</v>
      </c>
      <c r="BG13" s="3479">
        <v>102.22</v>
      </c>
      <c r="BH13" s="3479">
        <v>102.56</v>
      </c>
      <c r="BI13" s="3479">
        <v>98.94</v>
      </c>
      <c r="BJ13" s="3479">
        <v>102.24</v>
      </c>
      <c r="BK13" s="3479">
        <v>101.43</v>
      </c>
      <c r="BL13" s="3479">
        <v>103.82</v>
      </c>
      <c r="BM13" s="3479">
        <v>102.36</v>
      </c>
      <c r="BN13" s="3479">
        <v>99.95</v>
      </c>
      <c r="BO13" s="3479">
        <v>98.66</v>
      </c>
      <c r="BP13" s="3479">
        <v>102.17</v>
      </c>
      <c r="BQ13" s="3479">
        <v>102.56</v>
      </c>
      <c r="BR13" s="3479">
        <v>97.48</v>
      </c>
      <c r="BS13" s="3479">
        <v>95.96</v>
      </c>
      <c r="BT13" s="3479">
        <v>101.74</v>
      </c>
      <c r="BU13" s="3479">
        <v>108.79</v>
      </c>
      <c r="BV13" s="3479">
        <v>107.7</v>
      </c>
      <c r="BW13" s="3479">
        <v>99.24</v>
      </c>
      <c r="BX13" s="3479">
        <v>94.33</v>
      </c>
      <c r="BY13" s="3479">
        <v>84.98</v>
      </c>
    </row>
    <row r="14" spans="1:77">
      <c r="R14" s="3494">
        <f>AVERAGE(R13:AC13)</f>
        <v>120.57916666666665</v>
      </c>
      <c r="S14" s="3494"/>
      <c r="T14" s="3494"/>
      <c r="U14" s="3494"/>
      <c r="V14" s="3494"/>
      <c r="W14" s="3494"/>
      <c r="X14" s="3494"/>
      <c r="Y14" s="3494"/>
      <c r="Z14" s="3494"/>
      <c r="AA14" s="3494"/>
      <c r="AB14" s="3494"/>
      <c r="AC14" s="3494"/>
      <c r="AD14" s="3494">
        <f>AVERAGE(AD13:AO13)</f>
        <v>107.925</v>
      </c>
      <c r="AE14" s="3494"/>
      <c r="AF14" s="3494"/>
      <c r="AG14" s="3494"/>
      <c r="AH14" s="3494"/>
      <c r="AI14" s="3494"/>
      <c r="AJ14" s="3494"/>
      <c r="AK14" s="3494"/>
      <c r="AL14" s="3494"/>
      <c r="AM14" s="3494"/>
      <c r="AN14" s="3494"/>
      <c r="AO14" s="3494"/>
      <c r="AP14" s="3494">
        <f>AVERAGE(AP13:BA13)</f>
        <v>98.723333333333315</v>
      </c>
      <c r="AQ14" s="3494"/>
      <c r="AR14" s="3494"/>
      <c r="AS14" s="3494"/>
      <c r="AT14" s="3494"/>
      <c r="AU14" s="3494"/>
      <c r="AV14" s="3494"/>
      <c r="AW14" s="3494"/>
      <c r="AX14" s="3494"/>
      <c r="AY14" s="3494"/>
      <c r="AZ14" s="3494"/>
      <c r="BA14" s="3494"/>
      <c r="BB14" s="3494">
        <f>AVERAGE(BB13:BM13)</f>
        <v>102.23166666666667</v>
      </c>
      <c r="BC14" s="3494"/>
      <c r="BD14" s="3494"/>
      <c r="BE14" s="3494"/>
      <c r="BF14" s="3494"/>
      <c r="BG14" s="3494"/>
      <c r="BH14" s="3494"/>
      <c r="BI14" s="3494"/>
      <c r="BJ14" s="3494"/>
      <c r="BK14" s="3494"/>
      <c r="BL14" s="3494"/>
      <c r="BM14" s="3494"/>
      <c r="BN14" s="3494">
        <f>AVERAGE(BN13:BY13)</f>
        <v>99.463333333333352</v>
      </c>
      <c r="BO14" s="3494"/>
      <c r="BP14" s="3494"/>
      <c r="BQ14" s="3494"/>
      <c r="BR14" s="3494"/>
      <c r="BS14" s="3494"/>
      <c r="BT14" s="3494"/>
      <c r="BU14" s="3494"/>
      <c r="BV14" s="3494"/>
      <c r="BW14" s="3494"/>
      <c r="BX14" s="3494"/>
      <c r="BY14" s="3494"/>
    </row>
    <row r="15" spans="1:77">
      <c r="B15" s="3493">
        <f>(B13-C13)/C13</f>
        <v>4.715767812741245E-3</v>
      </c>
      <c r="C15" s="3493">
        <f t="shared" ref="C15:BN15" si="2">(C13-D13)/D13</f>
        <v>3.4308259713519202E-4</v>
      </c>
      <c r="D15" s="3493">
        <f t="shared" si="2"/>
        <v>-9.2624065261727E-3</v>
      </c>
      <c r="E15" s="3493">
        <f t="shared" si="2"/>
        <v>3.7529853292392694E-3</v>
      </c>
      <c r="F15" s="3493">
        <f t="shared" si="2"/>
        <v>2.559508574353821E-4</v>
      </c>
      <c r="G15" s="3493">
        <f t="shared" si="2"/>
        <v>-2.7706345914558304E-2</v>
      </c>
      <c r="H15" s="3493">
        <f t="shared" si="2"/>
        <v>-1.3421720271708001E-2</v>
      </c>
      <c r="I15" s="3493">
        <f t="shared" si="2"/>
        <v>3.4456484930579012E-2</v>
      </c>
      <c r="J15" s="3493">
        <f t="shared" si="2"/>
        <v>-7.9775631037706518E-2</v>
      </c>
      <c r="K15" s="3493">
        <f t="shared" si="2"/>
        <v>2.9680731589924732E-2</v>
      </c>
      <c r="L15" s="3493">
        <f t="shared" si="2"/>
        <v>-1.493480837613592E-2</v>
      </c>
      <c r="M15" s="3493">
        <f t="shared" si="2"/>
        <v>8.1255476778459013E-3</v>
      </c>
      <c r="N15" s="3493">
        <f t="shared" si="2"/>
        <v>-6.9614745668854956E-3</v>
      </c>
      <c r="O15" s="3493">
        <f t="shared" si="2"/>
        <v>-1.2576159975004012E-2</v>
      </c>
      <c r="P15" s="3493">
        <f t="shared" si="2"/>
        <v>8.4285151634502353E-3</v>
      </c>
      <c r="Q15" s="3493">
        <f t="shared" si="2"/>
        <v>3.5573122529644493E-3</v>
      </c>
      <c r="R15" s="3493">
        <f t="shared" si="2"/>
        <v>-6.1282212445003233E-3</v>
      </c>
      <c r="S15" s="3493">
        <f t="shared" si="2"/>
        <v>-7.0660281070898494E-4</v>
      </c>
      <c r="T15" s="3493">
        <f t="shared" si="2"/>
        <v>-1.2022959975178275E-2</v>
      </c>
      <c r="U15" s="3493">
        <f t="shared" si="2"/>
        <v>3.7919652201916058E-2</v>
      </c>
      <c r="V15" s="3493">
        <f t="shared" si="2"/>
        <v>-1.6392144440924988E-2</v>
      </c>
      <c r="W15" s="3493">
        <f t="shared" si="2"/>
        <v>0.11054436725002206</v>
      </c>
      <c r="X15" s="3493">
        <f t="shared" si="2"/>
        <v>-1.1131402730672244E-2</v>
      </c>
      <c r="Y15" s="3493">
        <f t="shared" si="2"/>
        <v>1.7520573400583928E-2</v>
      </c>
      <c r="Z15" s="3493">
        <f t="shared" si="2"/>
        <v>-2.4177532164752588E-2</v>
      </c>
      <c r="AA15" s="3493">
        <f t="shared" si="2"/>
        <v>6.6933240611960704E-3</v>
      </c>
      <c r="AB15" s="3493">
        <f t="shared" si="2"/>
        <v>1.0629886673109093E-2</v>
      </c>
      <c r="AC15" s="3493">
        <f t="shared" si="2"/>
        <v>2.5541659327108688E-3</v>
      </c>
      <c r="AD15" s="3493">
        <f t="shared" si="2"/>
        <v>4.3086816720257347E-2</v>
      </c>
      <c r="AE15" s="3493">
        <f t="shared" si="2"/>
        <v>-4.8929663608562768E-2</v>
      </c>
      <c r="AF15" s="3493">
        <f t="shared" si="2"/>
        <v>3.1173979637805282E-2</v>
      </c>
      <c r="AG15" s="3493">
        <f t="shared" si="2"/>
        <v>-2.6318098078778843E-2</v>
      </c>
      <c r="AH15" s="3493">
        <f t="shared" si="2"/>
        <v>-3.8451455038015546E-3</v>
      </c>
      <c r="AI15" s="3493">
        <f t="shared" si="2"/>
        <v>-2.087789851972275E-2</v>
      </c>
      <c r="AJ15" s="3493">
        <f t="shared" si="2"/>
        <v>2.7609249978018117E-2</v>
      </c>
      <c r="AK15" s="3493">
        <f t="shared" si="2"/>
        <v>0.10750803388840205</v>
      </c>
      <c r="AL15" s="3493">
        <f t="shared" si="2"/>
        <v>6.8240923749089799E-2</v>
      </c>
      <c r="AM15" s="3493">
        <f t="shared" si="2"/>
        <v>2.9780396357793264E-2</v>
      </c>
      <c r="AN15" s="3493">
        <f t="shared" si="2"/>
        <v>-2.8413821815154082E-2</v>
      </c>
      <c r="AO15" s="3493">
        <f t="shared" si="2"/>
        <v>1.0411189399516194E-2</v>
      </c>
      <c r="AP15" s="3493">
        <f t="shared" si="2"/>
        <v>4.8610377258798262E-3</v>
      </c>
      <c r="AQ15" s="3493">
        <f t="shared" si="2"/>
        <v>-4.6260834509171574E-2</v>
      </c>
      <c r="AR15" s="3493">
        <f t="shared" si="2"/>
        <v>-1.4599265071010019E-2</v>
      </c>
      <c r="AS15" s="3493">
        <f t="shared" si="2"/>
        <v>2.3896684970510416E-2</v>
      </c>
      <c r="AT15" s="3493">
        <f t="shared" si="2"/>
        <v>2.2776911076443033E-2</v>
      </c>
      <c r="AU15" s="3493">
        <f t="shared" si="2"/>
        <v>-2.1473641359658045E-2</v>
      </c>
      <c r="AV15" s="3493">
        <f t="shared" si="2"/>
        <v>-5.4655870445343329E-3</v>
      </c>
      <c r="AW15" s="3493">
        <f t="shared" si="2"/>
        <v>-1.4168828577130331E-2</v>
      </c>
      <c r="AX15" s="3493">
        <f t="shared" si="2"/>
        <v>-2.1766715470961484E-2</v>
      </c>
      <c r="AY15" s="3493">
        <f t="shared" si="2"/>
        <v>-7.5559430398140183E-3</v>
      </c>
      <c r="AZ15" s="3493">
        <f t="shared" si="2"/>
        <v>5.7684426229508298E-2</v>
      </c>
      <c r="BA15" s="3493">
        <f t="shared" si="2"/>
        <v>-5.0121654501216598E-2</v>
      </c>
      <c r="BB15" s="3493">
        <f t="shared" si="2"/>
        <v>3.1419393696044927E-2</v>
      </c>
      <c r="BC15" s="3493">
        <f t="shared" si="2"/>
        <v>-4.8428694240137488E-2</v>
      </c>
      <c r="BD15" s="3493">
        <f t="shared" si="2"/>
        <v>1.8583381980930107E-2</v>
      </c>
      <c r="BE15" s="3493">
        <f t="shared" si="2"/>
        <v>-5.7076521234401024E-3</v>
      </c>
      <c r="BF15" s="3493">
        <f t="shared" si="2"/>
        <v>1.1250244570534198E-2</v>
      </c>
      <c r="BG15" s="3493">
        <f t="shared" si="2"/>
        <v>-3.3151326053042452E-3</v>
      </c>
      <c r="BH15" s="3493">
        <f t="shared" si="2"/>
        <v>3.658783100869218E-2</v>
      </c>
      <c r="BI15" s="3493">
        <f t="shared" si="2"/>
        <v>-3.2276995305164292E-2</v>
      </c>
      <c r="BJ15" s="3493">
        <f t="shared" si="2"/>
        <v>7.9858030168587987E-3</v>
      </c>
      <c r="BK15" s="3493">
        <f t="shared" si="2"/>
        <v>-2.3020612598728438E-2</v>
      </c>
      <c r="BL15" s="3493">
        <f t="shared" si="2"/>
        <v>1.4263384134427451E-2</v>
      </c>
      <c r="BM15" s="3493">
        <f t="shared" si="2"/>
        <v>2.4112056028013973E-2</v>
      </c>
      <c r="BN15" s="3493">
        <f t="shared" si="2"/>
        <v>1.3075207784309815E-2</v>
      </c>
      <c r="BO15" s="3493">
        <f t="shared" ref="BO15:BX15" si="3">(BO13-BP13)/BP13</f>
        <v>-3.4354507193892582E-2</v>
      </c>
      <c r="BP15" s="3493">
        <f t="shared" si="3"/>
        <v>-3.8026521060842487E-3</v>
      </c>
      <c r="BQ15" s="3493">
        <f t="shared" si="3"/>
        <v>5.2113254000820661E-2</v>
      </c>
      <c r="BR15" s="3493">
        <f t="shared" si="3"/>
        <v>1.5839933305544084E-2</v>
      </c>
      <c r="BS15" s="3493">
        <f t="shared" si="3"/>
        <v>-5.6811480243758615E-2</v>
      </c>
      <c r="BT15" s="3493">
        <f t="shared" si="3"/>
        <v>-6.48037503447009E-2</v>
      </c>
      <c r="BU15" s="3493">
        <f t="shared" si="3"/>
        <v>1.0120705663881183E-2</v>
      </c>
      <c r="BV15" s="3493">
        <f t="shared" si="3"/>
        <v>8.5247883917775172E-2</v>
      </c>
      <c r="BW15" s="3493">
        <f t="shared" si="3"/>
        <v>5.2051309233541787E-2</v>
      </c>
      <c r="BX15" s="3493">
        <f t="shared" si="3"/>
        <v>0.11002588844433978</v>
      </c>
      <c r="BY15" s="3493"/>
    </row>
    <row r="16" spans="1:77">
      <c r="B16" s="3493"/>
      <c r="C16" s="3493"/>
      <c r="D16" s="3493"/>
      <c r="E16" s="3493"/>
      <c r="F16" s="3493"/>
      <c r="G16" s="3493"/>
      <c r="H16" s="3493"/>
      <c r="I16" s="3493"/>
      <c r="J16" s="3493"/>
      <c r="K16" s="3493"/>
      <c r="L16" s="3493"/>
      <c r="M16" s="3493"/>
      <c r="N16" s="3493"/>
      <c r="O16" s="3493"/>
      <c r="P16" s="3493"/>
      <c r="Q16" s="3493"/>
      <c r="R16" s="3493">
        <f>(R14-AD14)/AD14</f>
        <v>0.11724963323295487</v>
      </c>
      <c r="S16" s="3493">
        <f>(AD14-AP14)/AP14</f>
        <v>9.3206604315089481E-2</v>
      </c>
      <c r="T16" s="3493">
        <f>(AP14-BB14)/BB14</f>
        <v>-3.431748153703211E-2</v>
      </c>
      <c r="U16" s="3493">
        <f>(BB14-BN14)/BN14</f>
        <v>2.7832702168303053E-2</v>
      </c>
      <c r="V16" s="3493"/>
      <c r="W16" s="3493"/>
      <c r="X16" s="3493"/>
      <c r="Y16" s="3493"/>
      <c r="Z16" s="3493"/>
      <c r="AA16" s="3493"/>
      <c r="AB16" s="3493"/>
      <c r="AC16" s="3493"/>
      <c r="AD16" s="3493"/>
      <c r="AE16" s="3493"/>
      <c r="AF16" s="3493"/>
      <c r="AG16" s="3493"/>
      <c r="AH16" s="3493"/>
      <c r="AI16" s="3493"/>
      <c r="AJ16" s="3493"/>
      <c r="AK16" s="3493"/>
      <c r="AL16" s="3493"/>
      <c r="AM16" s="3493"/>
      <c r="AN16" s="3493"/>
      <c r="AO16" s="3493"/>
      <c r="AP16" s="3493"/>
      <c r="AQ16" s="3493"/>
      <c r="AR16" s="3493"/>
      <c r="AS16" s="3493"/>
      <c r="AT16" s="3493"/>
      <c r="AU16" s="3493"/>
      <c r="AV16" s="3493"/>
      <c r="AW16" s="3493"/>
      <c r="AX16" s="3493"/>
      <c r="AY16" s="3493"/>
      <c r="AZ16" s="3493"/>
      <c r="BA16" s="3493"/>
      <c r="BB16" s="3493"/>
      <c r="BC16" s="3493"/>
      <c r="BD16" s="3493"/>
      <c r="BE16" s="3493"/>
      <c r="BF16" s="3493"/>
      <c r="BG16" s="3493"/>
      <c r="BH16" s="3493"/>
      <c r="BI16" s="3493"/>
      <c r="BJ16" s="3493"/>
      <c r="BK16" s="3493"/>
      <c r="BL16" s="3493"/>
      <c r="BM16" s="3493"/>
      <c r="BN16" s="3493"/>
      <c r="BO16" s="3493"/>
      <c r="BP16" s="3493"/>
      <c r="BQ16" s="3493"/>
      <c r="BR16" s="3493"/>
      <c r="BS16" s="3493"/>
      <c r="BT16" s="3493"/>
      <c r="BU16" s="3493"/>
      <c r="BV16" s="3493"/>
      <c r="BW16" s="3493"/>
      <c r="BX16" s="3493"/>
      <c r="BY16" s="3493"/>
    </row>
    <row r="17" spans="1:77">
      <c r="B17" s="3493"/>
      <c r="C17" s="3493"/>
      <c r="D17" s="3493"/>
      <c r="E17" s="3493"/>
      <c r="F17" s="3493"/>
      <c r="G17" s="3493"/>
      <c r="H17" s="3493"/>
      <c r="I17" s="3493"/>
      <c r="J17" s="3493"/>
      <c r="K17" s="3493"/>
      <c r="L17" s="3493"/>
      <c r="M17" s="3493"/>
      <c r="N17" s="3493"/>
      <c r="O17" s="3493"/>
      <c r="P17" s="3493"/>
      <c r="Q17" s="3493"/>
      <c r="R17" s="3493"/>
      <c r="S17" s="3493"/>
      <c r="T17" s="3493"/>
      <c r="U17" s="3493"/>
      <c r="V17" s="3493"/>
      <c r="W17" s="3493"/>
      <c r="X17" s="3493"/>
      <c r="Y17" s="3493"/>
      <c r="Z17" s="3493"/>
      <c r="AA17" s="3493"/>
      <c r="AB17" s="3493"/>
      <c r="AC17" s="3493"/>
      <c r="AD17" s="3493"/>
      <c r="AE17" s="3493"/>
      <c r="AF17" s="3493"/>
      <c r="AG17" s="3493"/>
      <c r="AH17" s="3493"/>
      <c r="AI17" s="3493"/>
      <c r="AJ17" s="3493"/>
      <c r="AK17" s="3493"/>
      <c r="AL17" s="3493"/>
      <c r="AM17" s="3493"/>
      <c r="AN17" s="3493"/>
      <c r="AO17" s="3493"/>
      <c r="AP17" s="3493"/>
      <c r="AQ17" s="3493"/>
      <c r="AR17" s="3493"/>
      <c r="AS17" s="3493"/>
      <c r="AT17" s="3493"/>
      <c r="AU17" s="3493"/>
      <c r="AV17" s="3493"/>
      <c r="AW17" s="3493"/>
      <c r="AX17" s="3493"/>
      <c r="AY17" s="3493"/>
      <c r="AZ17" s="3493"/>
      <c r="BA17" s="3493"/>
      <c r="BB17" s="3493"/>
      <c r="BC17" s="3493"/>
      <c r="BD17" s="3493"/>
      <c r="BE17" s="3493"/>
      <c r="BF17" s="3493"/>
      <c r="BG17" s="3493"/>
      <c r="BH17" s="3493"/>
      <c r="BI17" s="3493"/>
      <c r="BJ17" s="3493"/>
      <c r="BK17" s="3493"/>
      <c r="BL17" s="3493"/>
      <c r="BM17" s="3493"/>
      <c r="BN17" s="3493"/>
      <c r="BO17" s="3493"/>
      <c r="BP17" s="3493"/>
      <c r="BQ17" s="3493"/>
      <c r="BR17" s="3493"/>
      <c r="BS17" s="3493"/>
      <c r="BT17" s="3493"/>
      <c r="BU17" s="3493"/>
      <c r="BV17" s="3493"/>
      <c r="BW17" s="3493"/>
      <c r="BX17" s="3493"/>
      <c r="BY17" s="3493"/>
    </row>
    <row r="19" spans="1:77">
      <c r="A19" s="3479" t="s">
        <v>3618</v>
      </c>
      <c r="B19" s="3482">
        <v>45383.333831018521</v>
      </c>
      <c r="C19" s="3482">
        <v>45352.333831018521</v>
      </c>
      <c r="D19" s="3482">
        <v>45323.333831018521</v>
      </c>
      <c r="E19" s="3482">
        <v>45292.333831018521</v>
      </c>
      <c r="F19" s="3482">
        <v>45261.333831018521</v>
      </c>
      <c r="G19" s="3482">
        <v>45231.333831018521</v>
      </c>
      <c r="H19" s="3482">
        <v>45200.333831018521</v>
      </c>
      <c r="I19" s="3482">
        <v>45170.333831018521</v>
      </c>
      <c r="J19" s="3482">
        <v>45139.333831018521</v>
      </c>
      <c r="K19" s="3482">
        <v>45108.333831018521</v>
      </c>
      <c r="L19" s="3482">
        <v>45078.333831018521</v>
      </c>
      <c r="M19" s="3482">
        <v>45047.333831018521</v>
      </c>
      <c r="N19" s="3482">
        <v>45017.333831018521</v>
      </c>
      <c r="O19" s="3482">
        <v>44986.333831018521</v>
      </c>
      <c r="P19" s="3482">
        <v>44958.333831018521</v>
      </c>
      <c r="Q19" s="3482">
        <v>44927.333831018521</v>
      </c>
      <c r="R19" s="3482">
        <v>44896.333831018521</v>
      </c>
      <c r="S19" s="3482">
        <v>44866.333831018521</v>
      </c>
      <c r="T19" s="3482">
        <v>44835.333831018521</v>
      </c>
      <c r="U19" s="3482">
        <v>44805.333831018521</v>
      </c>
      <c r="V19" s="3482">
        <v>44774.333831018521</v>
      </c>
      <c r="W19" s="3482">
        <v>44743.333831018521</v>
      </c>
      <c r="X19" s="3482">
        <v>44713.333831018521</v>
      </c>
      <c r="Y19" s="3482">
        <v>44682.333831018521</v>
      </c>
      <c r="Z19" s="3482">
        <v>44652.333831018521</v>
      </c>
      <c r="AA19" s="3482">
        <v>44621.333831018521</v>
      </c>
      <c r="AB19" s="3482">
        <v>44593.333831018521</v>
      </c>
      <c r="AC19" s="3482">
        <v>44562.333831018521</v>
      </c>
      <c r="AD19" s="3482">
        <v>44531.333831018521</v>
      </c>
      <c r="AE19" s="3482">
        <v>44501.333831018521</v>
      </c>
      <c r="AF19" s="3482">
        <v>44470.333831018521</v>
      </c>
      <c r="AG19" s="3482">
        <v>44440.333831018521</v>
      </c>
      <c r="AH19" s="3482">
        <v>44409.333831018521</v>
      </c>
      <c r="AI19" s="3482">
        <v>44378.333831018521</v>
      </c>
      <c r="AJ19" s="3482">
        <v>44348.333831018521</v>
      </c>
      <c r="AK19" s="3482">
        <v>44317.333831018521</v>
      </c>
      <c r="AL19" s="3482">
        <v>44287.333831018521</v>
      </c>
      <c r="AM19" s="3482">
        <v>44256.333831018521</v>
      </c>
      <c r="AN19" s="3482">
        <v>44228.333831018521</v>
      </c>
      <c r="AO19" s="3482">
        <v>44197.333831018521</v>
      </c>
      <c r="AP19" s="3482">
        <v>44166.333831018521</v>
      </c>
      <c r="AQ19" s="3482">
        <v>44136.333831018521</v>
      </c>
      <c r="AR19" s="3482">
        <v>44105.333831018521</v>
      </c>
      <c r="AS19" s="3482">
        <v>44075.333831018521</v>
      </c>
      <c r="AT19" s="3482">
        <v>44044.333831018521</v>
      </c>
      <c r="AU19" s="3482">
        <v>44013.333831018521</v>
      </c>
      <c r="AV19" s="3482">
        <v>43983.333831018521</v>
      </c>
      <c r="AW19" s="3482">
        <v>43952.333831018521</v>
      </c>
      <c r="AX19" s="3482">
        <v>43922.333831018521</v>
      </c>
      <c r="AY19" s="3482">
        <v>43891.333831018521</v>
      </c>
      <c r="AZ19" s="3482">
        <v>43862.333831018521</v>
      </c>
      <c r="BA19" s="3482">
        <v>43831.333831018521</v>
      </c>
      <c r="BB19" s="3482">
        <v>43800.333831018521</v>
      </c>
      <c r="BC19" s="3482">
        <v>43770.333831018521</v>
      </c>
      <c r="BD19" s="3482">
        <v>43739.333831018521</v>
      </c>
      <c r="BE19" s="3482">
        <v>43709.333831018521</v>
      </c>
      <c r="BF19" s="3482">
        <v>43678.333831018521</v>
      </c>
      <c r="BG19" s="3482">
        <v>43647.333831018521</v>
      </c>
      <c r="BH19" s="3482">
        <v>43617.333831018521</v>
      </c>
      <c r="BI19" s="3482">
        <v>43586.333831018521</v>
      </c>
      <c r="BJ19" s="3482">
        <v>43556.333831018521</v>
      </c>
      <c r="BK19" s="3482">
        <v>43525.333831018521</v>
      </c>
      <c r="BL19" s="3482">
        <v>43497.333831018521</v>
      </c>
      <c r="BM19" s="3482">
        <v>43466.333831018521</v>
      </c>
      <c r="BN19" s="3482">
        <v>43435.333831018521</v>
      </c>
      <c r="BO19" s="3482">
        <v>43405.333831018521</v>
      </c>
      <c r="BP19" s="3482">
        <v>43374.333831018521</v>
      </c>
      <c r="BQ19" s="3482">
        <v>43344.333831018521</v>
      </c>
      <c r="BR19" s="3482">
        <v>43313.333831018521</v>
      </c>
      <c r="BS19" s="3482">
        <v>43282.333831018521</v>
      </c>
      <c r="BT19" s="3482">
        <v>43252.333831018521</v>
      </c>
      <c r="BU19" s="3482">
        <v>43221.333831018521</v>
      </c>
      <c r="BV19" s="3482">
        <v>43191.333831018521</v>
      </c>
      <c r="BW19" s="3482">
        <v>43160.333831018521</v>
      </c>
      <c r="BX19" s="3482">
        <v>43132.333831018521</v>
      </c>
      <c r="BY19" s="3482">
        <v>43101.333831018521</v>
      </c>
    </row>
    <row r="20" spans="1:77">
      <c r="A20" s="3479" t="s">
        <v>3619</v>
      </c>
      <c r="B20" s="3479">
        <v>147.25</v>
      </c>
      <c r="C20" s="3479">
        <v>147.79</v>
      </c>
      <c r="D20" s="3479">
        <v>147.28</v>
      </c>
      <c r="E20" s="3479">
        <v>146.94999999999999</v>
      </c>
      <c r="F20" s="3479">
        <v>146.57</v>
      </c>
      <c r="G20" s="3479">
        <v>148.22999999999999</v>
      </c>
      <c r="H20" s="3479">
        <v>149.47</v>
      </c>
      <c r="I20" s="3479">
        <v>150.1</v>
      </c>
      <c r="J20" s="3479">
        <v>150.24</v>
      </c>
      <c r="K20" s="3479">
        <v>149.69999999999999</v>
      </c>
      <c r="L20" s="3479">
        <v>148.9</v>
      </c>
      <c r="M20" s="3479">
        <v>148.59</v>
      </c>
      <c r="N20" s="3479">
        <v>148.47999999999999</v>
      </c>
      <c r="O20" s="3479">
        <v>148.43</v>
      </c>
      <c r="P20" s="3479">
        <v>147.94999999999999</v>
      </c>
      <c r="Q20" s="3479">
        <v>146.56</v>
      </c>
      <c r="R20" s="3479">
        <v>147.16</v>
      </c>
      <c r="S20" s="3479">
        <v>147.86000000000001</v>
      </c>
      <c r="T20" s="3479">
        <v>148.24</v>
      </c>
      <c r="U20" s="3479">
        <v>148.91</v>
      </c>
      <c r="V20" s="3479">
        <v>148.97</v>
      </c>
      <c r="W20" s="3479">
        <v>148.66</v>
      </c>
      <c r="X20" s="3479">
        <v>148.44999999999999</v>
      </c>
      <c r="Y20" s="3479">
        <v>148.82</v>
      </c>
      <c r="Z20" s="3479">
        <v>149.1</v>
      </c>
      <c r="AA20" s="3479">
        <v>148.94</v>
      </c>
      <c r="AB20" s="3479">
        <v>148.57</v>
      </c>
      <c r="AC20" s="3479">
        <v>148.30000000000001</v>
      </c>
      <c r="AD20" s="3479">
        <v>148.84</v>
      </c>
      <c r="AE20" s="3479">
        <v>150.69</v>
      </c>
      <c r="AF20" s="3479">
        <v>152.96</v>
      </c>
      <c r="AG20" s="3479">
        <v>154.54</v>
      </c>
      <c r="AH20" s="3479">
        <v>129.68</v>
      </c>
      <c r="AI20" s="3479">
        <v>121.52</v>
      </c>
      <c r="AJ20" s="3479">
        <v>126.87</v>
      </c>
      <c r="AK20" s="3479">
        <v>156.72</v>
      </c>
      <c r="AL20" s="3479">
        <v>146.19</v>
      </c>
      <c r="AM20" s="3479">
        <v>141.4</v>
      </c>
      <c r="AN20" s="3479">
        <v>135.47999999999999</v>
      </c>
      <c r="AO20" s="3479">
        <v>131.5</v>
      </c>
      <c r="AP20" s="3479">
        <v>132.55000000000001</v>
      </c>
      <c r="AQ20" s="3479">
        <v>132.69999999999999</v>
      </c>
      <c r="AR20" s="3479">
        <v>133.54</v>
      </c>
      <c r="AS20" s="3479">
        <v>135.85</v>
      </c>
      <c r="AT20" s="3479">
        <v>137.74</v>
      </c>
      <c r="AU20" s="3479">
        <v>137.91999999999999</v>
      </c>
      <c r="AV20" s="3479">
        <v>134.22999999999999</v>
      </c>
      <c r="AW20" s="3479">
        <v>133.55000000000001</v>
      </c>
      <c r="AX20" s="3479">
        <v>134.74</v>
      </c>
      <c r="AY20" s="3479">
        <v>138.5</v>
      </c>
      <c r="AZ20" s="3479">
        <v>139.85</v>
      </c>
      <c r="BA20" s="3479">
        <v>141.58000000000001</v>
      </c>
      <c r="BB20" s="3479">
        <v>138.82</v>
      </c>
      <c r="BC20" s="3479">
        <v>132.06</v>
      </c>
      <c r="BD20" s="3479">
        <v>127.3</v>
      </c>
      <c r="BE20" s="3479">
        <v>134.13</v>
      </c>
      <c r="BF20" s="3479">
        <v>134.04</v>
      </c>
      <c r="BG20" s="3479">
        <v>131.88999999999999</v>
      </c>
      <c r="BH20" s="3479">
        <v>137.38</v>
      </c>
      <c r="BI20" s="3479">
        <v>137.15</v>
      </c>
      <c r="BJ20" s="3479">
        <v>132.33000000000001</v>
      </c>
      <c r="BK20" s="3479">
        <v>130.01</v>
      </c>
      <c r="BL20" s="3479">
        <v>127.41</v>
      </c>
      <c r="BM20" s="3479">
        <v>130.13999999999999</v>
      </c>
      <c r="BN20" s="3479">
        <v>131.91999999999999</v>
      </c>
      <c r="BO20" s="3479">
        <v>126.76</v>
      </c>
      <c r="BP20" s="3479">
        <v>124.97</v>
      </c>
      <c r="BQ20" s="3479">
        <v>119.79</v>
      </c>
      <c r="BR20" s="3479">
        <v>119.75</v>
      </c>
      <c r="BS20" s="3479">
        <v>112.98</v>
      </c>
      <c r="BT20" s="3479">
        <v>132.12</v>
      </c>
      <c r="BU20" s="3479">
        <v>125.59</v>
      </c>
      <c r="BV20" s="3479">
        <v>108.6</v>
      </c>
      <c r="BW20" s="3479">
        <v>120.09</v>
      </c>
      <c r="BX20" s="3479">
        <v>109.26</v>
      </c>
      <c r="BY20" s="3479">
        <v>98.98</v>
      </c>
    </row>
    <row r="21" spans="1:77">
      <c r="R21" s="3494">
        <f>AVERAGE(R20:AC20)</f>
        <v>148.49833333333331</v>
      </c>
      <c r="S21" s="3494"/>
      <c r="T21" s="3494"/>
      <c r="U21" s="3494"/>
      <c r="V21" s="3494"/>
      <c r="W21" s="3494"/>
      <c r="X21" s="3494"/>
      <c r="Y21" s="3494"/>
      <c r="Z21" s="3494"/>
      <c r="AA21" s="3494"/>
      <c r="AB21" s="3494"/>
      <c r="AC21" s="3494"/>
      <c r="AD21" s="3494">
        <f>AVERAGE(AD20:AO20)</f>
        <v>141.36583333333334</v>
      </c>
      <c r="AE21" s="3494"/>
      <c r="AF21" s="3494"/>
      <c r="AG21" s="3494"/>
      <c r="AH21" s="3494"/>
      <c r="AI21" s="3494"/>
      <c r="AJ21" s="3494"/>
      <c r="AK21" s="3494"/>
      <c r="AL21" s="3494"/>
      <c r="AM21" s="3494"/>
      <c r="AN21" s="3494"/>
      <c r="AO21" s="3494"/>
      <c r="AP21" s="3494">
        <f>AVERAGE(AP20:BA20)</f>
        <v>136.06249999999997</v>
      </c>
      <c r="AQ21" s="3494"/>
      <c r="AR21" s="3494"/>
      <c r="AS21" s="3494"/>
      <c r="AT21" s="3494"/>
      <c r="AU21" s="3494"/>
      <c r="AV21" s="3494"/>
      <c r="AW21" s="3494"/>
      <c r="AX21" s="3494"/>
      <c r="AY21" s="3494"/>
      <c r="AZ21" s="3494"/>
      <c r="BA21" s="3494"/>
      <c r="BB21" s="3494">
        <f>AVERAGE(BB20:BM20)</f>
        <v>132.72166666666666</v>
      </c>
      <c r="BC21" s="3494"/>
      <c r="BD21" s="3494"/>
      <c r="BE21" s="3494"/>
      <c r="BF21" s="3494"/>
      <c r="BG21" s="3494"/>
      <c r="BH21" s="3494"/>
      <c r="BI21" s="3494"/>
      <c r="BJ21" s="3494"/>
      <c r="BK21" s="3494"/>
      <c r="BL21" s="3494"/>
      <c r="BM21" s="3494"/>
      <c r="BN21" s="3494">
        <f>AVERAGE(BN20:BY20)</f>
        <v>119.23416666666667</v>
      </c>
      <c r="BO21" s="3494"/>
      <c r="BP21" s="3494"/>
      <c r="BQ21" s="3494"/>
      <c r="BR21" s="3494"/>
      <c r="BS21" s="3494"/>
      <c r="BT21" s="3494"/>
      <c r="BU21" s="3494"/>
      <c r="BV21" s="3494"/>
      <c r="BW21" s="3494"/>
      <c r="BX21" s="3494"/>
      <c r="BY21" s="3494"/>
    </row>
    <row r="22" spans="1:77">
      <c r="R22" s="3493">
        <f t="shared" ref="R22:BX22" si="4">(R20-S20)/S20</f>
        <v>-4.7342080346274651E-3</v>
      </c>
      <c r="S22" s="3493">
        <f t="shared" si="4"/>
        <v>-2.5634106853750366E-3</v>
      </c>
      <c r="T22" s="3493">
        <f t="shared" si="4"/>
        <v>-4.4993620307567494E-3</v>
      </c>
      <c r="U22" s="3493">
        <f t="shared" si="4"/>
        <v>-4.0276565751495115E-4</v>
      </c>
      <c r="V22" s="3493">
        <f t="shared" si="4"/>
        <v>2.0852953047222002E-3</v>
      </c>
      <c r="W22" s="3493">
        <f t="shared" si="4"/>
        <v>1.4146177164028829E-3</v>
      </c>
      <c r="X22" s="3493">
        <f t="shared" si="4"/>
        <v>-2.4862249697621595E-3</v>
      </c>
      <c r="Y22" s="3493">
        <f t="shared" si="4"/>
        <v>-1.8779342723004772E-3</v>
      </c>
      <c r="Z22" s="3493">
        <f t="shared" si="4"/>
        <v>1.0742580905062213E-3</v>
      </c>
      <c r="AA22" s="3493">
        <f t="shared" si="4"/>
        <v>2.4904085616208153E-3</v>
      </c>
      <c r="AB22" s="3493">
        <f t="shared" si="4"/>
        <v>1.8206338503033161E-3</v>
      </c>
      <c r="AC22" s="3493">
        <f t="shared" si="4"/>
        <v>-3.628056973931685E-3</v>
      </c>
      <c r="AD22" s="3493">
        <f t="shared" si="4"/>
        <v>-1.2276859778352873E-2</v>
      </c>
      <c r="AE22" s="3493">
        <f t="shared" si="4"/>
        <v>-1.4840481171548183E-2</v>
      </c>
      <c r="AF22" s="3493">
        <f t="shared" si="4"/>
        <v>-1.0223890254950073E-2</v>
      </c>
      <c r="AG22" s="3493">
        <f t="shared" si="4"/>
        <v>0.19170265268352857</v>
      </c>
      <c r="AH22" s="3493">
        <f t="shared" si="4"/>
        <v>6.714944042132992E-2</v>
      </c>
      <c r="AI22" s="3493">
        <f t="shared" si="4"/>
        <v>-4.2169149523133984E-2</v>
      </c>
      <c r="AJ22" s="3493">
        <f t="shared" si="4"/>
        <v>-0.19046707503828481</v>
      </c>
      <c r="AK22" s="3493">
        <f t="shared" si="4"/>
        <v>7.2029550584855329E-2</v>
      </c>
      <c r="AL22" s="3493">
        <f t="shared" si="4"/>
        <v>3.3875530410183818E-2</v>
      </c>
      <c r="AM22" s="3493">
        <f t="shared" si="4"/>
        <v>4.3696486566282965E-2</v>
      </c>
      <c r="AN22" s="3493">
        <f t="shared" si="4"/>
        <v>3.0266159695817411E-2</v>
      </c>
      <c r="AO22" s="3493">
        <f t="shared" si="4"/>
        <v>-7.9215390418710778E-3</v>
      </c>
      <c r="AP22" s="3493">
        <f t="shared" si="4"/>
        <v>-1.1303692539561211E-3</v>
      </c>
      <c r="AQ22" s="3493">
        <f t="shared" si="4"/>
        <v>-6.290250112325921E-3</v>
      </c>
      <c r="AR22" s="3493">
        <f t="shared" si="4"/>
        <v>-1.7004048582995968E-2</v>
      </c>
      <c r="AS22" s="3493">
        <f t="shared" si="4"/>
        <v>-1.372150428343266E-2</v>
      </c>
      <c r="AT22" s="3493">
        <f t="shared" si="4"/>
        <v>-1.3051044083525118E-3</v>
      </c>
      <c r="AU22" s="3493">
        <f t="shared" si="4"/>
        <v>2.7490128883260061E-2</v>
      </c>
      <c r="AV22" s="3493">
        <f t="shared" si="4"/>
        <v>5.0917259453386625E-3</v>
      </c>
      <c r="AW22" s="3493">
        <f t="shared" si="4"/>
        <v>-8.8318242541190264E-3</v>
      </c>
      <c r="AX22" s="3493">
        <f t="shared" si="4"/>
        <v>-2.7148014440433146E-2</v>
      </c>
      <c r="AY22" s="3493">
        <f t="shared" si="4"/>
        <v>-9.6531998569895916E-3</v>
      </c>
      <c r="AZ22" s="3493">
        <f t="shared" si="4"/>
        <v>-1.2219240005650642E-2</v>
      </c>
      <c r="BA22" s="3493">
        <f t="shared" si="4"/>
        <v>1.9881861403256155E-2</v>
      </c>
      <c r="BB22" s="3493">
        <f t="shared" si="4"/>
        <v>5.1188853551415954E-2</v>
      </c>
      <c r="BC22" s="3493">
        <f t="shared" si="4"/>
        <v>3.7391987431264768E-2</v>
      </c>
      <c r="BD22" s="3493">
        <f t="shared" si="4"/>
        <v>-5.0920748527547889E-2</v>
      </c>
      <c r="BE22" s="3493">
        <f t="shared" si="4"/>
        <v>6.7144136078785006E-4</v>
      </c>
      <c r="BF22" s="3493">
        <f t="shared" si="4"/>
        <v>1.6301463340662719E-2</v>
      </c>
      <c r="BG22" s="3493">
        <f t="shared" si="4"/>
        <v>-3.996214878439372E-2</v>
      </c>
      <c r="BH22" s="3493">
        <f t="shared" si="4"/>
        <v>1.6769959897921236E-3</v>
      </c>
      <c r="BI22" s="3493">
        <f t="shared" si="4"/>
        <v>3.6424091286934128E-2</v>
      </c>
      <c r="BJ22" s="3493">
        <f t="shared" si="4"/>
        <v>1.7844781170679346E-2</v>
      </c>
      <c r="BK22" s="3493">
        <f t="shared" si="4"/>
        <v>2.0406561494388152E-2</v>
      </c>
      <c r="BL22" s="3493">
        <f t="shared" si="4"/>
        <v>-2.0977408944213845E-2</v>
      </c>
      <c r="BM22" s="3493">
        <f t="shared" si="4"/>
        <v>-1.3493026076409955E-2</v>
      </c>
      <c r="BN22" s="3493">
        <f t="shared" si="4"/>
        <v>4.070684758598913E-2</v>
      </c>
      <c r="BO22" s="3493">
        <f t="shared" si="4"/>
        <v>1.4323437625030057E-2</v>
      </c>
      <c r="BP22" s="3493">
        <f t="shared" si="4"/>
        <v>4.3242340763001853E-2</v>
      </c>
      <c r="BQ22" s="3493">
        <f t="shared" si="4"/>
        <v>3.340292275574635E-4</v>
      </c>
      <c r="BR22" s="3493">
        <f t="shared" si="4"/>
        <v>5.9922110107983678E-2</v>
      </c>
      <c r="BS22" s="3493">
        <f t="shared" si="4"/>
        <v>-0.14486830154405086</v>
      </c>
      <c r="BT22" s="3493">
        <f t="shared" si="4"/>
        <v>5.1994585556174859E-2</v>
      </c>
      <c r="BU22" s="3493">
        <f t="shared" si="4"/>
        <v>0.15644567219152863</v>
      </c>
      <c r="BV22" s="3493">
        <f t="shared" si="4"/>
        <v>-9.5678241319010815E-2</v>
      </c>
      <c r="BW22" s="3493">
        <f t="shared" si="4"/>
        <v>9.9121361889071918E-2</v>
      </c>
      <c r="BX22" s="3493">
        <f t="shared" si="4"/>
        <v>0.10385936552838958</v>
      </c>
    </row>
    <row r="23" spans="1:77">
      <c r="R23" s="3493">
        <f>(R21-AD21)/AD21</f>
        <v>5.0454199800753115E-2</v>
      </c>
      <c r="S23" s="3493">
        <f>(AD21-AP21)/AP21</f>
        <v>3.8977185729597581E-2</v>
      </c>
      <c r="T23" s="3493">
        <f>(AP21-BB21)/BB21</f>
        <v>2.5171725289766612E-2</v>
      </c>
      <c r="U23" s="3493">
        <f>(BB21-BN21)/BN21</f>
        <v>0.11311774449437728</v>
      </c>
    </row>
    <row r="40" spans="19:23" ht="13.5" customHeight="1"/>
    <row r="43" spans="19:23">
      <c r="S43" s="1156" t="s">
        <v>3915</v>
      </c>
      <c r="T43" s="1156" t="s">
        <v>3393</v>
      </c>
    </row>
    <row r="44" spans="19:23">
      <c r="S44" s="1156" t="s">
        <v>3933</v>
      </c>
      <c r="T44" s="1156">
        <v>90.26</v>
      </c>
      <c r="U44" s="3495">
        <f>AVERAGE(T44:T55)</f>
        <v>90.861666666666665</v>
      </c>
      <c r="V44" s="3493">
        <f>(T44-T45)/T45</f>
        <v>-6.2754596498953343E-3</v>
      </c>
      <c r="W44" s="3493">
        <f>(U44-U56)/U56</f>
        <v>-3.0602084000142315E-2</v>
      </c>
    </row>
    <row r="45" spans="19:23">
      <c r="S45" s="1156" t="s">
        <v>3934</v>
      </c>
      <c r="T45" s="1156">
        <v>90.83</v>
      </c>
      <c r="U45" s="3495"/>
      <c r="V45" s="3493">
        <f t="shared" ref="V45:V101" si="5">(T45-T46)/T46</f>
        <v>-4.4936431389740973E-3</v>
      </c>
      <c r="W45" s="3493">
        <f>(U56-U67)/U67</f>
        <v>1.9099739054798739E-2</v>
      </c>
    </row>
    <row r="46" spans="19:23">
      <c r="S46" s="1156" t="s">
        <v>3935</v>
      </c>
      <c r="T46" s="1156">
        <v>91.24</v>
      </c>
      <c r="U46" s="3495"/>
      <c r="V46" s="3493">
        <f t="shared" si="5"/>
        <v>-2.5144856237018036E-3</v>
      </c>
      <c r="W46" s="3493">
        <f>(U67-U79)/U79</f>
        <v>-1.1145754936745253E-2</v>
      </c>
    </row>
    <row r="47" spans="19:23">
      <c r="S47" s="1156" t="s">
        <v>3936</v>
      </c>
      <c r="T47" s="1156">
        <v>91.47</v>
      </c>
      <c r="U47" s="3495"/>
      <c r="V47" s="3493">
        <f t="shared" si="5"/>
        <v>4.3749316416922277E-4</v>
      </c>
      <c r="W47" s="3493">
        <f>(U79-U91)/U91</f>
        <v>4.2713004484304797E-2</v>
      </c>
    </row>
    <row r="48" spans="19:23">
      <c r="S48" s="1156" t="s">
        <v>3937</v>
      </c>
      <c r="T48" s="1156">
        <v>91.43</v>
      </c>
      <c r="U48" s="3495"/>
      <c r="V48" s="3493">
        <f t="shared" si="5"/>
        <v>3.0718595721338578E-3</v>
      </c>
    </row>
    <row r="49" spans="19:22">
      <c r="S49" s="1156" t="s">
        <v>3938</v>
      </c>
      <c r="T49" s="1156">
        <v>91.15</v>
      </c>
      <c r="U49" s="3495"/>
      <c r="V49" s="3493">
        <f t="shared" si="5"/>
        <v>1.6483516483517108E-3</v>
      </c>
    </row>
    <row r="50" spans="19:22">
      <c r="S50" s="1156" t="s">
        <v>3939</v>
      </c>
      <c r="T50" s="1156">
        <v>91</v>
      </c>
      <c r="U50" s="3495"/>
      <c r="V50" s="3493">
        <f t="shared" si="5"/>
        <v>-1.098780353807836E-4</v>
      </c>
    </row>
    <row r="51" spans="19:22">
      <c r="S51" s="1156" t="s">
        <v>3940</v>
      </c>
      <c r="T51" s="1156">
        <v>91.01</v>
      </c>
      <c r="U51" s="3495"/>
      <c r="V51" s="3493">
        <f t="shared" si="5"/>
        <v>0</v>
      </c>
    </row>
    <row r="52" spans="19:22">
      <c r="S52" s="1156" t="s">
        <v>3941</v>
      </c>
      <c r="T52" s="1156">
        <v>91.01</v>
      </c>
      <c r="U52" s="3495"/>
      <c r="V52" s="3493">
        <f t="shared" si="5"/>
        <v>3.5285036939023862E-3</v>
      </c>
    </row>
    <row r="53" spans="19:22">
      <c r="S53" s="1156" t="s">
        <v>3942</v>
      </c>
      <c r="T53" s="1156">
        <v>90.69</v>
      </c>
      <c r="U53" s="3495"/>
      <c r="V53" s="3493">
        <f t="shared" si="5"/>
        <v>5.4323725055431807E-3</v>
      </c>
    </row>
    <row r="54" spans="19:22">
      <c r="S54" s="1156" t="s">
        <v>3943</v>
      </c>
      <c r="T54" s="1156">
        <v>90.2</v>
      </c>
      <c r="U54" s="3495"/>
      <c r="V54" s="3493">
        <f t="shared" si="5"/>
        <v>1.6657412548584751E-3</v>
      </c>
    </row>
    <row r="55" spans="19:22">
      <c r="S55" s="1156" t="s">
        <v>3944</v>
      </c>
      <c r="T55" s="1156">
        <v>90.05</v>
      </c>
      <c r="U55" s="3495"/>
      <c r="V55" s="3493">
        <f t="shared" si="5"/>
        <v>-5.9609228391655396E-3</v>
      </c>
    </row>
    <row r="56" spans="19:22">
      <c r="S56" s="3497" t="s">
        <v>3945</v>
      </c>
      <c r="T56" s="3497">
        <v>90.59</v>
      </c>
      <c r="U56" s="3498">
        <f>AVERAGE(T56:T66)</f>
        <v>93.73</v>
      </c>
      <c r="V56" s="3493">
        <f t="shared" si="5"/>
        <v>-1.0810220572177275E-2</v>
      </c>
    </row>
    <row r="57" spans="19:22">
      <c r="S57" s="3497" t="s">
        <v>3946</v>
      </c>
      <c r="T57" s="3497">
        <v>91.58</v>
      </c>
      <c r="U57" s="3498"/>
      <c r="V57" s="3493">
        <f t="shared" si="5"/>
        <v>-1.8014153978125742E-2</v>
      </c>
    </row>
    <row r="58" spans="19:22">
      <c r="S58" s="3497" t="s">
        <v>3947</v>
      </c>
      <c r="T58" s="3497">
        <v>93.26</v>
      </c>
      <c r="U58" s="3498"/>
      <c r="V58" s="3493">
        <f t="shared" si="5"/>
        <v>-1.1657481983891419E-2</v>
      </c>
    </row>
    <row r="59" spans="19:22">
      <c r="S59" s="3497" t="s">
        <v>3948</v>
      </c>
      <c r="T59" s="3497">
        <v>94.36</v>
      </c>
      <c r="U59" s="3498"/>
      <c r="V59" s="3493">
        <f t="shared" si="5"/>
        <v>-4.9461065780195393E-2</v>
      </c>
    </row>
    <row r="60" spans="19:22">
      <c r="S60" s="3497" t="s">
        <v>3949</v>
      </c>
      <c r="T60" s="3497">
        <v>99.27</v>
      </c>
      <c r="U60" s="3498"/>
      <c r="V60" s="3493">
        <f t="shared" si="5"/>
        <v>3.9441747572815595E-3</v>
      </c>
    </row>
    <row r="61" spans="19:22">
      <c r="S61" s="3497" t="s">
        <v>3951</v>
      </c>
      <c r="T61" s="3497">
        <v>98.88</v>
      </c>
      <c r="U61" s="3498"/>
      <c r="V61" s="3493">
        <f t="shared" si="5"/>
        <v>6.8510914199265055E-2</v>
      </c>
    </row>
    <row r="62" spans="19:22">
      <c r="S62" s="3497" t="s">
        <v>3952</v>
      </c>
      <c r="T62" s="3497">
        <v>92.54</v>
      </c>
      <c r="U62" s="3498"/>
      <c r="V62" s="3493">
        <f t="shared" si="5"/>
        <v>-5.2135614053057354E-2</v>
      </c>
    </row>
    <row r="63" spans="19:22">
      <c r="S63" s="3497" t="s">
        <v>3953</v>
      </c>
      <c r="T63" s="3497">
        <v>97.63</v>
      </c>
      <c r="U63" s="3498"/>
      <c r="V63" s="3493">
        <f t="shared" si="5"/>
        <v>5.7059333044608015E-2</v>
      </c>
    </row>
    <row r="64" spans="19:22">
      <c r="S64" s="3497" t="s">
        <v>3954</v>
      </c>
      <c r="T64" s="3497">
        <v>92.36</v>
      </c>
      <c r="U64" s="3498"/>
      <c r="V64" s="3493">
        <f t="shared" si="5"/>
        <v>-2.1607605877269104E-3</v>
      </c>
    </row>
    <row r="65" spans="19:22">
      <c r="S65" s="3497" t="s">
        <v>3955</v>
      </c>
      <c r="T65" s="3497">
        <v>92.56</v>
      </c>
      <c r="U65" s="3498"/>
      <c r="V65" s="3493">
        <f t="shared" si="5"/>
        <v>5.1818181818181847E-2</v>
      </c>
    </row>
    <row r="66" spans="19:22">
      <c r="S66" s="3497" t="s">
        <v>3956</v>
      </c>
      <c r="T66" s="3497">
        <v>88</v>
      </c>
      <c r="U66" s="3498"/>
      <c r="V66" s="3493">
        <f t="shared" si="5"/>
        <v>-1.7308766052484614E-2</v>
      </c>
    </row>
    <row r="67" spans="19:22">
      <c r="S67" s="1156" t="s">
        <v>3957</v>
      </c>
      <c r="T67" s="1156">
        <v>89.55</v>
      </c>
      <c r="U67" s="3495">
        <f>AVERAGE(T67:T78)</f>
        <v>91.973333333333315</v>
      </c>
      <c r="V67" s="3493">
        <f t="shared" si="5"/>
        <v>1.3582342954159625E-2</v>
      </c>
    </row>
    <row r="68" spans="19:22">
      <c r="S68" s="1156" t="s">
        <v>3958</v>
      </c>
      <c r="T68" s="1156">
        <v>88.35</v>
      </c>
      <c r="U68" s="3495"/>
      <c r="V68" s="3493">
        <f t="shared" si="5"/>
        <v>-1.4170943985717587E-2</v>
      </c>
    </row>
    <row r="69" spans="19:22">
      <c r="S69" s="1156" t="s">
        <v>3959</v>
      </c>
      <c r="T69" s="1156">
        <v>89.62</v>
      </c>
      <c r="U69" s="3495"/>
      <c r="V69" s="3493">
        <f t="shared" si="5"/>
        <v>1.2083568605307819E-2</v>
      </c>
    </row>
    <row r="70" spans="19:22">
      <c r="S70" s="1156" t="s">
        <v>3960</v>
      </c>
      <c r="T70" s="1156">
        <v>88.55</v>
      </c>
      <c r="U70" s="3495"/>
      <c r="V70" s="3493">
        <f t="shared" si="5"/>
        <v>-3.0969577588093659E-2</v>
      </c>
    </row>
    <row r="71" spans="19:22">
      <c r="S71" s="1156" t="s">
        <v>3961</v>
      </c>
      <c r="T71" s="1156">
        <v>91.38</v>
      </c>
      <c r="U71" s="3495"/>
      <c r="V71" s="3493">
        <f t="shared" si="5"/>
        <v>-9.1086532205595684E-3</v>
      </c>
    </row>
    <row r="72" spans="19:22">
      <c r="S72" s="1156" t="s">
        <v>3962</v>
      </c>
      <c r="T72" s="1156">
        <v>92.22</v>
      </c>
      <c r="U72" s="3495"/>
      <c r="V72" s="3493">
        <f t="shared" si="5"/>
        <v>-1.8400259768373386E-3</v>
      </c>
    </row>
    <row r="73" spans="19:22">
      <c r="S73" s="1156" t="s">
        <v>3963</v>
      </c>
      <c r="T73" s="1156">
        <v>92.39</v>
      </c>
      <c r="U73" s="3495"/>
      <c r="V73" s="3493">
        <f t="shared" si="5"/>
        <v>3.2576827017048232E-3</v>
      </c>
    </row>
    <row r="74" spans="19:22">
      <c r="S74" s="1156" t="s">
        <v>3964</v>
      </c>
      <c r="T74" s="1156">
        <v>92.09</v>
      </c>
      <c r="U74" s="3495"/>
      <c r="V74" s="3493">
        <f t="shared" si="5"/>
        <v>-1.0847163466752828E-3</v>
      </c>
    </row>
    <row r="75" spans="19:22">
      <c r="S75" s="1156" t="s">
        <v>3965</v>
      </c>
      <c r="T75" s="1156">
        <v>92.19</v>
      </c>
      <c r="U75" s="3495"/>
      <c r="V75" s="3493">
        <f t="shared" si="5"/>
        <v>-5.095738109944413E-2</v>
      </c>
    </row>
    <row r="76" spans="19:22">
      <c r="S76" s="1156" t="s">
        <v>3966</v>
      </c>
      <c r="T76" s="1156">
        <v>97.14</v>
      </c>
      <c r="U76" s="3495"/>
      <c r="V76" s="3493">
        <f t="shared" si="5"/>
        <v>4.86190131374779E-3</v>
      </c>
    </row>
    <row r="77" spans="19:22">
      <c r="S77" s="1156" t="s">
        <v>3967</v>
      </c>
      <c r="T77" s="1156">
        <v>96.67</v>
      </c>
      <c r="U77" s="3495"/>
      <c r="V77" s="3493">
        <f t="shared" si="5"/>
        <v>3.3572115898642153E-2</v>
      </c>
    </row>
    <row r="78" spans="19:22">
      <c r="S78" s="1156" t="s">
        <v>3968</v>
      </c>
      <c r="T78" s="1156">
        <v>93.53</v>
      </c>
      <c r="U78" s="3495"/>
      <c r="V78" s="3493">
        <f t="shared" si="5"/>
        <v>3.3366478842116847E-2</v>
      </c>
    </row>
    <row r="79" spans="19:22">
      <c r="S79" s="3497" t="s">
        <v>3969</v>
      </c>
      <c r="T79" s="3497">
        <v>90.51</v>
      </c>
      <c r="U79" s="3498">
        <f>AVERAGE(T79:T90)</f>
        <v>93.009999999999991</v>
      </c>
      <c r="V79" s="3493">
        <f t="shared" si="5"/>
        <v>1.8797838811346258E-2</v>
      </c>
    </row>
    <row r="80" spans="19:22">
      <c r="S80" s="3497" t="s">
        <v>3970</v>
      </c>
      <c r="T80" s="3497">
        <v>88.84</v>
      </c>
      <c r="U80" s="3498"/>
      <c r="V80" s="3493">
        <f t="shared" si="5"/>
        <v>-1.2888888888888851E-2</v>
      </c>
    </row>
    <row r="81" spans="19:22">
      <c r="S81" s="3497" t="s">
        <v>3971</v>
      </c>
      <c r="T81" s="3497">
        <v>90</v>
      </c>
      <c r="U81" s="3498"/>
      <c r="V81" s="3493">
        <f t="shared" si="5"/>
        <v>-2.0674646354733466E-2</v>
      </c>
    </row>
    <row r="82" spans="19:22">
      <c r="S82" s="3497" t="s">
        <v>3972</v>
      </c>
      <c r="T82" s="3497">
        <v>91.9</v>
      </c>
      <c r="U82" s="3498"/>
      <c r="V82" s="3493">
        <f t="shared" si="5"/>
        <v>-1.4477211796246588E-2</v>
      </c>
    </row>
    <row r="83" spans="19:22">
      <c r="S83" s="3497" t="s">
        <v>3973</v>
      </c>
      <c r="T83" s="3497">
        <v>93.25</v>
      </c>
      <c r="U83" s="3498"/>
      <c r="V83" s="3493">
        <f t="shared" si="5"/>
        <v>-4.0585282494926354E-3</v>
      </c>
    </row>
    <row r="84" spans="19:22">
      <c r="S84" s="3497" t="s">
        <v>3974</v>
      </c>
      <c r="T84" s="3497">
        <v>93.63</v>
      </c>
      <c r="U84" s="3498"/>
      <c r="V84" s="3493">
        <f t="shared" si="5"/>
        <v>-8.9966130397968729E-3</v>
      </c>
    </row>
    <row r="85" spans="19:22">
      <c r="S85" s="3497" t="s">
        <v>3975</v>
      </c>
      <c r="T85" s="3497">
        <v>94.48</v>
      </c>
      <c r="U85" s="3498"/>
      <c r="V85" s="3493">
        <f t="shared" si="5"/>
        <v>-1.4796026210103631E-3</v>
      </c>
    </row>
    <row r="86" spans="19:22">
      <c r="S86" s="3497" t="s">
        <v>3976</v>
      </c>
      <c r="T86" s="3497">
        <v>94.62</v>
      </c>
      <c r="U86" s="3498"/>
      <c r="V86" s="3493">
        <f t="shared" si="5"/>
        <v>-1.266624445851703E-3</v>
      </c>
    </row>
    <row r="87" spans="19:22">
      <c r="S87" s="3497" t="s">
        <v>3977</v>
      </c>
      <c r="T87" s="3497">
        <v>94.74</v>
      </c>
      <c r="U87" s="3498"/>
      <c r="V87" s="3493">
        <f t="shared" si="5"/>
        <v>-1.0651629072681811E-2</v>
      </c>
    </row>
    <row r="88" spans="19:22">
      <c r="S88" s="3497" t="s">
        <v>3978</v>
      </c>
      <c r="T88" s="3497">
        <v>95.76</v>
      </c>
      <c r="U88" s="3498"/>
      <c r="V88" s="3493">
        <f t="shared" si="5"/>
        <v>9.0621707060063155E-3</v>
      </c>
    </row>
    <row r="89" spans="19:22">
      <c r="S89" s="3497" t="s">
        <v>3979</v>
      </c>
      <c r="T89" s="3497">
        <v>94.9</v>
      </c>
      <c r="U89" s="3498"/>
      <c r="V89" s="3493">
        <f t="shared" si="5"/>
        <v>1.5081826933361974E-2</v>
      </c>
    </row>
    <row r="90" spans="19:22">
      <c r="S90" s="3497" t="s">
        <v>3980</v>
      </c>
      <c r="T90" s="3497">
        <v>93.49</v>
      </c>
      <c r="U90" s="3498"/>
      <c r="V90" s="3493">
        <f t="shared" si="5"/>
        <v>-2.0281810418447043E-3</v>
      </c>
    </row>
    <row r="91" spans="19:22">
      <c r="S91" s="1156" t="s">
        <v>3981</v>
      </c>
      <c r="T91" s="1156">
        <v>93.68</v>
      </c>
      <c r="U91" s="3495">
        <f>AVERAGE(T91:T102)</f>
        <v>89.2</v>
      </c>
      <c r="V91" s="3493">
        <f t="shared" si="5"/>
        <v>5.4738649779972641E-3</v>
      </c>
    </row>
    <row r="92" spans="19:22">
      <c r="S92" s="1156" t="s">
        <v>3982</v>
      </c>
      <c r="T92" s="1156">
        <v>93.17</v>
      </c>
      <c r="U92" s="3495"/>
      <c r="V92" s="3493">
        <f t="shared" si="5"/>
        <v>-8.4078331204767136E-3</v>
      </c>
    </row>
    <row r="93" spans="19:22">
      <c r="S93" s="1156" t="s">
        <v>3983</v>
      </c>
      <c r="T93" s="1156">
        <v>93.96</v>
      </c>
      <c r="U93" s="3495"/>
      <c r="V93" s="3493">
        <f t="shared" si="5"/>
        <v>1.0539901053989996E-2</v>
      </c>
    </row>
    <row r="94" spans="19:22">
      <c r="S94" s="1156" t="s">
        <v>3984</v>
      </c>
      <c r="T94" s="1156">
        <v>92.98</v>
      </c>
      <c r="U94" s="3495"/>
      <c r="V94" s="3493">
        <f t="shared" si="5"/>
        <v>2.4798853741871487E-2</v>
      </c>
    </row>
    <row r="95" spans="19:22">
      <c r="S95" s="1156" t="s">
        <v>3985</v>
      </c>
      <c r="T95" s="1156">
        <v>90.73</v>
      </c>
      <c r="U95" s="3495"/>
      <c r="V95" s="3493">
        <f t="shared" si="5"/>
        <v>5.5245405908350774E-2</v>
      </c>
    </row>
    <row r="96" spans="19:22">
      <c r="S96" s="1156" t="s">
        <v>3986</v>
      </c>
      <c r="T96" s="1156">
        <v>85.98</v>
      </c>
      <c r="U96" s="3495"/>
      <c r="V96" s="3493">
        <f t="shared" si="5"/>
        <v>-0.10679409931435696</v>
      </c>
    </row>
    <row r="97" spans="19:22">
      <c r="S97" s="1156" t="s">
        <v>3987</v>
      </c>
      <c r="T97" s="1156">
        <v>96.26</v>
      </c>
      <c r="U97" s="3495"/>
      <c r="V97" s="3493">
        <f t="shared" si="5"/>
        <v>3.294344886790436E-2</v>
      </c>
    </row>
    <row r="98" spans="19:22">
      <c r="S98" s="1156" t="s">
        <v>3989</v>
      </c>
      <c r="T98" s="1156">
        <v>93.19</v>
      </c>
      <c r="U98" s="3495"/>
      <c r="V98" s="3493">
        <f t="shared" si="5"/>
        <v>0.20978839413215625</v>
      </c>
    </row>
    <row r="99" spans="19:22">
      <c r="S99" s="1156" t="s">
        <v>3991</v>
      </c>
      <c r="T99" s="1156">
        <v>77.03</v>
      </c>
      <c r="U99" s="3495"/>
      <c r="V99" s="3493">
        <f t="shared" si="5"/>
        <v>-0.19542510967202836</v>
      </c>
    </row>
    <row r="100" spans="19:22">
      <c r="S100" s="1156" t="s">
        <v>3992</v>
      </c>
      <c r="T100" s="1156">
        <v>95.74</v>
      </c>
      <c r="U100" s="3495"/>
      <c r="V100" s="3493">
        <f t="shared" si="5"/>
        <v>0.15418927064496674</v>
      </c>
    </row>
    <row r="101" spans="19:22">
      <c r="S101" s="1156" t="s">
        <v>3993</v>
      </c>
      <c r="T101" s="1156">
        <v>82.95</v>
      </c>
      <c r="U101" s="3495"/>
      <c r="V101" s="3493">
        <f t="shared" si="5"/>
        <v>0.10999598554797269</v>
      </c>
    </row>
    <row r="102" spans="19:22">
      <c r="S102" s="1156" t="s">
        <v>3994</v>
      </c>
      <c r="T102" s="1156">
        <v>74.73</v>
      </c>
      <c r="U102" s="3495"/>
      <c r="V102" s="3493"/>
    </row>
    <row r="103" spans="19:22">
      <c r="U103" s="3496"/>
    </row>
  </sheetData>
  <mergeCells count="16">
    <mergeCell ref="U56:U66"/>
    <mergeCell ref="U67:U78"/>
    <mergeCell ref="U79:U90"/>
    <mergeCell ref="U91:U102"/>
    <mergeCell ref="BN21:BY21"/>
    <mergeCell ref="BN14:BY14"/>
    <mergeCell ref="U44:U55"/>
    <mergeCell ref="R21:AC21"/>
    <mergeCell ref="AD14:AO14"/>
    <mergeCell ref="AD21:AO21"/>
    <mergeCell ref="AP21:BA21"/>
    <mergeCell ref="AP14:BA14"/>
    <mergeCell ref="BB14:BM14"/>
    <mergeCell ref="BB21:BM21"/>
    <mergeCell ref="R14:AC14"/>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CACE-7537-4506-8373-ECED63DCC786}">
  <dimension ref="A1:BY15"/>
  <sheetViews>
    <sheetView tabSelected="1" workbookViewId="0">
      <pane xSplit="1" ySplit="1" topLeftCell="B2" activePane="bottomRight" state="frozen"/>
      <selection pane="topRight" activeCell="B1" sqref="B1"/>
      <selection pane="bottomLeft" activeCell="A2" sqref="A2"/>
      <selection pane="bottomRight" activeCell="K16" sqref="K16"/>
    </sheetView>
  </sheetViews>
  <sheetFormatPr defaultRowHeight="14.25"/>
  <cols>
    <col min="1" max="1" width="10.75" style="3479" customWidth="1"/>
    <col min="2" max="5" width="9" style="3479"/>
    <col min="6" max="6" width="12.5" style="3479" customWidth="1"/>
    <col min="7" max="8" width="10" style="3479" customWidth="1"/>
    <col min="9" max="17" width="9" style="3479"/>
    <col min="18" max="20" width="11.25" style="3479" customWidth="1"/>
    <col min="21" max="29" width="9" style="3479"/>
    <col min="30" max="32" width="10.625" style="3479" customWidth="1"/>
    <col min="33" max="41" width="9" style="3479"/>
    <col min="42" max="44" width="10" style="3479" customWidth="1"/>
    <col min="45" max="53" width="9" style="3479"/>
    <col min="54" max="56" width="10.5" style="3479" customWidth="1"/>
    <col min="57" max="65" width="9" style="3479"/>
    <col min="66" max="68" width="10" style="3479" customWidth="1"/>
    <col min="69" max="16384" width="9" style="3479"/>
  </cols>
  <sheetData>
    <row r="1" spans="1:77">
      <c r="A1" s="3479" t="s">
        <v>3392</v>
      </c>
      <c r="B1" s="3482">
        <v>45383.333831018521</v>
      </c>
      <c r="C1" s="3482">
        <v>45352.333831018521</v>
      </c>
      <c r="D1" s="3482">
        <v>45323.333831018521</v>
      </c>
      <c r="E1" s="3482">
        <v>45292.333831018521</v>
      </c>
      <c r="F1" s="3482">
        <v>45261.333831018521</v>
      </c>
      <c r="G1" s="3482">
        <v>45231.333831018521</v>
      </c>
      <c r="H1" s="3482">
        <v>45200.333831018521</v>
      </c>
      <c r="I1" s="3482">
        <v>45170.333831018521</v>
      </c>
      <c r="J1" s="3482">
        <v>45139.333831018521</v>
      </c>
      <c r="K1" s="3482">
        <v>45108.333831018521</v>
      </c>
      <c r="L1" s="3482">
        <v>45078.333831018521</v>
      </c>
      <c r="M1" s="3482">
        <v>45047.333831018521</v>
      </c>
      <c r="N1" s="3482">
        <v>45017.333831018521</v>
      </c>
      <c r="O1" s="3482">
        <v>44986.333831018521</v>
      </c>
      <c r="P1" s="3482">
        <v>44958.333831018521</v>
      </c>
      <c r="Q1" s="3482">
        <v>44927.333831018521</v>
      </c>
      <c r="R1" s="3482">
        <v>44896.333831018521</v>
      </c>
      <c r="S1" s="3485">
        <v>44866.333831018521</v>
      </c>
      <c r="T1" s="3482">
        <v>44835.333831018521</v>
      </c>
      <c r="U1" s="3482">
        <v>44805.333831018521</v>
      </c>
      <c r="V1" s="3482">
        <v>44774.333831018521</v>
      </c>
      <c r="W1" s="3482">
        <v>44743.333831018521</v>
      </c>
      <c r="X1" s="3482">
        <v>44713.333831018521</v>
      </c>
      <c r="Y1" s="3482">
        <v>44682.333831018521</v>
      </c>
      <c r="Z1" s="3482">
        <v>44652.333831018521</v>
      </c>
      <c r="AA1" s="3482">
        <v>44621.333831018521</v>
      </c>
      <c r="AB1" s="3482">
        <v>44593.333831018521</v>
      </c>
      <c r="AC1" s="3482">
        <v>44562.333831018521</v>
      </c>
      <c r="AD1" s="3482">
        <v>44531.333831018521</v>
      </c>
      <c r="AE1" s="3482">
        <v>44501.333831018521</v>
      </c>
      <c r="AF1" s="3482">
        <v>44470.333831018521</v>
      </c>
      <c r="AG1" s="3482">
        <v>44440.333831018521</v>
      </c>
      <c r="AH1" s="3482">
        <v>44409.333831018521</v>
      </c>
      <c r="AI1" s="3482">
        <v>44378.333831018521</v>
      </c>
      <c r="AJ1" s="3482">
        <v>44348.333831018521</v>
      </c>
      <c r="AK1" s="3482">
        <v>44317.333831018521</v>
      </c>
      <c r="AL1" s="3482">
        <v>44287.333831018521</v>
      </c>
      <c r="AM1" s="3482">
        <v>44256.333831018521</v>
      </c>
      <c r="AN1" s="3482">
        <v>44228.333831018521</v>
      </c>
      <c r="AO1" s="3482">
        <v>44197.333831018521</v>
      </c>
      <c r="AP1" s="3482">
        <v>44166.333831018521</v>
      </c>
      <c r="AQ1" s="3482">
        <v>44136.333831018521</v>
      </c>
      <c r="AR1" s="3482">
        <v>44105.333831018521</v>
      </c>
      <c r="AS1" s="3482">
        <v>44075.333831018521</v>
      </c>
      <c r="AT1" s="3482">
        <v>44044.333831018521</v>
      </c>
      <c r="AU1" s="3482">
        <v>44013.333831018521</v>
      </c>
      <c r="AV1" s="3482">
        <v>43983.333831018521</v>
      </c>
      <c r="AW1" s="3482">
        <v>43952.333831018521</v>
      </c>
      <c r="AX1" s="3482">
        <v>43922.333831018521</v>
      </c>
      <c r="AY1" s="3482">
        <v>43891.333831018521</v>
      </c>
      <c r="AZ1" s="3482">
        <v>43862.333831018521</v>
      </c>
      <c r="BA1" s="3482">
        <v>43831.333831018521</v>
      </c>
      <c r="BB1" s="3482">
        <v>43800.333831018521</v>
      </c>
      <c r="BC1" s="3482">
        <v>43770.333831018521</v>
      </c>
      <c r="BD1" s="3482">
        <v>43739.333831018521</v>
      </c>
      <c r="BE1" s="3482">
        <v>43709.333831018521</v>
      </c>
      <c r="BF1" s="3482">
        <v>43678.333831018521</v>
      </c>
      <c r="BG1" s="3482">
        <v>43647.333831018521</v>
      </c>
      <c r="BH1" s="3482">
        <v>43617.333831018521</v>
      </c>
      <c r="BI1" s="3482">
        <v>43586.333831018521</v>
      </c>
      <c r="BJ1" s="3482">
        <v>43556.333831018521</v>
      </c>
      <c r="BK1" s="3482">
        <v>43525.333831018521</v>
      </c>
      <c r="BL1" s="3482">
        <v>43497.333831018521</v>
      </c>
      <c r="BM1" s="3482">
        <v>43466.333831018521</v>
      </c>
      <c r="BN1" s="3482">
        <v>43435.333831018521</v>
      </c>
      <c r="BO1" s="3482">
        <v>43405.333831018521</v>
      </c>
      <c r="BP1" s="3482">
        <v>43374.333831018521</v>
      </c>
      <c r="BQ1" s="3482">
        <v>43344.333831018521</v>
      </c>
      <c r="BR1" s="3482">
        <v>43313.333831018521</v>
      </c>
      <c r="BS1" s="3482">
        <v>43282.333831018521</v>
      </c>
      <c r="BT1" s="3482">
        <v>43252.333831018521</v>
      </c>
      <c r="BU1" s="3482">
        <v>43221.333831018521</v>
      </c>
      <c r="BV1" s="3482">
        <v>43191.333831018521</v>
      </c>
      <c r="BW1" s="3482">
        <v>43160.333831018521</v>
      </c>
      <c r="BX1" s="3482">
        <v>43132.333831018521</v>
      </c>
      <c r="BY1" s="3482">
        <v>43101.333831018521</v>
      </c>
    </row>
    <row r="2" spans="1:77">
      <c r="A2" s="3479" t="s">
        <v>3398</v>
      </c>
      <c r="B2" s="3479">
        <v>124.73</v>
      </c>
      <c r="C2" s="3479">
        <v>122.5</v>
      </c>
      <c r="D2" s="3479">
        <v>121.16</v>
      </c>
      <c r="E2" s="3479">
        <v>123.85</v>
      </c>
      <c r="F2" s="3479">
        <v>125.55</v>
      </c>
      <c r="G2" s="3479">
        <v>128.91999999999999</v>
      </c>
      <c r="H2" s="3479">
        <v>130.93</v>
      </c>
      <c r="I2" s="3479">
        <v>132.58000000000001</v>
      </c>
      <c r="J2" s="3479">
        <v>128.91</v>
      </c>
      <c r="K2" s="3479">
        <v>130.22999999999999</v>
      </c>
      <c r="L2" s="3479">
        <v>127.24</v>
      </c>
      <c r="M2" s="3479">
        <v>123.53</v>
      </c>
      <c r="N2" s="3479">
        <v>124.29</v>
      </c>
      <c r="O2" s="3479">
        <v>125.68</v>
      </c>
      <c r="P2" s="3479">
        <v>123.43</v>
      </c>
      <c r="Q2" s="3479">
        <v>120.62</v>
      </c>
      <c r="R2" s="3479">
        <v>120.64</v>
      </c>
      <c r="S2" s="3483">
        <v>119.72</v>
      </c>
      <c r="T2" s="3479">
        <v>122.01</v>
      </c>
      <c r="U2" s="3479">
        <v>171.02</v>
      </c>
      <c r="V2" s="3479">
        <v>144.47</v>
      </c>
      <c r="W2" s="3479">
        <v>144.19</v>
      </c>
      <c r="X2" s="3479">
        <v>142.41</v>
      </c>
      <c r="Y2" s="3479">
        <v>143.88999999999999</v>
      </c>
      <c r="Z2" s="3479">
        <v>124.21</v>
      </c>
      <c r="AA2" s="3479">
        <v>138.63</v>
      </c>
      <c r="AB2" s="3479">
        <v>134.72</v>
      </c>
      <c r="AC2" s="3479">
        <v>133.04</v>
      </c>
      <c r="AD2" s="3479">
        <v>128.91999999999999</v>
      </c>
      <c r="AE2" s="3479">
        <v>137.07</v>
      </c>
      <c r="AF2" s="3479">
        <v>133.66999999999999</v>
      </c>
      <c r="AG2" s="3479">
        <v>131.66999999999999</v>
      </c>
      <c r="AH2" s="3483" t="s">
        <v>633</v>
      </c>
      <c r="AI2" s="3483" t="s">
        <v>633</v>
      </c>
      <c r="AJ2" s="3483" t="s">
        <v>633</v>
      </c>
      <c r="AK2" s="3483" t="s">
        <v>633</v>
      </c>
      <c r="AL2" s="3483" t="s">
        <v>633</v>
      </c>
      <c r="AM2" s="3483" t="s">
        <v>633</v>
      </c>
      <c r="AN2" s="3483" t="s">
        <v>633</v>
      </c>
      <c r="AO2" s="3483" t="s">
        <v>633</v>
      </c>
      <c r="AP2" s="3483" t="s">
        <v>633</v>
      </c>
      <c r="AQ2" s="3483" t="s">
        <v>633</v>
      </c>
      <c r="AR2" s="3479">
        <v>114.69</v>
      </c>
      <c r="AS2" s="3479">
        <v>121.02</v>
      </c>
      <c r="AT2" s="3479">
        <v>123.9</v>
      </c>
      <c r="AU2" s="3483" t="s">
        <v>633</v>
      </c>
      <c r="AV2" s="3479">
        <v>136.13999999999999</v>
      </c>
      <c r="AW2" s="3479">
        <v>116.77</v>
      </c>
      <c r="AX2" s="3479">
        <v>104.46</v>
      </c>
      <c r="AY2" s="3479">
        <v>111.95</v>
      </c>
      <c r="AZ2" s="3479">
        <v>106.56</v>
      </c>
      <c r="BA2" s="3483" t="s">
        <v>633</v>
      </c>
      <c r="BB2" s="3479">
        <v>116.33</v>
      </c>
      <c r="BC2" s="3479">
        <v>116.37</v>
      </c>
      <c r="BD2" s="3479">
        <v>130.69999999999999</v>
      </c>
      <c r="BE2" s="3479">
        <v>117.56</v>
      </c>
      <c r="BF2" s="3479">
        <v>122.49</v>
      </c>
      <c r="BG2" s="3479">
        <v>126.8</v>
      </c>
      <c r="BH2" s="3479">
        <v>121.48</v>
      </c>
      <c r="BI2" s="3479">
        <v>117.38</v>
      </c>
      <c r="BJ2" s="3479">
        <v>110.95</v>
      </c>
      <c r="BK2" s="3479">
        <v>115.7</v>
      </c>
      <c r="BL2" s="3479">
        <v>116.38</v>
      </c>
      <c r="BM2" s="3479">
        <v>114.78</v>
      </c>
      <c r="BN2" s="3479">
        <v>115.63</v>
      </c>
      <c r="BO2" s="3479">
        <v>118.2</v>
      </c>
      <c r="BP2" s="3479">
        <v>116.06</v>
      </c>
      <c r="BQ2" s="3479">
        <v>120</v>
      </c>
      <c r="BR2" s="3479">
        <v>119.96</v>
      </c>
      <c r="BS2" s="3479">
        <v>112.94</v>
      </c>
      <c r="BT2" s="3483" t="s">
        <v>633</v>
      </c>
      <c r="BU2" s="3483" t="s">
        <v>633</v>
      </c>
      <c r="BV2" s="3479">
        <v>177.46</v>
      </c>
      <c r="BW2" s="3483" t="s">
        <v>633</v>
      </c>
      <c r="BX2" s="3479">
        <v>120.39</v>
      </c>
      <c r="BY2" s="3479">
        <v>108.01</v>
      </c>
    </row>
    <row r="3" spans="1:77" s="3480" customFormat="1">
      <c r="A3" s="3480" t="s">
        <v>3455</v>
      </c>
      <c r="B3" s="3480">
        <v>121.44</v>
      </c>
      <c r="C3" s="3480">
        <v>118.17</v>
      </c>
      <c r="D3" s="3480">
        <v>117.24</v>
      </c>
      <c r="E3" s="3480">
        <v>116.47</v>
      </c>
      <c r="F3" s="3480">
        <v>113.09</v>
      </c>
      <c r="G3" s="3480">
        <v>120.44</v>
      </c>
      <c r="H3" s="3480">
        <v>128.96</v>
      </c>
      <c r="I3" s="3480">
        <v>136.91</v>
      </c>
      <c r="J3" s="3480">
        <v>114.55</v>
      </c>
      <c r="K3" s="3480">
        <v>111.93</v>
      </c>
      <c r="L3" s="3480">
        <v>110.41</v>
      </c>
      <c r="M3" s="3480">
        <v>113.41</v>
      </c>
      <c r="N3" s="3480">
        <v>106.59</v>
      </c>
      <c r="O3" s="3480">
        <v>107.57</v>
      </c>
      <c r="P3" s="3480">
        <v>107.91</v>
      </c>
      <c r="Q3" s="3480">
        <v>108.55</v>
      </c>
      <c r="R3" s="3480">
        <v>110.52</v>
      </c>
      <c r="S3" s="3484">
        <v>111.49</v>
      </c>
      <c r="T3" s="3480">
        <v>116.55</v>
      </c>
      <c r="U3" s="3480">
        <v>139.13</v>
      </c>
      <c r="V3" s="3480">
        <v>111.89</v>
      </c>
      <c r="W3" s="3480">
        <v>116.13</v>
      </c>
      <c r="X3" s="3480">
        <v>107.62</v>
      </c>
      <c r="Y3" s="3480">
        <v>108.05</v>
      </c>
      <c r="Z3" s="3480">
        <v>108.56</v>
      </c>
      <c r="AA3" s="3480">
        <v>102.58</v>
      </c>
      <c r="AB3" s="3480">
        <v>108.15</v>
      </c>
      <c r="AC3" s="3480">
        <v>114</v>
      </c>
      <c r="AD3" s="3480">
        <v>115.7</v>
      </c>
      <c r="AE3" s="3480">
        <v>111.92</v>
      </c>
      <c r="AF3" s="3480">
        <v>113.46</v>
      </c>
      <c r="AG3" s="3480">
        <v>111.55</v>
      </c>
      <c r="AH3" s="3480">
        <v>116.75</v>
      </c>
      <c r="AI3" s="3480">
        <v>115.12</v>
      </c>
      <c r="AJ3" s="3484" t="s">
        <v>633</v>
      </c>
      <c r="AK3" s="3480">
        <v>115.1</v>
      </c>
      <c r="AL3" s="3480">
        <v>108.64</v>
      </c>
      <c r="AM3" s="3480">
        <v>98.97</v>
      </c>
      <c r="AN3" s="3480">
        <v>96.35</v>
      </c>
      <c r="AO3" s="3480">
        <v>97.15</v>
      </c>
      <c r="AP3" s="3480">
        <v>94.77</v>
      </c>
      <c r="AQ3" s="3480">
        <v>97.21</v>
      </c>
      <c r="AR3" s="3480">
        <v>97.64</v>
      </c>
      <c r="AS3" s="3480">
        <v>97.95</v>
      </c>
      <c r="AT3" s="3480">
        <v>98.48</v>
      </c>
      <c r="AU3" s="3480">
        <v>99.15</v>
      </c>
      <c r="AV3" s="3480">
        <v>104.89</v>
      </c>
      <c r="AW3" s="3480">
        <v>106.63</v>
      </c>
      <c r="AX3" s="3480">
        <v>104.37</v>
      </c>
      <c r="AY3" s="3480">
        <v>113.63</v>
      </c>
      <c r="AZ3" s="3480">
        <v>112.3</v>
      </c>
      <c r="BA3" s="3480">
        <v>112.63</v>
      </c>
      <c r="BB3" s="3480">
        <v>112.84</v>
      </c>
      <c r="BC3" s="3480">
        <v>105.22</v>
      </c>
      <c r="BD3" s="3480">
        <v>120.75</v>
      </c>
      <c r="BE3" s="3480">
        <v>110.24</v>
      </c>
      <c r="BF3" s="3480">
        <v>110.08</v>
      </c>
      <c r="BG3" s="3480">
        <v>109.4</v>
      </c>
      <c r="BH3" s="3480">
        <v>117.36</v>
      </c>
      <c r="BI3" s="3480">
        <v>115.76</v>
      </c>
      <c r="BJ3" s="3480">
        <v>114.55</v>
      </c>
      <c r="BK3" s="3480">
        <v>113.03</v>
      </c>
      <c r="BL3" s="3480">
        <v>113</v>
      </c>
      <c r="BM3" s="3480">
        <v>106.08</v>
      </c>
      <c r="BN3" s="3480">
        <v>104.29</v>
      </c>
      <c r="BO3" s="3480">
        <v>103.86</v>
      </c>
      <c r="BP3" s="3480">
        <v>112.11</v>
      </c>
      <c r="BQ3" s="3480">
        <v>102.28</v>
      </c>
      <c r="BR3" s="3480">
        <v>91.75</v>
      </c>
      <c r="BS3" s="3480">
        <v>96.16</v>
      </c>
      <c r="BT3" s="3484" t="s">
        <v>633</v>
      </c>
      <c r="BU3" s="3484" t="s">
        <v>633</v>
      </c>
      <c r="BV3" s="3480">
        <v>95.4</v>
      </c>
      <c r="BW3" s="3484" t="s">
        <v>633</v>
      </c>
      <c r="BX3" s="3480">
        <v>93.37</v>
      </c>
      <c r="BY3" s="3480">
        <v>87.93</v>
      </c>
    </row>
    <row r="4" spans="1:77">
      <c r="A4" s="3479" t="s">
        <v>3507</v>
      </c>
      <c r="B4" s="3479">
        <v>127.25</v>
      </c>
      <c r="C4" s="3479">
        <v>125.77</v>
      </c>
      <c r="D4" s="3479">
        <v>123.71</v>
      </c>
      <c r="E4" s="3479">
        <v>124.22</v>
      </c>
      <c r="F4" s="3479">
        <v>120.02</v>
      </c>
      <c r="G4" s="3479">
        <v>116.36</v>
      </c>
      <c r="H4" s="3479">
        <v>119.07</v>
      </c>
      <c r="I4" s="3479">
        <v>121.87</v>
      </c>
      <c r="J4" s="3479">
        <v>116.39</v>
      </c>
      <c r="K4" s="3479">
        <v>113.15</v>
      </c>
      <c r="L4" s="3479">
        <v>106.4</v>
      </c>
      <c r="M4" s="3479">
        <v>107.7</v>
      </c>
      <c r="N4" s="3479">
        <v>107.37</v>
      </c>
      <c r="O4" s="3479">
        <v>108.2</v>
      </c>
      <c r="P4" s="3479">
        <v>107.45</v>
      </c>
      <c r="Q4" s="3479">
        <v>108.79</v>
      </c>
      <c r="R4" s="3479">
        <v>112.35</v>
      </c>
      <c r="S4" s="3483">
        <v>112.71</v>
      </c>
      <c r="T4" s="3479">
        <v>116.29</v>
      </c>
      <c r="U4" s="3479">
        <v>118.69</v>
      </c>
      <c r="V4" s="3479">
        <v>120.27</v>
      </c>
      <c r="W4" s="3479">
        <v>116.1</v>
      </c>
      <c r="X4" s="3479">
        <v>113.93</v>
      </c>
      <c r="Y4" s="3479">
        <v>112.07</v>
      </c>
      <c r="Z4" s="3479">
        <v>112.01</v>
      </c>
      <c r="AA4" s="3479">
        <v>139.58000000000001</v>
      </c>
      <c r="AB4" s="3479">
        <v>122.03</v>
      </c>
      <c r="AC4" s="3479">
        <v>112.13</v>
      </c>
      <c r="AD4" s="3479">
        <v>115.85</v>
      </c>
      <c r="AE4" s="3479">
        <v>116.48</v>
      </c>
      <c r="AF4" s="3479">
        <v>115.79</v>
      </c>
      <c r="AG4" s="3479">
        <v>114.71</v>
      </c>
      <c r="AH4" s="3479">
        <v>106.89</v>
      </c>
      <c r="AI4" s="3483" t="s">
        <v>633</v>
      </c>
      <c r="AJ4" s="3483" t="s">
        <v>633</v>
      </c>
      <c r="AK4" s="3479">
        <v>106.82</v>
      </c>
      <c r="AL4" s="3483" t="s">
        <v>633</v>
      </c>
      <c r="AM4" s="3479">
        <v>87.48</v>
      </c>
      <c r="AN4" s="3479">
        <v>93.09</v>
      </c>
      <c r="AO4" s="3479">
        <v>90.07</v>
      </c>
      <c r="AP4" s="3479">
        <v>100.18</v>
      </c>
      <c r="AQ4" s="3483" t="s">
        <v>633</v>
      </c>
      <c r="AR4" s="3479">
        <v>98.72</v>
      </c>
      <c r="AS4" s="3479">
        <v>97.75</v>
      </c>
      <c r="AT4" s="3479">
        <v>105.42</v>
      </c>
      <c r="AU4" s="3479">
        <v>98.48</v>
      </c>
      <c r="AV4" s="3479">
        <v>109.75</v>
      </c>
      <c r="AW4" s="3479">
        <v>106.48</v>
      </c>
      <c r="AX4" s="3479">
        <v>109.73</v>
      </c>
      <c r="AY4" s="3479">
        <v>110.42</v>
      </c>
      <c r="AZ4" s="3479">
        <v>116.23</v>
      </c>
      <c r="BA4" s="3483" t="s">
        <v>633</v>
      </c>
      <c r="BB4" s="3479">
        <v>116.38</v>
      </c>
      <c r="BC4" s="3483" t="s">
        <v>633</v>
      </c>
      <c r="BD4" s="3483" t="s">
        <v>633</v>
      </c>
      <c r="BE4" s="3483" t="s">
        <v>633</v>
      </c>
      <c r="BF4" s="3483" t="s">
        <v>633</v>
      </c>
      <c r="BG4" s="3483" t="s">
        <v>633</v>
      </c>
      <c r="BH4" s="3483" t="s">
        <v>633</v>
      </c>
      <c r="BI4" s="3483" t="s">
        <v>633</v>
      </c>
      <c r="BJ4" s="3483" t="s">
        <v>633</v>
      </c>
      <c r="BK4" s="3483" t="s">
        <v>633</v>
      </c>
      <c r="BL4" s="3483" t="s">
        <v>633</v>
      </c>
      <c r="BM4" s="3483" t="s">
        <v>633</v>
      </c>
      <c r="BN4" s="3483" t="s">
        <v>633</v>
      </c>
      <c r="BO4" s="3483" t="s">
        <v>633</v>
      </c>
      <c r="BP4" s="3483" t="s">
        <v>633</v>
      </c>
      <c r="BQ4" s="3483" t="s">
        <v>633</v>
      </c>
      <c r="BR4" s="3483" t="s">
        <v>633</v>
      </c>
      <c r="BS4" s="3483" t="s">
        <v>633</v>
      </c>
      <c r="BT4" s="3483" t="s">
        <v>633</v>
      </c>
      <c r="BU4" s="3483" t="s">
        <v>633</v>
      </c>
      <c r="BV4" s="3483" t="s">
        <v>633</v>
      </c>
      <c r="BW4" s="3483" t="s">
        <v>633</v>
      </c>
      <c r="BX4" s="3483" t="s">
        <v>633</v>
      </c>
      <c r="BY4" s="3483" t="s">
        <v>633</v>
      </c>
    </row>
    <row r="5" spans="1:77" ht="13.5" customHeight="1">
      <c r="A5" s="3479" t="s">
        <v>3545</v>
      </c>
      <c r="B5" s="3479">
        <v>129.77000000000001</v>
      </c>
      <c r="C5" s="3479">
        <v>129.87</v>
      </c>
      <c r="D5" s="3479">
        <v>132.63</v>
      </c>
      <c r="E5" s="3479">
        <v>129.02000000000001</v>
      </c>
      <c r="F5" s="3479">
        <v>130.63</v>
      </c>
      <c r="G5" s="3479">
        <v>134.35</v>
      </c>
      <c r="H5" s="3479">
        <v>138.43</v>
      </c>
      <c r="I5" s="3479">
        <v>143.69</v>
      </c>
      <c r="J5" s="3479">
        <v>150.6</v>
      </c>
      <c r="K5" s="3479">
        <v>143.05000000000001</v>
      </c>
      <c r="L5" s="3479">
        <v>145.54</v>
      </c>
      <c r="M5" s="3479">
        <v>143.87</v>
      </c>
      <c r="N5" s="3479">
        <v>143.34</v>
      </c>
      <c r="O5" s="3479">
        <v>144.87</v>
      </c>
      <c r="P5" s="3479">
        <v>143.38</v>
      </c>
      <c r="Q5" s="3479">
        <v>145.28</v>
      </c>
      <c r="R5" s="3479">
        <v>140.72999999999999</v>
      </c>
      <c r="S5" s="3483">
        <v>139.24</v>
      </c>
      <c r="T5" s="3479">
        <v>141.86000000000001</v>
      </c>
      <c r="U5" s="3479">
        <v>143.91999999999999</v>
      </c>
      <c r="V5" s="3479">
        <v>142.34</v>
      </c>
      <c r="W5" s="3479">
        <v>132.88</v>
      </c>
      <c r="X5" s="3479">
        <v>128.94</v>
      </c>
      <c r="Y5" s="3479">
        <v>131.33000000000001</v>
      </c>
      <c r="Z5" s="3479">
        <v>128.30000000000001</v>
      </c>
      <c r="AA5" s="3479">
        <v>120.1</v>
      </c>
      <c r="AB5" s="3479">
        <v>117.82</v>
      </c>
      <c r="AC5" s="3479">
        <v>120.93</v>
      </c>
      <c r="AD5" s="3479">
        <v>105.82</v>
      </c>
      <c r="AE5" s="3479">
        <v>92.69</v>
      </c>
      <c r="AF5" s="3479">
        <v>105.51</v>
      </c>
      <c r="AG5" s="3479">
        <v>91.04</v>
      </c>
      <c r="AH5" s="3479">
        <v>120.86</v>
      </c>
      <c r="AI5" s="3479">
        <v>121.62</v>
      </c>
      <c r="AJ5" s="3479">
        <v>122.44</v>
      </c>
      <c r="AK5" s="3479">
        <v>122.77</v>
      </c>
      <c r="AL5" s="3479">
        <v>107.8</v>
      </c>
      <c r="AM5" s="3479">
        <v>105.94</v>
      </c>
      <c r="AN5" s="3479">
        <v>100.92</v>
      </c>
      <c r="AO5" s="3479">
        <v>105.64</v>
      </c>
      <c r="AP5" s="3479">
        <v>101.91</v>
      </c>
      <c r="AQ5" s="3479">
        <v>101.76</v>
      </c>
      <c r="AR5" s="3479">
        <v>102.72</v>
      </c>
      <c r="AS5" s="3479">
        <v>103.79</v>
      </c>
      <c r="AT5" s="3479">
        <v>98.36</v>
      </c>
      <c r="AU5" s="3479">
        <v>104.2</v>
      </c>
      <c r="AV5" s="3479">
        <v>106.45</v>
      </c>
      <c r="AW5" s="3479">
        <v>106.43</v>
      </c>
      <c r="AX5" s="3479">
        <v>102.4</v>
      </c>
      <c r="AY5" s="3479">
        <v>101.05</v>
      </c>
      <c r="AZ5" s="3479">
        <v>101.57</v>
      </c>
      <c r="BA5" s="3479">
        <v>96.21</v>
      </c>
      <c r="BB5" s="3479">
        <v>104.66</v>
      </c>
      <c r="BC5" s="3479">
        <v>105.45</v>
      </c>
      <c r="BD5" s="3479">
        <v>102.08</v>
      </c>
      <c r="BE5" s="3479">
        <v>106.98</v>
      </c>
      <c r="BF5" s="3479">
        <v>107.52</v>
      </c>
      <c r="BG5" s="3479">
        <v>106.87</v>
      </c>
      <c r="BH5" s="3479">
        <v>106.22</v>
      </c>
      <c r="BI5" s="3479">
        <v>104.92</v>
      </c>
      <c r="BJ5" s="3479">
        <v>104.68</v>
      </c>
      <c r="BK5" s="3479">
        <v>104.96</v>
      </c>
      <c r="BL5" s="3479">
        <v>111.27</v>
      </c>
      <c r="BM5" s="3479">
        <v>114.31</v>
      </c>
      <c r="BN5" s="3479">
        <v>107.89</v>
      </c>
      <c r="BO5" s="3479">
        <v>106.1</v>
      </c>
      <c r="BP5" s="3479">
        <v>108.04</v>
      </c>
      <c r="BQ5" s="3479">
        <v>106.13</v>
      </c>
      <c r="BR5" s="3479">
        <v>106.14</v>
      </c>
      <c r="BS5" s="3479">
        <v>103.78</v>
      </c>
      <c r="BT5" s="3479">
        <v>110.25</v>
      </c>
      <c r="BU5" s="3479">
        <v>109.84</v>
      </c>
      <c r="BV5" s="3479">
        <v>106.38</v>
      </c>
      <c r="BW5" s="3479">
        <v>100.05</v>
      </c>
      <c r="BX5" s="3479">
        <v>98.53</v>
      </c>
      <c r="BY5" s="3479">
        <v>90.18</v>
      </c>
    </row>
    <row r="8" spans="1:77">
      <c r="E8" s="3479" t="s">
        <v>3666</v>
      </c>
      <c r="G8" s="3479" t="s">
        <v>3667</v>
      </c>
      <c r="I8" s="3479" t="s">
        <v>3668</v>
      </c>
      <c r="L8" s="3479" t="s">
        <v>3995</v>
      </c>
      <c r="N8" s="3479" t="s">
        <v>3996</v>
      </c>
      <c r="P8" s="3479" t="s">
        <v>3997</v>
      </c>
    </row>
    <row r="9" spans="1:77" hidden="1">
      <c r="D9" s="3479" t="s">
        <v>3669</v>
      </c>
      <c r="E9" s="3479">
        <f>AVERAGE(B3:E3)</f>
        <v>118.33000000000001</v>
      </c>
      <c r="F9" s="3481">
        <f t="shared" ref="F9:F12" si="0">(E9-E10)/E10</f>
        <v>2.8717978439782407E-2</v>
      </c>
      <c r="G9" s="3479">
        <f>AVERAGE(B4:E4)</f>
        <v>125.23749999999998</v>
      </c>
      <c r="H9" s="3481">
        <f t="shared" ref="H9:H12" si="1">(G9-G10)/G10</f>
        <v>0.11094273231961069</v>
      </c>
      <c r="I9" s="3479">
        <f>AVERAGE(B5:E5)</f>
        <v>130.32249999999999</v>
      </c>
      <c r="J9" s="3481">
        <f t="shared" ref="J9:J12" si="2">(I9-I10)/I10</f>
        <v>-8.3864958436582884E-2</v>
      </c>
    </row>
    <row r="10" spans="1:77" hidden="1">
      <c r="D10" s="3479" t="s">
        <v>3670</v>
      </c>
      <c r="E10" s="3479">
        <f>AVERAGE(F3:Q3)</f>
        <v>115.02666666666664</v>
      </c>
      <c r="F10" s="3481">
        <f t="shared" si="0"/>
        <v>1.8934500653295411E-2</v>
      </c>
      <c r="G10" s="3479">
        <f>AVERAGE(F4:Q4)</f>
        <v>112.73083333333334</v>
      </c>
      <c r="H10" s="3481">
        <f t="shared" si="1"/>
        <v>-3.9335018747869398E-2</v>
      </c>
      <c r="I10" s="3479">
        <f>AVERAGE(F5:Q5)</f>
        <v>142.2525</v>
      </c>
      <c r="J10" s="3481">
        <f t="shared" si="2"/>
        <v>7.4691983706772408E-2</v>
      </c>
    </row>
    <row r="11" spans="1:77">
      <c r="D11" s="3479" t="s">
        <v>3671</v>
      </c>
      <c r="E11" s="3479">
        <f>AVERAGE(R3:AC3)</f>
        <v>112.88916666666667</v>
      </c>
      <c r="F11" s="3481">
        <f t="shared" si="0"/>
        <v>3.4205456216183205E-2</v>
      </c>
      <c r="G11" s="3479">
        <f>AVERAGE(R4:AC4)</f>
        <v>117.34666666666665</v>
      </c>
      <c r="H11" s="3481">
        <f t="shared" si="1"/>
        <v>0.11501509744715875</v>
      </c>
      <c r="I11" s="3479">
        <f>AVERAGE(R5:AC5)</f>
        <v>132.36583333333331</v>
      </c>
      <c r="J11" s="3481">
        <f t="shared" si="2"/>
        <v>0.21897855032423888</v>
      </c>
      <c r="L11" s="3479">
        <f>Sheet2!R14</f>
        <v>120.57916666666665</v>
      </c>
      <c r="M11" s="3481">
        <f t="shared" ref="M11:Q14" si="3">(L11-L12)/L12</f>
        <v>0.11724963323295487</v>
      </c>
      <c r="N11" s="3479">
        <f>Sheet2!R21</f>
        <v>148.49833333333331</v>
      </c>
      <c r="O11" s="3481">
        <f t="shared" si="3"/>
        <v>5.0454199800753115E-2</v>
      </c>
      <c r="P11" s="3479">
        <f>Sheet2!U44</f>
        <v>90.861666666666665</v>
      </c>
      <c r="Q11" s="3481">
        <f t="shared" si="3"/>
        <v>-3.0602084000142315E-2</v>
      </c>
    </row>
    <row r="12" spans="1:77">
      <c r="D12" s="3479" t="s">
        <v>3672</v>
      </c>
      <c r="E12" s="3479">
        <f>AVERAGE(AD3:AO3)</f>
        <v>109.15545454545455</v>
      </c>
      <c r="F12" s="3481">
        <f t="shared" si="0"/>
        <v>5.664135404788001E-2</v>
      </c>
      <c r="G12" s="3479">
        <f>AVERAGE(AD4:AO4)</f>
        <v>105.24222222222222</v>
      </c>
      <c r="H12" s="3481">
        <f t="shared" si="1"/>
        <v>-7.0053721920471481E-4</v>
      </c>
      <c r="I12" s="3479">
        <f>AVERAGE(AD5:AO5)</f>
        <v>108.58750000000002</v>
      </c>
      <c r="J12" s="3481">
        <f t="shared" si="2"/>
        <v>6.2110282430615067E-2</v>
      </c>
      <c r="L12" s="3479">
        <f>Sheet2!AD14</f>
        <v>107.925</v>
      </c>
      <c r="M12" s="3481">
        <f t="shared" si="3"/>
        <v>9.3206604315089481E-2</v>
      </c>
      <c r="N12" s="3479">
        <f>Sheet2!AD21</f>
        <v>141.36583333333334</v>
      </c>
      <c r="O12" s="3481">
        <f t="shared" si="3"/>
        <v>3.8977185729597581E-2</v>
      </c>
      <c r="P12" s="3479">
        <f>Sheet2!U56</f>
        <v>93.73</v>
      </c>
      <c r="Q12" s="3481">
        <f t="shared" si="3"/>
        <v>1.9099739054798739E-2</v>
      </c>
    </row>
    <row r="13" spans="1:77">
      <c r="D13" s="3479" t="s">
        <v>3673</v>
      </c>
      <c r="E13" s="3479">
        <f>AVERAGE(AP3:BA3)</f>
        <v>103.30416666666667</v>
      </c>
      <c r="F13" s="3481">
        <f>(E13-E14)/E14</f>
        <v>-8.0589775348399034E-2</v>
      </c>
      <c r="G13" s="3479">
        <f>AVERAGE(AP4:BA4)</f>
        <v>105.31599999999999</v>
      </c>
      <c r="H13" s="3481">
        <f>(G13-G14)/G14</f>
        <v>-9.5067881079223301E-2</v>
      </c>
      <c r="I13" s="3479">
        <f>AVERAGE(AP5:BA5)</f>
        <v>102.23750000000001</v>
      </c>
      <c r="J13" s="3481">
        <f>(I13-I14)/I14</f>
        <v>-4.1463528970560652E-2</v>
      </c>
      <c r="L13" s="3479">
        <f>Sheet2!AP14</f>
        <v>98.723333333333315</v>
      </c>
      <c r="M13" s="3481">
        <f>(L13-L14)/L14</f>
        <v>-3.431748153703211E-2</v>
      </c>
      <c r="N13" s="3479">
        <f>Sheet2!AP21</f>
        <v>136.06249999999997</v>
      </c>
      <c r="O13" s="3481">
        <f>(N13-N14)/N14</f>
        <v>2.5171725289766612E-2</v>
      </c>
      <c r="P13" s="3479">
        <f>Sheet2!U67</f>
        <v>91.973333333333315</v>
      </c>
      <c r="Q13" s="3481">
        <f>(P13-P14)/P14</f>
        <v>-1.1145754936745253E-2</v>
      </c>
    </row>
    <row r="14" spans="1:77">
      <c r="D14" s="3479" t="s">
        <v>3674</v>
      </c>
      <c r="E14" s="3479">
        <f>AVERAGE(BB3:BM3)</f>
        <v>112.35916666666667</v>
      </c>
      <c r="F14" s="3481">
        <f>(E14-E15)/E15</f>
        <v>0.13986642619624656</v>
      </c>
      <c r="G14" s="3479">
        <f>AVERAGE(BB4:BM4)</f>
        <v>116.38</v>
      </c>
      <c r="I14" s="3479">
        <f>AVERAGE(BB5:BM5)</f>
        <v>106.66000000000001</v>
      </c>
      <c r="J14" s="3481">
        <f t="shared" ref="J14:J15" si="4">(I14-I15)/I15</f>
        <v>2.1231778251190856E-2</v>
      </c>
      <c r="L14" s="3479">
        <f>Sheet2!BB14</f>
        <v>102.23166666666667</v>
      </c>
      <c r="M14" s="3481">
        <f t="shared" ref="M14:Q14" si="5">(L14-L15)/L15</f>
        <v>2.7832702168303053E-2</v>
      </c>
      <c r="N14" s="3479">
        <f>Sheet2!BB21</f>
        <v>132.72166666666666</v>
      </c>
      <c r="O14" s="3481">
        <f t="shared" si="5"/>
        <v>0.11311774449437728</v>
      </c>
      <c r="P14" s="3479">
        <f>Sheet2!U79</f>
        <v>93.009999999999991</v>
      </c>
      <c r="Q14" s="3481">
        <f t="shared" si="5"/>
        <v>4.2713004484304797E-2</v>
      </c>
    </row>
    <row r="15" spans="1:77">
      <c r="D15" s="3479" t="s">
        <v>3675</v>
      </c>
      <c r="E15" s="3479">
        <f>AVERAGE(BN3:BY3)</f>
        <v>98.572222222222209</v>
      </c>
      <c r="I15" s="3479">
        <f>AVERAGE(BN5:BY5)</f>
        <v>104.44250000000001</v>
      </c>
      <c r="J15" s="3481"/>
      <c r="L15" s="3479">
        <f>Sheet2!BN14</f>
        <v>99.463333333333352</v>
      </c>
      <c r="N15" s="3479">
        <f>Sheet2!BN21</f>
        <v>119.23416666666667</v>
      </c>
      <c r="P15" s="3479">
        <f>Sheet2!U91</f>
        <v>89.2</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估价对象为房地产，为所有。根据《国有土地使用证》[]，估价对象（分摊）出让国有建设用地使用权面积为0平方米，建筑面积为71.58平方米。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估价对象为房地产,属开发建设的，该项目尚在开发建设中。根据《国有土地使用证》[]，估价对象（分摊）出让国有建设用地使用权面积为0平方米，规划建筑面积为71.58平方米。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2022年12月1日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71.58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58" t="s">
        <v>1771</v>
      </c>
      <c r="S4" s="3359"/>
      <c r="T4" s="3358" t="s">
        <v>1772</v>
      </c>
      <c r="U4" s="3359"/>
      <c r="V4" s="3383" t="s">
        <v>1773</v>
      </c>
      <c r="W4" s="3383"/>
      <c r="X4" s="1265"/>
      <c r="Y4" s="3358" t="s">
        <v>1775</v>
      </c>
      <c r="Z4" s="3359"/>
      <c r="AA4" s="3353" t="s">
        <v>1771</v>
      </c>
      <c r="AB4" s="3383" t="s">
        <v>1772</v>
      </c>
      <c r="AC4" s="3353" t="s">
        <v>1773</v>
      </c>
    </row>
    <row r="5" spans="1:29" ht="15">
      <c r="A5" s="348"/>
      <c r="B5" s="349"/>
      <c r="C5" s="3364" t="s">
        <v>1673</v>
      </c>
      <c r="D5" s="3365"/>
      <c r="E5" s="3362" t="s">
        <v>1674</v>
      </c>
      <c r="F5" s="3363"/>
      <c r="G5" s="3364" t="s">
        <v>1675</v>
      </c>
      <c r="H5" s="3365"/>
      <c r="I5" s="3364" t="s">
        <v>1676</v>
      </c>
      <c r="J5" s="3365"/>
      <c r="K5" s="537"/>
      <c r="L5" s="2484"/>
      <c r="M5" s="2485"/>
      <c r="N5" s="2485"/>
      <c r="O5" s="2485"/>
      <c r="P5" s="3377"/>
      <c r="Q5" s="3378"/>
      <c r="R5" s="3360"/>
      <c r="S5" s="3361"/>
      <c r="T5" s="3360"/>
      <c r="U5" s="3361"/>
      <c r="V5" s="3383"/>
      <c r="W5" s="3383"/>
      <c r="X5" s="1265"/>
      <c r="Y5" s="3360"/>
      <c r="Z5" s="3361"/>
      <c r="AA5" s="3354"/>
      <c r="AB5" s="3383"/>
      <c r="AC5" s="3354"/>
    </row>
    <row r="6" spans="1:29" ht="15.75" thickBot="1">
      <c r="A6" s="350"/>
      <c r="B6" s="351"/>
      <c r="C6" s="3366" t="s">
        <v>1677</v>
      </c>
      <c r="D6" s="3367"/>
      <c r="E6" s="3368" t="s">
        <v>1677</v>
      </c>
      <c r="F6" s="3369"/>
      <c r="G6" s="3366" t="s">
        <v>1677</v>
      </c>
      <c r="H6" s="3367"/>
      <c r="I6" s="3366" t="s">
        <v>1677</v>
      </c>
      <c r="J6" s="3367"/>
      <c r="K6" s="537" t="s">
        <v>1678</v>
      </c>
      <c r="L6" s="2484"/>
      <c r="M6" s="2485"/>
      <c r="N6" s="2485"/>
      <c r="O6" s="2485"/>
      <c r="P6" s="3379"/>
      <c r="Q6" s="3380"/>
      <c r="R6" s="3360"/>
      <c r="S6" s="3361"/>
      <c r="T6" s="3381"/>
      <c r="U6" s="3382"/>
      <c r="V6" s="3383"/>
      <c r="W6" s="3383"/>
      <c r="X6" s="1265"/>
      <c r="Y6" s="3381"/>
      <c r="Z6" s="3382"/>
      <c r="AA6" s="3355"/>
      <c r="AB6" s="3383"/>
      <c r="AC6" s="3355"/>
    </row>
    <row r="7" spans="1:29" s="102" customFormat="1" ht="15.75" thickBot="1">
      <c r="A7" s="352" t="s">
        <v>1679</v>
      </c>
      <c r="B7" s="353"/>
      <c r="C7" s="354">
        <f>'数据-取费表'!B2</f>
        <v>44896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56" t="s">
        <v>1680</v>
      </c>
      <c r="Q7" s="3384"/>
      <c r="R7" s="664" t="s">
        <v>14</v>
      </c>
      <c r="S7" s="665">
        <f t="shared" ref="S7:S15" si="0">F7</f>
        <v>0</v>
      </c>
      <c r="T7" s="664" t="s">
        <v>14</v>
      </c>
      <c r="U7" s="665">
        <f t="shared" ref="U7:U15" si="1">H7</f>
        <v>0</v>
      </c>
      <c r="V7" s="664" t="s">
        <v>14</v>
      </c>
      <c r="W7" s="665">
        <f t="shared" ref="W7:W15" si="2">J7</f>
        <v>0</v>
      </c>
      <c r="X7" s="666"/>
      <c r="Y7" s="3356" t="s">
        <v>1680</v>
      </c>
      <c r="Z7" s="335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56" t="s">
        <v>1683</v>
      </c>
      <c r="Q8" s="3357"/>
      <c r="R8" s="664" t="s">
        <v>14</v>
      </c>
      <c r="S8" s="665">
        <f t="shared" si="0"/>
        <v>100</v>
      </c>
      <c r="T8" s="664" t="s">
        <v>14</v>
      </c>
      <c r="U8" s="665">
        <f t="shared" si="1"/>
        <v>100</v>
      </c>
      <c r="V8" s="664" t="s">
        <v>14</v>
      </c>
      <c r="W8" s="665">
        <f t="shared" si="2"/>
        <v>100</v>
      </c>
      <c r="X8" s="666"/>
      <c r="Y8" s="3356" t="s">
        <v>1683</v>
      </c>
      <c r="Z8" s="335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70"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0"/>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0"/>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70"/>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0"/>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0"/>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7"/>
      <c r="Q16" s="1263"/>
      <c r="R16" s="667"/>
      <c r="S16" s="668"/>
      <c r="T16" s="667"/>
      <c r="U16" s="668"/>
      <c r="V16" s="667"/>
      <c r="W16" s="668"/>
      <c r="X16" s="1265"/>
      <c r="Y16" s="3390"/>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397"/>
      <c r="Q18" s="1263"/>
      <c r="R18" s="667"/>
      <c r="S18" s="668"/>
      <c r="T18" s="667"/>
      <c r="U18" s="668"/>
      <c r="V18" s="667"/>
      <c r="W18" s="668"/>
      <c r="X18" s="1265"/>
      <c r="Y18" s="3390"/>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397"/>
      <c r="Q20" s="1263"/>
      <c r="R20" s="667"/>
      <c r="S20" s="668"/>
      <c r="T20" s="667"/>
      <c r="U20" s="668"/>
      <c r="V20" s="667"/>
      <c r="W20" s="668"/>
      <c r="X20" s="1265"/>
      <c r="Y20" s="3390"/>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397"/>
      <c r="Q22" s="1263"/>
      <c r="R22" s="667"/>
      <c r="S22" s="668"/>
      <c r="T22" s="667"/>
      <c r="U22" s="668"/>
      <c r="V22" s="667"/>
      <c r="W22" s="668"/>
      <c r="X22" s="1265"/>
      <c r="Y22" s="3390"/>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397"/>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8" t="str">
        <f>A47</f>
        <v>成交单价（元/平方米）</v>
      </c>
      <c r="Q47" s="3388"/>
      <c r="R47" s="3383">
        <f>E47</f>
        <v>0</v>
      </c>
      <c r="S47" s="3383"/>
      <c r="T47" s="3383">
        <f>G47</f>
        <v>0</v>
      </c>
      <c r="U47" s="3383"/>
      <c r="V47" s="3383">
        <f>I47</f>
        <v>0</v>
      </c>
      <c r="W47" s="3383"/>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388" t="str">
        <f>A48</f>
        <v>比较价值（元/平方米）</v>
      </c>
      <c r="Q48" s="3388"/>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404" t="s">
        <v>1775</v>
      </c>
      <c r="Q4" s="3405"/>
      <c r="R4" s="3399" t="s">
        <v>1771</v>
      </c>
      <c r="S4" s="3400"/>
      <c r="T4" s="3399" t="s">
        <v>1772</v>
      </c>
      <c r="U4" s="3400"/>
      <c r="V4" s="3408" t="s">
        <v>1773</v>
      </c>
      <c r="W4" s="3408"/>
      <c r="X4" s="1806"/>
      <c r="Y4" s="3399" t="s">
        <v>1775</v>
      </c>
      <c r="Z4" s="3400"/>
      <c r="AA4" s="3398" t="s">
        <v>1771</v>
      </c>
      <c r="AB4" s="3398" t="s">
        <v>1772</v>
      </c>
      <c r="AC4" s="3401" t="s">
        <v>1773</v>
      </c>
    </row>
    <row r="5" spans="1:29" ht="15">
      <c r="A5" s="348"/>
      <c r="B5" s="349"/>
      <c r="C5" s="3364" t="s">
        <v>1673</v>
      </c>
      <c r="D5" s="3365"/>
      <c r="E5" s="3362" t="s">
        <v>1674</v>
      </c>
      <c r="F5" s="3363"/>
      <c r="G5" s="3364" t="s">
        <v>1675</v>
      </c>
      <c r="H5" s="3365"/>
      <c r="I5" s="3364" t="s">
        <v>1676</v>
      </c>
      <c r="J5" s="3365"/>
      <c r="K5" s="537"/>
      <c r="L5" s="2484"/>
      <c r="M5" s="2485"/>
      <c r="N5" s="2485"/>
      <c r="O5" s="2485"/>
      <c r="P5" s="3406"/>
      <c r="Q5" s="3378"/>
      <c r="R5" s="3360"/>
      <c r="S5" s="3361"/>
      <c r="T5" s="3360"/>
      <c r="U5" s="3361"/>
      <c r="V5" s="3383"/>
      <c r="W5" s="3383"/>
      <c r="X5" s="1265"/>
      <c r="Y5" s="3360"/>
      <c r="Z5" s="3361"/>
      <c r="AA5" s="3354"/>
      <c r="AB5" s="3354"/>
      <c r="AC5" s="3402"/>
    </row>
    <row r="6" spans="1:29" ht="15.75" thickBot="1">
      <c r="A6" s="350"/>
      <c r="B6" s="351"/>
      <c r="C6" s="3366" t="s">
        <v>1677</v>
      </c>
      <c r="D6" s="3367"/>
      <c r="E6" s="3368" t="s">
        <v>1677</v>
      </c>
      <c r="F6" s="3369"/>
      <c r="G6" s="3366" t="s">
        <v>1677</v>
      </c>
      <c r="H6" s="3367"/>
      <c r="I6" s="3366" t="s">
        <v>1677</v>
      </c>
      <c r="J6" s="3367"/>
      <c r="K6" s="537" t="s">
        <v>1678</v>
      </c>
      <c r="L6" s="2484"/>
      <c r="M6" s="2485"/>
      <c r="N6" s="2485"/>
      <c r="O6" s="2485"/>
      <c r="P6" s="3407"/>
      <c r="Q6" s="3380"/>
      <c r="R6" s="3360"/>
      <c r="S6" s="3361"/>
      <c r="T6" s="3381"/>
      <c r="U6" s="3382"/>
      <c r="V6" s="3383"/>
      <c r="W6" s="3383"/>
      <c r="X6" s="1265"/>
      <c r="Y6" s="3381"/>
      <c r="Z6" s="3382"/>
      <c r="AA6" s="3355"/>
      <c r="AB6" s="3355"/>
      <c r="AC6" s="3403"/>
    </row>
    <row r="7" spans="1:29" s="102" customFormat="1" ht="15.75" thickBot="1">
      <c r="A7" s="352" t="s">
        <v>1679</v>
      </c>
      <c r="B7" s="353"/>
      <c r="C7" s="354">
        <f>'数据-取费表'!B2</f>
        <v>44896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09" t="s">
        <v>1680</v>
      </c>
      <c r="Q7" s="3384"/>
      <c r="R7" s="664" t="s">
        <v>14</v>
      </c>
      <c r="S7" s="665">
        <f t="shared" ref="S7:S15" si="0">F7</f>
        <v>0</v>
      </c>
      <c r="T7" s="664" t="s">
        <v>14</v>
      </c>
      <c r="U7" s="665">
        <f t="shared" ref="U7:U15" si="1">H7</f>
        <v>0</v>
      </c>
      <c r="V7" s="664" t="s">
        <v>14</v>
      </c>
      <c r="W7" s="665">
        <f t="shared" ref="W7:W15" si="2">J7</f>
        <v>0</v>
      </c>
      <c r="X7" s="666"/>
      <c r="Y7" s="3356" t="s">
        <v>1680</v>
      </c>
      <c r="Z7" s="335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09" t="s">
        <v>1683</v>
      </c>
      <c r="Q8" s="3357"/>
      <c r="R8" s="664" t="s">
        <v>14</v>
      </c>
      <c r="S8" s="665">
        <f t="shared" si="0"/>
        <v>100</v>
      </c>
      <c r="T8" s="664" t="s">
        <v>14</v>
      </c>
      <c r="U8" s="665">
        <f t="shared" si="1"/>
        <v>100</v>
      </c>
      <c r="V8" s="664" t="s">
        <v>14</v>
      </c>
      <c r="W8" s="665">
        <f t="shared" si="2"/>
        <v>100</v>
      </c>
      <c r="X8" s="666"/>
      <c r="Y8" s="3356" t="s">
        <v>1683</v>
      </c>
      <c r="Z8" s="335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70"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0"/>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0"/>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370"/>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370"/>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370"/>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397"/>
      <c r="Q16" s="1263"/>
      <c r="R16" s="667"/>
      <c r="S16" s="668"/>
      <c r="T16" s="667"/>
      <c r="U16" s="668"/>
      <c r="V16" s="667"/>
      <c r="W16" s="668"/>
      <c r="X16" s="1265"/>
      <c r="Y16" s="3390"/>
      <c r="Z16" s="1264"/>
      <c r="AA16" s="1264">
        <v>1</v>
      </c>
      <c r="AB16" s="1264">
        <v>1</v>
      </c>
      <c r="AC16" s="1809">
        <v>1</v>
      </c>
    </row>
    <row r="17" spans="1:29" ht="85.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397"/>
      <c r="Q18" s="1263"/>
      <c r="R18" s="667"/>
      <c r="S18" s="668"/>
      <c r="T18" s="667"/>
      <c r="U18" s="668"/>
      <c r="V18" s="667"/>
      <c r="W18" s="668"/>
      <c r="X18" s="1265"/>
      <c r="Y18" s="3390"/>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397"/>
      <c r="Q20" s="1263"/>
      <c r="R20" s="667"/>
      <c r="S20" s="668"/>
      <c r="T20" s="667"/>
      <c r="U20" s="668"/>
      <c r="V20" s="667"/>
      <c r="W20" s="668"/>
      <c r="X20" s="1265"/>
      <c r="Y20" s="3390"/>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397"/>
      <c r="Q22" s="1263"/>
      <c r="R22" s="667"/>
      <c r="S22" s="668"/>
      <c r="T22" s="667"/>
      <c r="U22" s="668"/>
      <c r="V22" s="667"/>
      <c r="W22" s="668"/>
      <c r="X22" s="1265"/>
      <c r="Y22" s="3390"/>
      <c r="Z22" s="1264"/>
      <c r="AA22" s="1264">
        <v>1</v>
      </c>
      <c r="AB22" s="1264">
        <v>1</v>
      </c>
      <c r="AC22" s="1809">
        <v>1</v>
      </c>
    </row>
    <row r="23" spans="1:29" ht="57">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397"/>
      <c r="Q24" s="1263"/>
      <c r="R24" s="667"/>
      <c r="S24" s="668"/>
      <c r="T24" s="667"/>
      <c r="U24" s="668"/>
      <c r="V24" s="667"/>
      <c r="W24" s="668"/>
      <c r="X24" s="1265"/>
      <c r="Y24" s="3390"/>
      <c r="Z24" s="1264"/>
      <c r="AA24" s="1264">
        <v>1</v>
      </c>
      <c r="AB24" s="1264">
        <v>1</v>
      </c>
      <c r="AC24" s="1809">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397"/>
      <c r="Q26" s="1263"/>
      <c r="R26" s="667"/>
      <c r="S26" s="668"/>
      <c r="T26" s="667"/>
      <c r="U26" s="668"/>
      <c r="V26" s="667"/>
      <c r="W26" s="668"/>
      <c r="X26" s="1265"/>
      <c r="Y26" s="3390"/>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370" t="str">
        <f>A48</f>
        <v>成交单价（元/平方米）</v>
      </c>
      <c r="Q48" s="3388"/>
      <c r="R48" s="3383">
        <f>E48</f>
        <v>0</v>
      </c>
      <c r="S48" s="3383"/>
      <c r="T48" s="3383">
        <f>G48</f>
        <v>0</v>
      </c>
      <c r="U48" s="3383"/>
      <c r="V48" s="3383">
        <f>I48</f>
        <v>0</v>
      </c>
      <c r="W48" s="3383"/>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370" t="str">
        <f>A49</f>
        <v>比较价值（元/平方米）</v>
      </c>
      <c r="Q49" s="3388"/>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860"/>
      <c r="M4" s="861"/>
      <c r="N4" s="861"/>
      <c r="O4" s="861"/>
      <c r="P4" s="3375" t="s">
        <v>1775</v>
      </c>
      <c r="Q4" s="3376"/>
      <c r="R4" s="3358" t="s">
        <v>1771</v>
      </c>
      <c r="S4" s="3359"/>
      <c r="T4" s="3358" t="s">
        <v>1772</v>
      </c>
      <c r="U4" s="3359"/>
      <c r="V4" s="3383" t="s">
        <v>1773</v>
      </c>
      <c r="W4" s="3383"/>
      <c r="X4" s="1265"/>
      <c r="Y4" s="3358" t="s">
        <v>1775</v>
      </c>
      <c r="Z4" s="3359"/>
      <c r="AA4" s="3353" t="s">
        <v>1771</v>
      </c>
      <c r="AB4" s="3354" t="s">
        <v>1772</v>
      </c>
      <c r="AC4" s="3353" t="s">
        <v>1773</v>
      </c>
    </row>
    <row r="5" spans="1:29" ht="15">
      <c r="A5" s="348"/>
      <c r="B5" s="349"/>
      <c r="C5" s="3364" t="s">
        <v>1673</v>
      </c>
      <c r="D5" s="3365"/>
      <c r="E5" s="3362" t="s">
        <v>1674</v>
      </c>
      <c r="F5" s="3363"/>
      <c r="G5" s="3364" t="s">
        <v>1675</v>
      </c>
      <c r="H5" s="3365"/>
      <c r="I5" s="3364" t="s">
        <v>1676</v>
      </c>
      <c r="J5" s="3365"/>
      <c r="K5" s="537"/>
      <c r="L5" s="860"/>
      <c r="M5" s="861"/>
      <c r="N5" s="861"/>
      <c r="O5" s="861"/>
      <c r="P5" s="3377"/>
      <c r="Q5" s="3378"/>
      <c r="R5" s="3360"/>
      <c r="S5" s="3361"/>
      <c r="T5" s="3360"/>
      <c r="U5" s="3361"/>
      <c r="V5" s="3383"/>
      <c r="W5" s="3383"/>
      <c r="X5" s="1265"/>
      <c r="Y5" s="3360"/>
      <c r="Z5" s="3361"/>
      <c r="AA5" s="3354"/>
      <c r="AB5" s="3354"/>
      <c r="AC5" s="3354"/>
    </row>
    <row r="6" spans="1:29" ht="15.75" thickBot="1">
      <c r="A6" s="350"/>
      <c r="B6" s="351"/>
      <c r="C6" s="3366" t="s">
        <v>1677</v>
      </c>
      <c r="D6" s="3367"/>
      <c r="E6" s="3368" t="s">
        <v>1677</v>
      </c>
      <c r="F6" s="3369"/>
      <c r="G6" s="3366" t="s">
        <v>1677</v>
      </c>
      <c r="H6" s="3367"/>
      <c r="I6" s="3366" t="s">
        <v>1677</v>
      </c>
      <c r="J6" s="3367"/>
      <c r="K6" s="537" t="s">
        <v>1678</v>
      </c>
      <c r="L6" s="860"/>
      <c r="M6" s="861"/>
      <c r="N6" s="861"/>
      <c r="O6" s="861"/>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c r="F7" s="357">
        <f>SUMIF(52:52,YEAR(E7)&amp;"-"&amp;MONTH(E7),53:53)</f>
        <v>0</v>
      </c>
      <c r="G7" s="356"/>
      <c r="H7" s="355">
        <f>SUMIF(52:52,YEAR(G7)&amp;"-"&amp;MONTH(G7),53:53)</f>
        <v>0</v>
      </c>
      <c r="I7" s="356"/>
      <c r="J7" s="355">
        <f>SUMIF(52:52,YEAR(I7)&amp;"-"&amp;MONTH(I7),53:53)</f>
        <v>0</v>
      </c>
      <c r="K7" s="38"/>
      <c r="L7" s="862"/>
      <c r="M7" s="863"/>
      <c r="N7" s="863"/>
      <c r="O7" s="863"/>
      <c r="P7" s="3356" t="s">
        <v>1680</v>
      </c>
      <c r="Q7" s="3384"/>
      <c r="R7" s="664" t="s">
        <v>14</v>
      </c>
      <c r="S7" s="665">
        <f t="shared" ref="S7:S15" si="0">F7</f>
        <v>0</v>
      </c>
      <c r="T7" s="664" t="s">
        <v>14</v>
      </c>
      <c r="U7" s="665">
        <f t="shared" ref="U7:U15" si="1">H7</f>
        <v>0</v>
      </c>
      <c r="V7" s="664" t="s">
        <v>14</v>
      </c>
      <c r="W7" s="665">
        <f t="shared" ref="W7:W15" si="2">J7</f>
        <v>0</v>
      </c>
      <c r="X7" s="666"/>
      <c r="Y7" s="3356" t="s">
        <v>1680</v>
      </c>
      <c r="Z7" s="335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6" t="s">
        <v>1683</v>
      </c>
      <c r="Q8" s="3357"/>
      <c r="R8" s="664" t="s">
        <v>14</v>
      </c>
      <c r="S8" s="665">
        <f t="shared" si="0"/>
        <v>100</v>
      </c>
      <c r="T8" s="664" t="s">
        <v>14</v>
      </c>
      <c r="U8" s="665">
        <f t="shared" si="1"/>
        <v>100</v>
      </c>
      <c r="V8" s="664" t="s">
        <v>14</v>
      </c>
      <c r="W8" s="665">
        <f t="shared" si="2"/>
        <v>100</v>
      </c>
      <c r="X8" s="666"/>
      <c r="Y8" s="3356" t="s">
        <v>1683</v>
      </c>
      <c r="Z8" s="335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1.25">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13"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388" t="str">
        <f>A42</f>
        <v>比较价值（元/平方米）</v>
      </c>
      <c r="Q42" s="3388"/>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58" t="s">
        <v>1771</v>
      </c>
      <c r="S4" s="3359"/>
      <c r="T4" s="3358" t="s">
        <v>1772</v>
      </c>
      <c r="U4" s="3359"/>
      <c r="V4" s="3383" t="s">
        <v>1773</v>
      </c>
      <c r="W4" s="3383"/>
      <c r="X4" s="1265"/>
      <c r="Y4" s="3358" t="s">
        <v>1775</v>
      </c>
      <c r="Z4" s="3359"/>
      <c r="AA4" s="3353" t="s">
        <v>1771</v>
      </c>
      <c r="AB4" s="3354" t="s">
        <v>1772</v>
      </c>
      <c r="AC4" s="3353" t="s">
        <v>1773</v>
      </c>
    </row>
    <row r="5" spans="1:29" ht="15">
      <c r="A5" s="348"/>
      <c r="B5" s="349"/>
      <c r="C5" s="3364" t="s">
        <v>1673</v>
      </c>
      <c r="D5" s="3365"/>
      <c r="E5" s="3362" t="s">
        <v>1674</v>
      </c>
      <c r="F5" s="3363"/>
      <c r="G5" s="3364" t="s">
        <v>1675</v>
      </c>
      <c r="H5" s="3365"/>
      <c r="I5" s="3364" t="s">
        <v>1676</v>
      </c>
      <c r="J5" s="3365"/>
      <c r="K5" s="537"/>
      <c r="L5" s="2484"/>
      <c r="M5" s="2485"/>
      <c r="N5" s="2485"/>
      <c r="O5" s="2485"/>
      <c r="P5" s="3377"/>
      <c r="Q5" s="3378"/>
      <c r="R5" s="3360"/>
      <c r="S5" s="3361"/>
      <c r="T5" s="3360"/>
      <c r="U5" s="3361"/>
      <c r="V5" s="3383"/>
      <c r="W5" s="3383"/>
      <c r="X5" s="1265"/>
      <c r="Y5" s="3360"/>
      <c r="Z5" s="3361"/>
      <c r="AA5" s="3354"/>
      <c r="AB5" s="3354"/>
      <c r="AC5" s="3354"/>
    </row>
    <row r="6" spans="1:29" ht="15.75" thickBot="1">
      <c r="A6" s="350"/>
      <c r="B6" s="351"/>
      <c r="C6" s="3366" t="s">
        <v>1677</v>
      </c>
      <c r="D6" s="3367"/>
      <c r="E6" s="3368" t="s">
        <v>1677</v>
      </c>
      <c r="F6" s="3369"/>
      <c r="G6" s="3366" t="s">
        <v>1677</v>
      </c>
      <c r="H6" s="3367"/>
      <c r="I6" s="3366" t="s">
        <v>1677</v>
      </c>
      <c r="J6" s="3367"/>
      <c r="K6" s="537" t="s">
        <v>1678</v>
      </c>
      <c r="L6" s="2484"/>
      <c r="M6" s="2485"/>
      <c r="N6" s="2485"/>
      <c r="O6" s="2485"/>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56" t="s">
        <v>1680</v>
      </c>
      <c r="Q7" s="3384"/>
      <c r="R7" s="664" t="s">
        <v>14</v>
      </c>
      <c r="S7" s="665">
        <f t="shared" ref="S7:S14" si="0">F7</f>
        <v>0</v>
      </c>
      <c r="T7" s="664" t="s">
        <v>14</v>
      </c>
      <c r="U7" s="665">
        <f t="shared" ref="U7:U14" si="1">H7</f>
        <v>0</v>
      </c>
      <c r="V7" s="664" t="s">
        <v>14</v>
      </c>
      <c r="W7" s="665">
        <f t="shared" ref="W7:W14" si="2">J7</f>
        <v>0</v>
      </c>
      <c r="X7" s="666"/>
      <c r="Y7" s="3356" t="s">
        <v>1680</v>
      </c>
      <c r="Z7" s="335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56" t="s">
        <v>1683</v>
      </c>
      <c r="Q8" s="3357"/>
      <c r="R8" s="664" t="s">
        <v>14</v>
      </c>
      <c r="S8" s="665">
        <f t="shared" si="0"/>
        <v>100</v>
      </c>
      <c r="T8" s="664" t="s">
        <v>14</v>
      </c>
      <c r="U8" s="665">
        <f t="shared" si="1"/>
        <v>100</v>
      </c>
      <c r="V8" s="664" t="s">
        <v>14</v>
      </c>
      <c r="W8" s="665">
        <f t="shared" si="2"/>
        <v>100</v>
      </c>
      <c r="X8" s="666"/>
      <c r="Y8" s="3356" t="s">
        <v>1683</v>
      </c>
      <c r="Z8" s="335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8"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8"/>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8"/>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0"/>
      <c r="Q15" s="1263"/>
      <c r="R15" s="667"/>
      <c r="S15" s="668"/>
      <c r="T15" s="667"/>
      <c r="U15" s="668"/>
      <c r="V15" s="667"/>
      <c r="W15" s="668"/>
      <c r="X15" s="1265"/>
      <c r="Y15" s="3390"/>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390"/>
      <c r="Q17" s="1263"/>
      <c r="R17" s="667"/>
      <c r="S17" s="668"/>
      <c r="T17" s="667"/>
      <c r="U17" s="668"/>
      <c r="V17" s="667"/>
      <c r="W17" s="668"/>
      <c r="X17" s="1265"/>
      <c r="Y17" s="3390"/>
      <c r="Z17" s="1264"/>
      <c r="AA17" s="1264">
        <v>1</v>
      </c>
      <c r="AB17" s="1264">
        <v>1</v>
      </c>
      <c r="AC17" s="1264">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390"/>
      <c r="Q19" s="1263"/>
      <c r="R19" s="667"/>
      <c r="S19" s="668"/>
      <c r="T19" s="667"/>
      <c r="U19" s="668"/>
      <c r="V19" s="667"/>
      <c r="W19" s="668"/>
      <c r="X19" s="1265"/>
      <c r="Y19" s="3390"/>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18" t="s">
        <v>3357</v>
      </c>
      <c r="C37" s="1081" t="s">
        <v>0</v>
      </c>
      <c r="D37" s="418"/>
      <c r="E37" s="419"/>
      <c r="F37" s="420"/>
      <c r="G37" s="421"/>
      <c r="H37" s="422"/>
      <c r="I37" s="419"/>
      <c r="J37" s="422"/>
      <c r="K37" s="545"/>
      <c r="L37" s="2492"/>
      <c r="M37" s="2485"/>
      <c r="N37" s="2485"/>
      <c r="O37" s="2485"/>
      <c r="P37" s="3388" t="str">
        <f>A37</f>
        <v>成交单价</v>
      </c>
      <c r="Q37" s="3388"/>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388" t="str">
        <f>A38</f>
        <v>比较价值（元/平方米）</v>
      </c>
      <c r="Q38" s="3388"/>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5" t="str">
        <f>A39</f>
        <v>估价对象XX用房的比较价值（楼面单价，元/平方米）</v>
      </c>
      <c r="Q39" s="3386"/>
      <c r="R39" s="3414" t="e">
        <f>IF(F1="售价",ROUND(IF(D38="简单平均",AVERAGE(R38:W38),R38*F38+T38*H38+V38*J38),0),ROUND(IF(D38="简单平均",AVERAGE(R38:V38),R38*F38+T38*H38+V38*J38),1))</f>
        <v>#DIV/0!</v>
      </c>
      <c r="S39" s="3414"/>
      <c r="T39" s="3414"/>
      <c r="U39" s="3414"/>
      <c r="V39" s="3414"/>
      <c r="W39" s="341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58" t="s">
        <v>1771</v>
      </c>
      <c r="S4" s="3359"/>
      <c r="T4" s="3358" t="s">
        <v>1772</v>
      </c>
      <c r="U4" s="3359"/>
      <c r="V4" s="3383" t="s">
        <v>1773</v>
      </c>
      <c r="W4" s="3383"/>
      <c r="X4" s="1265"/>
      <c r="Y4" s="3358" t="s">
        <v>1775</v>
      </c>
      <c r="Z4" s="3359"/>
      <c r="AA4" s="3353" t="s">
        <v>1771</v>
      </c>
      <c r="AB4" s="3354" t="s">
        <v>1772</v>
      </c>
      <c r="AC4" s="3353" t="s">
        <v>1773</v>
      </c>
    </row>
    <row r="5" spans="1:29" ht="15">
      <c r="A5" s="348"/>
      <c r="B5" s="349"/>
      <c r="C5" s="3364" t="s">
        <v>1673</v>
      </c>
      <c r="D5" s="3365"/>
      <c r="E5" s="3362" t="s">
        <v>1674</v>
      </c>
      <c r="F5" s="3363"/>
      <c r="G5" s="3364" t="s">
        <v>1675</v>
      </c>
      <c r="H5" s="3365"/>
      <c r="I5" s="3364" t="s">
        <v>1676</v>
      </c>
      <c r="J5" s="3365"/>
      <c r="K5" s="537"/>
      <c r="L5" s="2484"/>
      <c r="M5" s="2485"/>
      <c r="N5" s="2485"/>
      <c r="O5" s="2485"/>
      <c r="P5" s="3377"/>
      <c r="Q5" s="3378"/>
      <c r="R5" s="3360"/>
      <c r="S5" s="3361"/>
      <c r="T5" s="3360"/>
      <c r="U5" s="3361"/>
      <c r="V5" s="3383"/>
      <c r="W5" s="3383"/>
      <c r="X5" s="1265"/>
      <c r="Y5" s="3360"/>
      <c r="Z5" s="3361"/>
      <c r="AA5" s="3354"/>
      <c r="AB5" s="3354"/>
      <c r="AC5" s="3354"/>
    </row>
    <row r="6" spans="1:29" ht="15.75" thickBot="1">
      <c r="A6" s="350"/>
      <c r="B6" s="351"/>
      <c r="C6" s="3366" t="s">
        <v>1677</v>
      </c>
      <c r="D6" s="3367"/>
      <c r="E6" s="3368" t="s">
        <v>1677</v>
      </c>
      <c r="F6" s="3369"/>
      <c r="G6" s="3366" t="s">
        <v>1677</v>
      </c>
      <c r="H6" s="3367"/>
      <c r="I6" s="3366" t="s">
        <v>1677</v>
      </c>
      <c r="J6" s="3367"/>
      <c r="K6" s="537" t="s">
        <v>1678</v>
      </c>
      <c r="L6" s="2484"/>
      <c r="M6" s="2485"/>
      <c r="N6" s="2485"/>
      <c r="O6" s="2485"/>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56" t="s">
        <v>1680</v>
      </c>
      <c r="Q7" s="3384"/>
      <c r="R7" s="664" t="s">
        <v>14</v>
      </c>
      <c r="S7" s="665">
        <f t="shared" ref="S7:S14" si="0">F7</f>
        <v>0</v>
      </c>
      <c r="T7" s="664" t="s">
        <v>14</v>
      </c>
      <c r="U7" s="665">
        <f t="shared" ref="U7:U14" si="1">H7</f>
        <v>0</v>
      </c>
      <c r="V7" s="664" t="s">
        <v>14</v>
      </c>
      <c r="W7" s="665">
        <f t="shared" ref="W7:W14" si="2">J7</f>
        <v>0</v>
      </c>
      <c r="X7" s="666"/>
      <c r="Y7" s="3356" t="s">
        <v>1680</v>
      </c>
      <c r="Z7" s="335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56" t="s">
        <v>1683</v>
      </c>
      <c r="Q8" s="3357"/>
      <c r="R8" s="664" t="s">
        <v>14</v>
      </c>
      <c r="S8" s="665">
        <f t="shared" si="0"/>
        <v>100</v>
      </c>
      <c r="T8" s="664" t="s">
        <v>14</v>
      </c>
      <c r="U8" s="665">
        <f t="shared" si="1"/>
        <v>100</v>
      </c>
      <c r="V8" s="664" t="s">
        <v>14</v>
      </c>
      <c r="W8" s="665">
        <f t="shared" si="2"/>
        <v>100</v>
      </c>
      <c r="X8" s="666"/>
      <c r="Y8" s="3356" t="s">
        <v>1683</v>
      </c>
      <c r="Z8" s="335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8"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8"/>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8"/>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0"/>
      <c r="Q15" s="1263"/>
      <c r="R15" s="667"/>
      <c r="S15" s="668"/>
      <c r="T15" s="667"/>
      <c r="U15" s="668"/>
      <c r="V15" s="667"/>
      <c r="W15" s="668"/>
      <c r="X15" s="1265"/>
      <c r="Y15" s="3390"/>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390"/>
      <c r="Q17" s="1263"/>
      <c r="R17" s="667"/>
      <c r="S17" s="668"/>
      <c r="T17" s="667"/>
      <c r="U17" s="668"/>
      <c r="V17" s="667"/>
      <c r="W17" s="668"/>
      <c r="X17" s="1265"/>
      <c r="Y17" s="3390"/>
      <c r="Z17" s="1264"/>
      <c r="AA17" s="1264">
        <v>1</v>
      </c>
      <c r="AB17" s="1264">
        <v>1</v>
      </c>
      <c r="AC17" s="1264">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390"/>
      <c r="Q19" s="1263"/>
      <c r="R19" s="667"/>
      <c r="S19" s="668"/>
      <c r="T19" s="667"/>
      <c r="U19" s="668"/>
      <c r="V19" s="667"/>
      <c r="W19" s="668"/>
      <c r="X19" s="1265"/>
      <c r="Y19" s="3390"/>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1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8" t="str">
        <f>A35</f>
        <v>成交单价（元/平方米）</v>
      </c>
      <c r="Q35" s="3388"/>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388" t="str">
        <f>A36</f>
        <v>比较价值（元/平方米）</v>
      </c>
      <c r="Q36" s="3388"/>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5" t="str">
        <f>A37</f>
        <v>估价对象XX用房的比较价值（楼面单价，元/平方米）</v>
      </c>
      <c r="Q37" s="3386"/>
      <c r="R37" s="3414" t="e">
        <f>IF(F1="售价",ROUND(IF(D36="简单平均",AVERAGE(R36:W36),R36*F36+T36*H36+V36*J36),0),ROUND(IF(D36="简单平均",AVERAGE(R36:V36),R36*F36+T36*H36+V36*J36),1))</f>
        <v>#DIV/0!</v>
      </c>
      <c r="S37" s="3414"/>
      <c r="T37" s="3414"/>
      <c r="U37" s="3414"/>
      <c r="V37" s="3414"/>
      <c r="W37" s="341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58" t="s">
        <v>1771</v>
      </c>
      <c r="S4" s="3359"/>
      <c r="T4" s="3358" t="s">
        <v>1772</v>
      </c>
      <c r="U4" s="3359"/>
      <c r="V4" s="3383" t="s">
        <v>1773</v>
      </c>
      <c r="W4" s="3383"/>
      <c r="X4" s="1265"/>
      <c r="Y4" s="3358" t="s">
        <v>1775</v>
      </c>
      <c r="Z4" s="3359"/>
      <c r="AA4" s="3353" t="s">
        <v>1771</v>
      </c>
      <c r="AB4" s="3354" t="s">
        <v>1772</v>
      </c>
      <c r="AC4" s="3353" t="s">
        <v>1773</v>
      </c>
    </row>
    <row r="5" spans="1:29" ht="15">
      <c r="A5" s="348"/>
      <c r="B5" s="349"/>
      <c r="C5" s="3364" t="s">
        <v>1673</v>
      </c>
      <c r="D5" s="3365"/>
      <c r="E5" s="3362" t="s">
        <v>1674</v>
      </c>
      <c r="F5" s="3363"/>
      <c r="G5" s="3364" t="s">
        <v>1675</v>
      </c>
      <c r="H5" s="3365"/>
      <c r="I5" s="3364" t="s">
        <v>1676</v>
      </c>
      <c r="J5" s="3365"/>
      <c r="K5" s="537"/>
      <c r="L5" s="2484"/>
      <c r="M5" s="2485"/>
      <c r="N5" s="2485"/>
      <c r="O5" s="2485"/>
      <c r="P5" s="3377"/>
      <c r="Q5" s="3378"/>
      <c r="R5" s="3360"/>
      <c r="S5" s="3361"/>
      <c r="T5" s="3360"/>
      <c r="U5" s="3361"/>
      <c r="V5" s="3383"/>
      <c r="W5" s="3383"/>
      <c r="X5" s="1265"/>
      <c r="Y5" s="3360"/>
      <c r="Z5" s="3361"/>
      <c r="AA5" s="3354"/>
      <c r="AB5" s="3354"/>
      <c r="AC5" s="3354"/>
    </row>
    <row r="6" spans="1:29" ht="15.75" thickBot="1">
      <c r="A6" s="350"/>
      <c r="B6" s="351"/>
      <c r="C6" s="3366" t="s">
        <v>1677</v>
      </c>
      <c r="D6" s="3367"/>
      <c r="E6" s="3368" t="s">
        <v>1677</v>
      </c>
      <c r="F6" s="3369"/>
      <c r="G6" s="3366" t="s">
        <v>1677</v>
      </c>
      <c r="H6" s="3367"/>
      <c r="I6" s="3366" t="s">
        <v>1677</v>
      </c>
      <c r="J6" s="3367"/>
      <c r="K6" s="537" t="s">
        <v>1678</v>
      </c>
      <c r="L6" s="2484"/>
      <c r="M6" s="2485"/>
      <c r="N6" s="2485"/>
      <c r="O6" s="2485"/>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56" t="s">
        <v>1680</v>
      </c>
      <c r="Q7" s="3384"/>
      <c r="R7" s="664" t="s">
        <v>14</v>
      </c>
      <c r="S7" s="665">
        <f t="shared" ref="S7:S15" si="0">F7</f>
        <v>0</v>
      </c>
      <c r="T7" s="664" t="s">
        <v>14</v>
      </c>
      <c r="U7" s="665">
        <f t="shared" ref="U7:U15" si="1">H7</f>
        <v>0</v>
      </c>
      <c r="V7" s="664" t="s">
        <v>14</v>
      </c>
      <c r="W7" s="665">
        <f t="shared" ref="W7:W15" si="2">J7</f>
        <v>0</v>
      </c>
      <c r="X7" s="666"/>
      <c r="Y7" s="3356" t="s">
        <v>1680</v>
      </c>
      <c r="Z7" s="335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56" t="s">
        <v>1683</v>
      </c>
      <c r="Q8" s="3357"/>
      <c r="R8" s="664" t="s">
        <v>14</v>
      </c>
      <c r="S8" s="665">
        <f t="shared" si="0"/>
        <v>0</v>
      </c>
      <c r="T8" s="664" t="s">
        <v>14</v>
      </c>
      <c r="U8" s="665">
        <f t="shared" si="1"/>
        <v>0</v>
      </c>
      <c r="V8" s="664" t="s">
        <v>14</v>
      </c>
      <c r="W8" s="665">
        <f t="shared" si="2"/>
        <v>0</v>
      </c>
      <c r="X8" s="666"/>
      <c r="Y8" s="3356" t="s">
        <v>1683</v>
      </c>
      <c r="Z8" s="3357"/>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8"/>
      <c r="Q10" s="530" t="str">
        <f t="shared" si="6"/>
        <v>土地使用年限（年）</v>
      </c>
      <c r="R10" s="664" t="s">
        <v>14</v>
      </c>
      <c r="S10" s="665" t="e">
        <f t="shared" si="0"/>
        <v>#DIV/0!</v>
      </c>
      <c r="T10" s="664" t="s">
        <v>14</v>
      </c>
      <c r="U10" s="665" t="e">
        <f t="shared" si="1"/>
        <v>#DIV/0!</v>
      </c>
      <c r="V10" s="664" t="s">
        <v>14</v>
      </c>
      <c r="W10" s="665" t="e">
        <f t="shared" si="2"/>
        <v>#DIV/0!</v>
      </c>
      <c r="X10" s="666"/>
      <c r="Y10" s="330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8"/>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85.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390"/>
      <c r="Q20" s="1263"/>
      <c r="R20" s="667"/>
      <c r="S20" s="668"/>
      <c r="T20" s="667"/>
      <c r="U20" s="668"/>
      <c r="V20" s="667"/>
      <c r="W20" s="668"/>
      <c r="X20" s="1265"/>
      <c r="Y20" s="3390"/>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390"/>
      <c r="Q24" s="1263"/>
      <c r="R24" s="667"/>
      <c r="S24" s="668"/>
      <c r="T24" s="667"/>
      <c r="U24" s="668"/>
      <c r="V24" s="667"/>
      <c r="W24" s="668"/>
      <c r="X24" s="1265"/>
      <c r="Y24" s="3390"/>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390"/>
      <c r="Q26" s="1263"/>
      <c r="R26" s="667"/>
      <c r="S26" s="668"/>
      <c r="T26" s="667"/>
      <c r="U26" s="668"/>
      <c r="V26" s="667"/>
      <c r="W26" s="668"/>
      <c r="X26" s="1265"/>
      <c r="Y26" s="3390"/>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390"/>
      <c r="Q28" s="530"/>
      <c r="R28" s="664"/>
      <c r="S28" s="665"/>
      <c r="T28" s="664"/>
      <c r="U28" s="665"/>
      <c r="V28" s="664"/>
      <c r="W28" s="665"/>
      <c r="X28" s="666"/>
      <c r="Y28" s="3390"/>
      <c r="Z28" s="50"/>
      <c r="AA28" s="1264">
        <v>1</v>
      </c>
      <c r="AB28" s="1264">
        <v>1</v>
      </c>
      <c r="AC28" s="1264">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3"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388" t="str">
        <f>A46</f>
        <v>成交单价</v>
      </c>
      <c r="Q46" s="3388"/>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388" t="str">
        <f>A47</f>
        <v>比较价值（元/平方米）</v>
      </c>
      <c r="Q47" s="3388"/>
      <c r="R47" s="3415" t="e">
        <f>ROUND(PRODUCT(R46,AA7:AA45),0)</f>
        <v>#DIV/0!</v>
      </c>
      <c r="S47" s="3415"/>
      <c r="T47" s="3415" t="e">
        <f>ROUND(PRODUCT(T46,AB7:AB45),0)</f>
        <v>#DIV/0!</v>
      </c>
      <c r="U47" s="3415"/>
      <c r="V47" s="3415" t="e">
        <f>ROUND(PRODUCT(V46,AC7:AC45),0)</f>
        <v>#DIV/0!</v>
      </c>
      <c r="W47" s="341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5" t="str">
        <f>A48</f>
        <v>估价对象XX用房的比较价值（楼面单价，元/平方米）</v>
      </c>
      <c r="Q48" s="3386"/>
      <c r="R48" s="3416" t="e">
        <f>ROUND(IF(D47="简单平均",AVERAGE(R47:W47),R47*F47+T47*H47+V47*J47),0)</f>
        <v>#DIV/0!</v>
      </c>
      <c r="S48" s="3416"/>
      <c r="T48" s="3416"/>
      <c r="U48" s="3416"/>
      <c r="V48" s="3416"/>
      <c r="W48" s="341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371" t="s">
        <v>1887</v>
      </c>
      <c r="H55" s="3417"/>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71.58</v>
      </c>
      <c r="F56" s="833" t="e">
        <f t="shared" ref="F56:F64" si="15">ROUND(B56*E56/10000,0)</f>
        <v>#DIV/0!</v>
      </c>
      <c r="G56" s="3370"/>
      <c r="H56" s="338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71.58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71" t="s">
        <v>1770</v>
      </c>
      <c r="D4" s="3372"/>
      <c r="E4" s="3373" t="s">
        <v>1771</v>
      </c>
      <c r="F4" s="3374"/>
      <c r="G4" s="3371" t="s">
        <v>1772</v>
      </c>
      <c r="H4" s="3372"/>
      <c r="I4" s="3371" t="s">
        <v>1773</v>
      </c>
      <c r="J4" s="3372"/>
      <c r="K4" s="537" t="s">
        <v>1774</v>
      </c>
      <c r="L4" s="2484"/>
      <c r="M4" s="2485"/>
      <c r="N4" s="2485"/>
      <c r="O4" s="2485"/>
      <c r="P4" s="3375" t="s">
        <v>1775</v>
      </c>
      <c r="Q4" s="3376"/>
      <c r="R4" s="3358" t="s">
        <v>1771</v>
      </c>
      <c r="S4" s="3359"/>
      <c r="T4" s="3358" t="s">
        <v>1772</v>
      </c>
      <c r="U4" s="3359"/>
      <c r="V4" s="3383" t="s">
        <v>1773</v>
      </c>
      <c r="W4" s="3383"/>
      <c r="X4" s="1265"/>
      <c r="Y4" s="3358" t="s">
        <v>1775</v>
      </c>
      <c r="Z4" s="3359"/>
      <c r="AA4" s="3353" t="s">
        <v>1771</v>
      </c>
      <c r="AB4" s="3354" t="s">
        <v>1772</v>
      </c>
      <c r="AC4" s="3353" t="s">
        <v>1773</v>
      </c>
    </row>
    <row r="5" spans="1:29" ht="15">
      <c r="A5" s="348"/>
      <c r="B5" s="349"/>
      <c r="C5" s="3364" t="s">
        <v>1673</v>
      </c>
      <c r="D5" s="3365"/>
      <c r="E5" s="3362" t="s">
        <v>1674</v>
      </c>
      <c r="F5" s="3363"/>
      <c r="G5" s="3364" t="s">
        <v>1675</v>
      </c>
      <c r="H5" s="3365"/>
      <c r="I5" s="3364" t="s">
        <v>1676</v>
      </c>
      <c r="J5" s="3365"/>
      <c r="K5" s="537"/>
      <c r="L5" s="2484"/>
      <c r="M5" s="2485"/>
      <c r="N5" s="2485"/>
      <c r="O5" s="2485"/>
      <c r="P5" s="3377"/>
      <c r="Q5" s="3378"/>
      <c r="R5" s="3360"/>
      <c r="S5" s="3361"/>
      <c r="T5" s="3360"/>
      <c r="U5" s="3361"/>
      <c r="V5" s="3383"/>
      <c r="W5" s="3383"/>
      <c r="X5" s="1265"/>
      <c r="Y5" s="3360"/>
      <c r="Z5" s="3361"/>
      <c r="AA5" s="3354"/>
      <c r="AB5" s="3354"/>
      <c r="AC5" s="3354"/>
    </row>
    <row r="6" spans="1:29" ht="15.75" thickBot="1">
      <c r="A6" s="350"/>
      <c r="B6" s="351"/>
      <c r="C6" s="3418" t="s">
        <v>1919</v>
      </c>
      <c r="D6" s="3419"/>
      <c r="E6" s="3420" t="s">
        <v>1919</v>
      </c>
      <c r="F6" s="3421"/>
      <c r="G6" s="3418" t="s">
        <v>1919</v>
      </c>
      <c r="H6" s="3419"/>
      <c r="I6" s="3418" t="s">
        <v>1919</v>
      </c>
      <c r="J6" s="3419"/>
      <c r="K6" s="537" t="s">
        <v>1678</v>
      </c>
      <c r="L6" s="2484"/>
      <c r="M6" s="2485"/>
      <c r="N6" s="2485"/>
      <c r="O6" s="2485"/>
      <c r="P6" s="3379"/>
      <c r="Q6" s="3380"/>
      <c r="R6" s="3360"/>
      <c r="S6" s="3361"/>
      <c r="T6" s="3381"/>
      <c r="U6" s="3382"/>
      <c r="V6" s="3383"/>
      <c r="W6" s="3383"/>
      <c r="X6" s="1265"/>
      <c r="Y6" s="3381"/>
      <c r="Z6" s="3382"/>
      <c r="AA6" s="3355"/>
      <c r="AB6" s="3355"/>
      <c r="AC6" s="3355"/>
    </row>
    <row r="7" spans="1:29" s="102" customFormat="1" ht="15.75" thickBot="1">
      <c r="A7" s="352" t="s">
        <v>1679</v>
      </c>
      <c r="B7" s="353"/>
      <c r="C7" s="354">
        <f>'数据-取费表'!B2</f>
        <v>44896</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56" t="s">
        <v>1680</v>
      </c>
      <c r="Q7" s="3384"/>
      <c r="R7" s="664" t="s">
        <v>14</v>
      </c>
      <c r="S7" s="665">
        <f t="shared" ref="S7:S15" si="0">F7</f>
        <v>0</v>
      </c>
      <c r="T7" s="664" t="s">
        <v>14</v>
      </c>
      <c r="U7" s="665">
        <f t="shared" ref="U7:U15" si="1">H7</f>
        <v>0</v>
      </c>
      <c r="V7" s="664" t="s">
        <v>14</v>
      </c>
      <c r="W7" s="665">
        <f t="shared" ref="W7:W15" si="2">J7</f>
        <v>0</v>
      </c>
      <c r="X7" s="666"/>
      <c r="Y7" s="3356" t="s">
        <v>1680</v>
      </c>
      <c r="Z7" s="335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56" t="s">
        <v>1683</v>
      </c>
      <c r="Q8" s="3357"/>
      <c r="R8" s="664" t="s">
        <v>14</v>
      </c>
      <c r="S8" s="665">
        <f t="shared" si="0"/>
        <v>0</v>
      </c>
      <c r="T8" s="664" t="s">
        <v>14</v>
      </c>
      <c r="U8" s="665">
        <f t="shared" si="1"/>
        <v>0</v>
      </c>
      <c r="V8" s="664" t="s">
        <v>14</v>
      </c>
      <c r="W8" s="665">
        <f t="shared" si="2"/>
        <v>0</v>
      </c>
      <c r="X8" s="666"/>
      <c r="Y8" s="3356" t="s">
        <v>1683</v>
      </c>
      <c r="Z8" s="3357"/>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88"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8"/>
      <c r="Q10" s="530" t="str">
        <f t="shared" si="6"/>
        <v>土地使用年限（年）</v>
      </c>
      <c r="R10" s="664" t="s">
        <v>14</v>
      </c>
      <c r="S10" s="665" t="e">
        <f t="shared" si="0"/>
        <v>#DIV/0!</v>
      </c>
      <c r="T10" s="664" t="s">
        <v>14</v>
      </c>
      <c r="U10" s="665" t="e">
        <f t="shared" si="1"/>
        <v>#DIV/0!</v>
      </c>
      <c r="V10" s="664" t="s">
        <v>14</v>
      </c>
      <c r="W10" s="665" t="e">
        <f t="shared" si="2"/>
        <v>#DIV/0!</v>
      </c>
      <c r="X10" s="666"/>
      <c r="Y10" s="330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8"/>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8"/>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8"/>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8"/>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1.25">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390"/>
      <c r="Q20" s="1263"/>
      <c r="R20" s="667"/>
      <c r="S20" s="668"/>
      <c r="T20" s="667"/>
      <c r="U20" s="668"/>
      <c r="V20" s="667"/>
      <c r="W20" s="668"/>
      <c r="X20" s="1265"/>
      <c r="Y20" s="3390"/>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390"/>
      <c r="Q24" s="530"/>
      <c r="R24" s="664"/>
      <c r="S24" s="665"/>
      <c r="T24" s="664"/>
      <c r="U24" s="665"/>
      <c r="V24" s="664"/>
      <c r="W24" s="665"/>
      <c r="X24" s="666"/>
      <c r="Y24" s="3390"/>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8.5">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3"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388" t="str">
        <f>A41</f>
        <v>成交单价</v>
      </c>
      <c r="Q41" s="3388"/>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388" t="str">
        <f>A42</f>
        <v>比较价值（元/平方米）</v>
      </c>
      <c r="Q42" s="3388"/>
      <c r="R42" s="3415" t="e">
        <f>ROUND(PRODUCT(R41,AA7:AA40),0)</f>
        <v>#DIV/0!</v>
      </c>
      <c r="S42" s="3415"/>
      <c r="T42" s="3415" t="e">
        <f>ROUND(PRODUCT(T41,AB7:AB40),0)</f>
        <v>#DIV/0!</v>
      </c>
      <c r="U42" s="3415"/>
      <c r="V42" s="3415" t="e">
        <f>ROUND(PRODUCT(V41,AC7:AC40),0)</f>
        <v>#DIV/0!</v>
      </c>
      <c r="W42" s="341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5" t="str">
        <f>A43</f>
        <v>估价对象XX用房的比较价值（楼面单价，元/平方米）</v>
      </c>
      <c r="Q43" s="3386"/>
      <c r="R43" s="3416" t="e">
        <f>ROUND(IF(D42="简单平均",AVERAGE(R42:W42),R42*F42+T42*H42+V42*J42),0)</f>
        <v>#DIV/0!</v>
      </c>
      <c r="S43" s="3416"/>
      <c r="T43" s="3416"/>
      <c r="U43" s="3416"/>
      <c r="V43" s="3416"/>
      <c r="W43" s="341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371" t="s">
        <v>1887</v>
      </c>
      <c r="H50" s="3417"/>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71.58</v>
      </c>
      <c r="F51" s="611" t="e">
        <f t="shared" ref="F51:F60" si="15">ROUND(B51*E51/10000,0)</f>
        <v>#DIV/0!</v>
      </c>
      <c r="G51" s="3370"/>
      <c r="H51" s="338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5" t="s">
        <v>2084</v>
      </c>
      <c r="D1" s="3426"/>
      <c r="E1" s="3426"/>
      <c r="F1" s="3426"/>
      <c r="G1" s="3426"/>
      <c r="H1" s="3426"/>
      <c r="I1" s="3426"/>
      <c r="J1" s="3426"/>
      <c r="K1" s="3426"/>
      <c r="L1" s="3426"/>
      <c r="M1" s="3426"/>
      <c r="N1" s="3426"/>
      <c r="O1" s="3426"/>
      <c r="P1" s="3426"/>
      <c r="Q1" s="3426"/>
      <c r="R1" s="3426"/>
      <c r="S1" s="342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2" t="s">
        <v>27</v>
      </c>
      <c r="D22" s="3423"/>
      <c r="E22" s="3423"/>
      <c r="F22" s="3423"/>
      <c r="G22" s="3423"/>
      <c r="H22" s="3423"/>
      <c r="I22" s="3423"/>
      <c r="J22" s="3423"/>
      <c r="K22" s="3423"/>
      <c r="L22" s="3423"/>
      <c r="M22" s="3423"/>
      <c r="N22" s="3423"/>
      <c r="O22" s="3423"/>
      <c r="P22" s="3423"/>
      <c r="Q22" s="342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0</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35"/>
      <c r="B4" s="3436"/>
      <c r="C4" s="3436"/>
      <c r="D4" s="3437"/>
      <c r="E4" s="3437"/>
      <c r="F4" s="3437"/>
      <c r="G4" s="3437"/>
      <c r="H4" s="3437"/>
      <c r="I4" s="3437"/>
      <c r="J4" s="3438"/>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32" t="s">
        <v>1960</v>
      </c>
      <c r="X8" s="343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34"/>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3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3245</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3247</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t="e">
        <f>ROUND(G18/I18,2)</f>
        <v>#DIV/0!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39" t="s">
        <v>3257</v>
      </c>
      <c r="B20" s="159" t="s">
        <v>1994</v>
      </c>
      <c r="C20" s="3029" t="e">
        <f>ROUND(IF(F21="与级别开发程度一致",0,(G21-E21)/C21),0)</f>
        <v>#DIV/0!</v>
      </c>
      <c r="D20" s="3044" t="s">
        <v>1998</v>
      </c>
      <c r="E20" s="3045"/>
      <c r="F20" s="3445" t="s">
        <v>1995</v>
      </c>
      <c r="G20" s="3446"/>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40"/>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7">
        <v>44197</v>
      </c>
      <c r="F23" s="1893" t="s">
        <v>2003</v>
      </c>
      <c r="G23" s="718">
        <f>'数据-取费表'!B2</f>
        <v>44896</v>
      </c>
      <c r="H23" s="3046" t="s">
        <v>3259</v>
      </c>
      <c r="I23" s="3047" t="str">
        <f>IF(H23="季度增幅（自定义）",SUMIF(N25:N28,E2,O25:O28),"")</f>
        <v/>
      </c>
      <c r="J23" s="3139" t="s">
        <v>3258</v>
      </c>
      <c r="K23" s="1061"/>
      <c r="L23" s="1894" t="s">
        <v>2004</v>
      </c>
      <c r="M23" s="1241">
        <f>ROUND(SUMIF(地价!B2:G2,E2,地价!B16:G16),0)</f>
        <v>0</v>
      </c>
      <c r="N23" s="1895" t="s">
        <v>2005</v>
      </c>
      <c r="O23" s="719">
        <f>ROUNDDOWN(DATEDIF(E23,G23,"M")/3,0)</f>
        <v>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存贷款利率!E24/100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2022</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9.7000000000000003E-3</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3261</v>
      </c>
      <c r="J26" s="374" t="str">
        <f>IF(G3&gt;=10,D115,"——")</f>
        <v>——</v>
      </c>
      <c r="K26" s="1061"/>
      <c r="L26" s="2550"/>
      <c r="M26" s="2550"/>
      <c r="N26" s="1908" t="s">
        <v>2016</v>
      </c>
      <c r="O26" s="1093"/>
      <c r="P26" s="1094">
        <f>SUMPRODUCT((地价!A3:A40=YEAR(G23)&amp;"-"&amp;ROUNDUP(MONTH(G23)/3,0))*(地价!AD2:AH2=N26)*(地价!AD3:AH40))</f>
        <v>9.7000000000000003E-3</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1.66E-2</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43"/>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3269</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44"/>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44"/>
      <c r="B39" s="1881" t="s">
        <v>3262</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3272</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1">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1">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41" t="s">
        <v>3297</v>
      </c>
      <c r="B103" s="3441"/>
      <c r="C103" s="3441"/>
      <c r="D103" s="3441"/>
      <c r="E103" s="3441"/>
      <c r="F103" s="3441"/>
      <c r="G103" s="3441"/>
      <c r="H103" s="3441"/>
      <c r="I103" s="3441"/>
      <c r="J103" s="3441"/>
      <c r="K103" s="1667"/>
      <c r="L103" s="1667"/>
      <c r="M103" s="1667"/>
      <c r="N103" s="1667"/>
    </row>
    <row r="104" spans="1:14">
      <c r="A104" s="3442" t="s">
        <v>3298</v>
      </c>
      <c r="B104" s="3442" t="s">
        <v>3299</v>
      </c>
      <c r="C104" s="3088" t="s">
        <v>3300</v>
      </c>
      <c r="D104" s="3089"/>
      <c r="E104" s="3089"/>
      <c r="F104" s="3089"/>
      <c r="G104" s="3089"/>
      <c r="H104" s="3089"/>
      <c r="I104" s="3089"/>
      <c r="J104" s="3090"/>
      <c r="K104" s="3091"/>
      <c r="L104" s="3091"/>
      <c r="M104" s="3091"/>
      <c r="N104" s="3091"/>
    </row>
    <row r="105" spans="1:14">
      <c r="A105" s="3442"/>
      <c r="B105" s="3442"/>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28"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2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2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2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2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29"/>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3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31" t="s">
        <v>3314</v>
      </c>
      <c r="B113" s="3431"/>
      <c r="C113" s="3431"/>
      <c r="D113" s="3431"/>
      <c r="E113" s="3431"/>
      <c r="F113" s="3431"/>
      <c r="G113" s="3431"/>
      <c r="H113" s="3431"/>
      <c r="I113" s="3431"/>
      <c r="J113" s="3431"/>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0</v>
      </c>
      <c r="C116" s="3097" t="s">
        <v>3316</v>
      </c>
      <c r="D116" s="3098">
        <f>SUMPRODUCT((A118:A122=F116)*(B117:M117=H116)*B118:M122)</f>
        <v>0</v>
      </c>
      <c r="E116" s="162" t="s">
        <v>3317</v>
      </c>
      <c r="F116" s="3099">
        <f>E2</f>
        <v>0</v>
      </c>
      <c r="G116" s="162" t="s">
        <v>3318</v>
      </c>
      <c r="H116" s="3099">
        <f>G2</f>
        <v>0</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391"/>
      <c r="B4" s="3146" t="s">
        <v>917</v>
      </c>
      <c r="C4" s="3146"/>
      <c r="D4" s="3146"/>
      <c r="E4" s="1391"/>
    </row>
    <row r="5" spans="1:5" ht="16.5" thickTop="1">
      <c r="B5" s="3144" t="s">
        <v>909</v>
      </c>
      <c r="C5" s="1392" t="s">
        <v>910</v>
      </c>
      <c r="D5" s="797" t="e">
        <f ca="1">结果表!H101</f>
        <v>#REF!</v>
      </c>
    </row>
    <row r="6" spans="1:5" ht="15.75">
      <c r="B6" s="3144"/>
      <c r="C6" s="1392" t="s">
        <v>911</v>
      </c>
      <c r="D6" s="797" t="e">
        <f ca="1">NUMBERSTRING(INT(D5*10000),2)&amp;"元整"</f>
        <v>#REF!</v>
      </c>
    </row>
    <row r="7" spans="1:5" ht="15.75">
      <c r="B7" s="3149"/>
      <c r="C7" s="1393" t="s">
        <v>912</v>
      </c>
      <c r="D7" s="798" t="e">
        <f ca="1">结果表!H102</f>
        <v>#REF!</v>
      </c>
    </row>
    <row r="8" spans="1:5" ht="15.75">
      <c r="B8" s="3150" t="str">
        <f>结果表!E103</f>
        <v>2.估价师知悉的法定优先受偿款</v>
      </c>
      <c r="C8" s="1394" t="s">
        <v>913</v>
      </c>
      <c r="D8" s="798">
        <f>结果表!H103</f>
        <v>0</v>
      </c>
    </row>
    <row r="9" spans="1:5" ht="15.75">
      <c r="B9" s="315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3" t="str">
        <f>结果表!E107</f>
        <v>3.房地产抵押价值</v>
      </c>
      <c r="C13" s="1397" t="s">
        <v>910</v>
      </c>
      <c r="D13" s="800" t="e">
        <f ca="1">结果表!H107</f>
        <v>#REF!</v>
      </c>
    </row>
    <row r="14" spans="1:5" ht="15.75">
      <c r="B14" s="3144"/>
      <c r="C14" s="1392" t="s">
        <v>911</v>
      </c>
      <c r="D14" s="797" t="e">
        <f ca="1">NUMBERSTRING(INT(D13*10000),2)&amp;"元整"</f>
        <v>#REF!</v>
      </c>
    </row>
    <row r="15" spans="1:5" ht="15">
      <c r="B15" s="3149"/>
      <c r="C15" s="1393" t="s">
        <v>921</v>
      </c>
      <c r="D15" s="806" t="e">
        <f ca="1">结果表!H108</f>
        <v>#REF!</v>
      </c>
    </row>
    <row r="16" spans="1:5" ht="15">
      <c r="B16" s="3150" t="str">
        <f>结果表!E109</f>
        <v>——</v>
      </c>
      <c r="C16" s="1397" t="s">
        <v>922</v>
      </c>
      <c r="D16" s="1398" t="str">
        <f>结果表!H109</f>
        <v>——</v>
      </c>
    </row>
    <row r="17" spans="1:5" ht="15.75">
      <c r="B17" s="3151"/>
      <c r="C17" s="1392" t="s">
        <v>923</v>
      </c>
      <c r="D17" s="797" t="e">
        <f>NUMBERSTRING(INT(D16*10000),2)&amp;"元整"</f>
        <v>#VALUE!</v>
      </c>
    </row>
    <row r="18" spans="1:5" ht="15">
      <c r="B18" s="3152"/>
      <c r="C18" s="1393" t="s">
        <v>912</v>
      </c>
      <c r="D18" s="806" t="str">
        <f>结果表!H110</f>
        <v>——</v>
      </c>
    </row>
    <row r="19" spans="1:5" ht="15.75">
      <c r="B19" s="3143" t="str">
        <f>结果表!E111</f>
        <v>——</v>
      </c>
      <c r="C19" s="1397" t="s">
        <v>910</v>
      </c>
      <c r="D19" s="798" t="str">
        <f>结果表!H111</f>
        <v>——</v>
      </c>
    </row>
    <row r="20" spans="1:5" ht="15.75">
      <c r="B20" s="3144"/>
      <c r="C20" s="1392" t="s">
        <v>923</v>
      </c>
      <c r="D20" s="797" t="e">
        <f>NUMBERSTRING(INT(D19*10000),2)&amp;"元整"</f>
        <v>#VALUE!</v>
      </c>
    </row>
    <row r="21" spans="1:5" ht="15.75" thickBot="1">
      <c r="B21" s="314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454" t="s">
        <v>2610</v>
      </c>
      <c r="B20" s="3447" t="s">
        <v>2631</v>
      </c>
      <c r="C20" s="2840" t="s">
        <v>2442</v>
      </c>
      <c r="D20" s="2841"/>
      <c r="E20" s="2842">
        <v>1</v>
      </c>
      <c r="F20" s="2843" t="s">
        <v>2443</v>
      </c>
      <c r="G20" s="2843"/>
    </row>
    <row r="21" spans="1:13" ht="19.5" customHeight="1">
      <c r="A21" s="3455"/>
      <c r="B21" s="3448"/>
      <c r="C21" s="2844" t="s">
        <v>2444</v>
      </c>
      <c r="D21" s="2845"/>
      <c r="E21" s="2846">
        <v>1</v>
      </c>
      <c r="F21" s="2843" t="s">
        <v>2445</v>
      </c>
      <c r="G21" s="2843"/>
    </row>
    <row r="22" spans="1:13" ht="19.5" customHeight="1">
      <c r="A22" s="3455"/>
      <c r="B22" s="3448"/>
      <c r="C22" s="2844" t="s">
        <v>2446</v>
      </c>
      <c r="D22" s="2845"/>
      <c r="E22" s="2846">
        <v>0.9</v>
      </c>
      <c r="F22" s="2843" t="s">
        <v>2447</v>
      </c>
      <c r="G22" s="2843"/>
    </row>
    <row r="23" spans="1:13" ht="19.5" customHeight="1">
      <c r="A23" s="3455"/>
      <c r="B23" s="3448"/>
      <c r="C23" s="2844" t="s">
        <v>2448</v>
      </c>
      <c r="D23" s="2845"/>
      <c r="E23" s="2846">
        <v>0.9</v>
      </c>
      <c r="F23" s="2843" t="s">
        <v>2449</v>
      </c>
      <c r="G23" s="2843"/>
    </row>
    <row r="24" spans="1:13" ht="19.5" customHeight="1">
      <c r="A24" s="3455"/>
      <c r="B24" s="3448"/>
      <c r="C24" s="2844" t="s">
        <v>2450</v>
      </c>
      <c r="D24" s="2845"/>
      <c r="E24" s="2846">
        <v>0.8</v>
      </c>
      <c r="F24" s="2843" t="s">
        <v>2451</v>
      </c>
      <c r="G24" s="2843"/>
    </row>
    <row r="25" spans="1:13" ht="19.5" customHeight="1" thickBot="1">
      <c r="A25" s="3456"/>
      <c r="B25" s="3449"/>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450" t="s">
        <v>2634</v>
      </c>
      <c r="B27" s="3447" t="s">
        <v>2615</v>
      </c>
      <c r="C27" s="2840" t="s">
        <v>2455</v>
      </c>
      <c r="D27" s="2841"/>
      <c r="E27" s="2842">
        <v>1</v>
      </c>
      <c r="F27" s="2843" t="s">
        <v>2456</v>
      </c>
      <c r="G27" s="2843"/>
    </row>
    <row r="28" spans="1:13" ht="19.5" customHeight="1">
      <c r="A28" s="3451"/>
      <c r="B28" s="3448"/>
      <c r="C28" s="2844" t="s">
        <v>2457</v>
      </c>
      <c r="D28" s="2845"/>
      <c r="E28" s="2846">
        <v>1</v>
      </c>
      <c r="F28" s="2843" t="s">
        <v>2458</v>
      </c>
      <c r="G28" s="2843"/>
    </row>
    <row r="29" spans="1:13" ht="19.5" customHeight="1">
      <c r="A29" s="3451"/>
      <c r="B29" s="3448"/>
      <c r="C29" s="2844" t="s">
        <v>2459</v>
      </c>
      <c r="D29" s="2845"/>
      <c r="E29" s="2846">
        <v>0.8</v>
      </c>
      <c r="F29" s="2843" t="s">
        <v>2460</v>
      </c>
      <c r="G29" s="2843"/>
    </row>
    <row r="30" spans="1:13" ht="19.5" customHeight="1">
      <c r="A30" s="3451"/>
      <c r="B30" s="3448"/>
      <c r="C30" s="2844" t="s">
        <v>2461</v>
      </c>
      <c r="D30" s="2845"/>
      <c r="E30" s="2846">
        <v>0.8</v>
      </c>
      <c r="F30" s="2843" t="s">
        <v>2462</v>
      </c>
      <c r="G30" s="2843"/>
    </row>
    <row r="31" spans="1:13" ht="19.5" customHeight="1">
      <c r="A31" s="3451"/>
      <c r="B31" s="3448"/>
      <c r="C31" s="2844" t="s">
        <v>2463</v>
      </c>
      <c r="D31" s="2845"/>
      <c r="E31" s="2846">
        <v>0.8</v>
      </c>
      <c r="F31" s="2843" t="s">
        <v>2464</v>
      </c>
      <c r="G31" s="2843"/>
    </row>
    <row r="32" spans="1:13" ht="19.5" customHeight="1">
      <c r="A32" s="3451"/>
      <c r="B32" s="3448"/>
      <c r="C32" s="2844" t="s">
        <v>2465</v>
      </c>
      <c r="D32" s="2845"/>
      <c r="E32" s="2846">
        <v>0.7</v>
      </c>
      <c r="F32" s="2843" t="s">
        <v>2466</v>
      </c>
      <c r="G32" s="2843"/>
    </row>
    <row r="33" spans="1:7" ht="19.5" customHeight="1">
      <c r="A33" s="3451"/>
      <c r="B33" s="3448"/>
      <c r="C33" s="2844" t="s">
        <v>2467</v>
      </c>
      <c r="D33" s="2845"/>
      <c r="E33" s="2846">
        <v>0.8</v>
      </c>
      <c r="F33" s="2843" t="s">
        <v>2468</v>
      </c>
      <c r="G33" s="2843"/>
    </row>
    <row r="34" spans="1:7" ht="19.5" customHeight="1">
      <c r="A34" s="3451"/>
      <c r="B34" s="3448"/>
      <c r="C34" s="2844" t="s">
        <v>2469</v>
      </c>
      <c r="D34" s="2845"/>
      <c r="E34" s="2846">
        <v>0.6</v>
      </c>
      <c r="F34" s="2843" t="s">
        <v>2470</v>
      </c>
      <c r="G34" s="2843"/>
    </row>
    <row r="35" spans="1:7" ht="19.5" customHeight="1">
      <c r="A35" s="3451"/>
      <c r="B35" s="3448"/>
      <c r="C35" s="2844" t="s">
        <v>2471</v>
      </c>
      <c r="D35" s="2845"/>
      <c r="E35" s="2846">
        <v>0.2</v>
      </c>
      <c r="F35" s="2843" t="s">
        <v>2472</v>
      </c>
      <c r="G35" s="2843"/>
    </row>
    <row r="36" spans="1:7" ht="19.5" customHeight="1">
      <c r="A36" s="3451"/>
      <c r="B36" s="3448"/>
      <c r="C36" s="2844" t="s">
        <v>2473</v>
      </c>
      <c r="D36" s="2845"/>
      <c r="E36" s="2846">
        <v>0.2</v>
      </c>
      <c r="F36" s="2843" t="s">
        <v>2474</v>
      </c>
      <c r="G36" s="2843"/>
    </row>
    <row r="37" spans="1:7" ht="19.5" customHeight="1">
      <c r="A37" s="3451"/>
      <c r="B37" s="3453" t="s">
        <v>2635</v>
      </c>
      <c r="C37" s="2844" t="s">
        <v>2475</v>
      </c>
      <c r="D37" s="2845"/>
      <c r="E37" s="2846">
        <v>0.6</v>
      </c>
      <c r="F37" s="2843" t="s">
        <v>2476</v>
      </c>
      <c r="G37" s="2843"/>
    </row>
    <row r="38" spans="1:7" ht="19.5" customHeight="1">
      <c r="A38" s="3451"/>
      <c r="B38" s="3448"/>
      <c r="C38" s="2844" t="s">
        <v>2477</v>
      </c>
      <c r="D38" s="2845"/>
      <c r="E38" s="2846">
        <v>0.6</v>
      </c>
      <c r="F38" s="2843" t="s">
        <v>2478</v>
      </c>
      <c r="G38" s="2843"/>
    </row>
    <row r="39" spans="1:7" ht="19.5" customHeight="1" thickBot="1">
      <c r="A39" s="3452"/>
      <c r="B39" s="3449"/>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454" t="s">
        <v>2613</v>
      </c>
      <c r="B41" s="3447" t="s">
        <v>2637</v>
      </c>
      <c r="C41" s="2840" t="s">
        <v>2482</v>
      </c>
      <c r="D41" s="2841"/>
      <c r="E41" s="2842">
        <v>1</v>
      </c>
      <c r="F41" s="2843" t="s">
        <v>2483</v>
      </c>
      <c r="G41" s="2843"/>
    </row>
    <row r="42" spans="1:7" ht="19.5" customHeight="1">
      <c r="A42" s="3455"/>
      <c r="B42" s="3448"/>
      <c r="C42" s="2844" t="s">
        <v>2484</v>
      </c>
      <c r="D42" s="2845"/>
      <c r="E42" s="2846">
        <v>1</v>
      </c>
      <c r="F42" s="2843" t="s">
        <v>2485</v>
      </c>
      <c r="G42" s="2843"/>
    </row>
    <row r="43" spans="1:7" ht="19.5" customHeight="1">
      <c r="A43" s="3455"/>
      <c r="B43" s="3457"/>
      <c r="C43" s="2844" t="s">
        <v>2486</v>
      </c>
      <c r="D43" s="2845"/>
      <c r="E43" s="2846">
        <v>1.5</v>
      </c>
      <c r="F43" s="2843" t="s">
        <v>2487</v>
      </c>
      <c r="G43" s="2843"/>
    </row>
    <row r="44" spans="1:7" ht="19.5" customHeight="1">
      <c r="A44" s="3455"/>
      <c r="B44" s="2855" t="s">
        <v>2638</v>
      </c>
      <c r="C44" s="2844" t="s">
        <v>2639</v>
      </c>
      <c r="D44" s="2845"/>
      <c r="E44" s="2846">
        <v>2</v>
      </c>
      <c r="F44" s="2843" t="s">
        <v>2488</v>
      </c>
      <c r="G44" s="2843"/>
    </row>
    <row r="45" spans="1:7" ht="19.5" customHeight="1">
      <c r="A45" s="3455"/>
      <c r="B45" s="3453" t="s">
        <v>2640</v>
      </c>
      <c r="C45" s="2844" t="s">
        <v>2489</v>
      </c>
      <c r="D45" s="2845"/>
      <c r="E45" s="2846">
        <v>1</v>
      </c>
      <c r="F45" s="2843" t="s">
        <v>2490</v>
      </c>
      <c r="G45" s="2843"/>
    </row>
    <row r="46" spans="1:7" ht="19.5" customHeight="1">
      <c r="A46" s="3455"/>
      <c r="B46" s="3448"/>
      <c r="C46" s="2844" t="s">
        <v>2491</v>
      </c>
      <c r="D46" s="2845"/>
      <c r="E46" s="2846">
        <v>1</v>
      </c>
      <c r="F46" s="2843" t="s">
        <v>2492</v>
      </c>
      <c r="G46" s="2843"/>
    </row>
    <row r="47" spans="1:7" ht="19.5" customHeight="1">
      <c r="A47" s="3455"/>
      <c r="B47" s="3448"/>
      <c r="C47" s="2844" t="s">
        <v>2493</v>
      </c>
      <c r="D47" s="2845"/>
      <c r="E47" s="2846">
        <v>1</v>
      </c>
      <c r="F47" s="2843" t="s">
        <v>2494</v>
      </c>
      <c r="G47" s="2843"/>
    </row>
    <row r="48" spans="1:7" ht="19.5" customHeight="1">
      <c r="A48" s="3455"/>
      <c r="B48" s="3448"/>
      <c r="C48" s="2844" t="s">
        <v>2495</v>
      </c>
      <c r="D48" s="2845"/>
      <c r="E48" s="2846">
        <v>1</v>
      </c>
      <c r="F48" s="2843" t="s">
        <v>2496</v>
      </c>
      <c r="G48" s="2843"/>
    </row>
    <row r="49" spans="1:7" ht="19.5" customHeight="1">
      <c r="A49" s="3455"/>
      <c r="B49" s="3448"/>
      <c r="C49" s="2844" t="s">
        <v>2497</v>
      </c>
      <c r="D49" s="2845"/>
      <c r="E49" s="2846">
        <v>1</v>
      </c>
      <c r="F49" s="2843" t="s">
        <v>2498</v>
      </c>
      <c r="G49" s="2843"/>
    </row>
    <row r="50" spans="1:7" ht="19.5" customHeight="1">
      <c r="A50" s="3455"/>
      <c r="B50" s="3448"/>
      <c r="C50" s="2844" t="s">
        <v>2499</v>
      </c>
      <c r="D50" s="2845"/>
      <c r="E50" s="2846">
        <v>1</v>
      </c>
      <c r="F50" s="2843" t="s">
        <v>2500</v>
      </c>
      <c r="G50" s="2843"/>
    </row>
    <row r="51" spans="1:7" ht="19.5" customHeight="1" thickBot="1">
      <c r="A51" s="3456"/>
      <c r="B51" s="3449"/>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453" t="s">
        <v>2654</v>
      </c>
      <c r="C73" s="2829" t="s">
        <v>2655</v>
      </c>
      <c r="D73" s="2829" t="s">
        <v>2656</v>
      </c>
      <c r="E73" s="2855">
        <v>0.2</v>
      </c>
      <c r="F73" s="2855">
        <v>25</v>
      </c>
    </row>
    <row r="74" spans="1:7" ht="24">
      <c r="A74" s="2855">
        <v>2</v>
      </c>
      <c r="B74" s="3448"/>
      <c r="C74" s="2829" t="s">
        <v>2657</v>
      </c>
      <c r="D74" s="2829" t="s">
        <v>2658</v>
      </c>
      <c r="E74" s="2855">
        <v>0.2</v>
      </c>
      <c r="F74" s="2855">
        <v>25</v>
      </c>
    </row>
    <row r="75" spans="1:7" ht="24">
      <c r="A75" s="2855">
        <v>3</v>
      </c>
      <c r="B75" s="3448"/>
      <c r="C75" s="2829" t="s">
        <v>2659</v>
      </c>
      <c r="D75" s="2829" t="s">
        <v>2660</v>
      </c>
      <c r="E75" s="2855">
        <v>0.2</v>
      </c>
      <c r="F75" s="2855">
        <v>25</v>
      </c>
    </row>
    <row r="76" spans="1:7" ht="13.5">
      <c r="A76" s="2855">
        <v>4</v>
      </c>
      <c r="B76" s="3448"/>
      <c r="C76" s="2829" t="s">
        <v>2661</v>
      </c>
      <c r="D76" s="2829" t="s">
        <v>2662</v>
      </c>
      <c r="E76" s="2855">
        <v>0.15</v>
      </c>
      <c r="F76" s="2855">
        <v>20</v>
      </c>
    </row>
    <row r="77" spans="1:7" ht="24">
      <c r="A77" s="2855">
        <v>5</v>
      </c>
      <c r="B77" s="3448"/>
      <c r="C77" s="2829" t="s">
        <v>2663</v>
      </c>
      <c r="D77" s="2829" t="s">
        <v>2664</v>
      </c>
      <c r="E77" s="2855">
        <v>0.15</v>
      </c>
      <c r="F77" s="2855">
        <v>20</v>
      </c>
    </row>
    <row r="78" spans="1:7" ht="24">
      <c r="A78" s="2855">
        <v>6</v>
      </c>
      <c r="B78" s="3448"/>
      <c r="C78" s="2829" t="s">
        <v>2665</v>
      </c>
      <c r="D78" s="2829" t="s">
        <v>2666</v>
      </c>
      <c r="E78" s="2855">
        <v>0.15</v>
      </c>
      <c r="F78" s="2855">
        <v>20</v>
      </c>
    </row>
    <row r="79" spans="1:7" ht="24">
      <c r="A79" s="2855">
        <v>7</v>
      </c>
      <c r="B79" s="3448"/>
      <c r="C79" s="2829" t="s">
        <v>2667</v>
      </c>
      <c r="D79" s="2829" t="s">
        <v>2668</v>
      </c>
      <c r="E79" s="2855">
        <v>0.15</v>
      </c>
      <c r="F79" s="2855">
        <v>20</v>
      </c>
    </row>
    <row r="80" spans="1:7" ht="24">
      <c r="A80" s="2855">
        <v>8</v>
      </c>
      <c r="B80" s="3448"/>
      <c r="C80" s="2829" t="s">
        <v>2669</v>
      </c>
      <c r="D80" s="2829" t="s">
        <v>2670</v>
      </c>
      <c r="E80" s="2855">
        <v>0.1</v>
      </c>
      <c r="F80" s="2855">
        <v>15</v>
      </c>
    </row>
    <row r="81" spans="1:6" ht="24">
      <c r="A81" s="2855">
        <v>9</v>
      </c>
      <c r="B81" s="3448"/>
      <c r="C81" s="2829" t="s">
        <v>2671</v>
      </c>
      <c r="D81" s="2829" t="s">
        <v>2672</v>
      </c>
      <c r="E81" s="2855">
        <v>0.1</v>
      </c>
      <c r="F81" s="2855">
        <v>15</v>
      </c>
    </row>
    <row r="82" spans="1:6" ht="24">
      <c r="A82" s="2855">
        <v>10</v>
      </c>
      <c r="B82" s="3448"/>
      <c r="C82" s="2829" t="s">
        <v>2673</v>
      </c>
      <c r="D82" s="2829" t="s">
        <v>2674</v>
      </c>
      <c r="E82" s="2855">
        <v>0.1</v>
      </c>
      <c r="F82" s="2855">
        <v>15</v>
      </c>
    </row>
    <row r="83" spans="1:6" ht="24">
      <c r="A83" s="2855">
        <v>11</v>
      </c>
      <c r="B83" s="3448"/>
      <c r="C83" s="2829" t="s">
        <v>2675</v>
      </c>
      <c r="D83" s="2829" t="s">
        <v>2676</v>
      </c>
      <c r="E83" s="2855">
        <v>0.1</v>
      </c>
      <c r="F83" s="2855">
        <v>15</v>
      </c>
    </row>
    <row r="84" spans="1:6" ht="24">
      <c r="A84" s="2855">
        <v>12</v>
      </c>
      <c r="B84" s="3448"/>
      <c r="C84" s="2829" t="s">
        <v>2677</v>
      </c>
      <c r="D84" s="2829" t="s">
        <v>2678</v>
      </c>
      <c r="E84" s="2855">
        <v>0.1</v>
      </c>
      <c r="F84" s="2855">
        <v>15</v>
      </c>
    </row>
    <row r="85" spans="1:6" ht="13.5">
      <c r="A85" s="2855">
        <v>13</v>
      </c>
      <c r="B85" s="3448"/>
      <c r="C85" s="2829" t="s">
        <v>2679</v>
      </c>
      <c r="D85" s="2829" t="s">
        <v>2680</v>
      </c>
      <c r="E85" s="2855">
        <v>0.1</v>
      </c>
      <c r="F85" s="2855">
        <v>15</v>
      </c>
    </row>
    <row r="86" spans="1:6" ht="13.5">
      <c r="A86" s="2855">
        <v>14</v>
      </c>
      <c r="B86" s="3448"/>
      <c r="C86" s="2829" t="s">
        <v>2681</v>
      </c>
      <c r="D86" s="2829" t="s">
        <v>2682</v>
      </c>
      <c r="E86" s="2855">
        <v>0.1</v>
      </c>
      <c r="F86" s="2855">
        <v>15</v>
      </c>
    </row>
    <row r="87" spans="1:6" ht="13.5">
      <c r="A87" s="2855">
        <v>15</v>
      </c>
      <c r="B87" s="3448"/>
      <c r="C87" s="2829" t="s">
        <v>2683</v>
      </c>
      <c r="D87" s="2829" t="s">
        <v>2684</v>
      </c>
      <c r="E87" s="2855">
        <v>0.1</v>
      </c>
      <c r="F87" s="2855">
        <v>15</v>
      </c>
    </row>
    <row r="88" spans="1:6" ht="24">
      <c r="A88" s="2855">
        <v>16</v>
      </c>
      <c r="B88" s="3448"/>
      <c r="C88" s="2829" t="s">
        <v>2685</v>
      </c>
      <c r="D88" s="2829" t="s">
        <v>2686</v>
      </c>
      <c r="E88" s="2855">
        <v>0.1</v>
      </c>
      <c r="F88" s="2855">
        <v>15</v>
      </c>
    </row>
    <row r="89" spans="1:6" ht="24">
      <c r="A89" s="2855">
        <v>17</v>
      </c>
      <c r="B89" s="3457"/>
      <c r="C89" s="2829" t="s">
        <v>2687</v>
      </c>
      <c r="D89" s="2829" t="s">
        <v>2688</v>
      </c>
      <c r="E89" s="2855">
        <v>0.1</v>
      </c>
      <c r="F89" s="2855">
        <v>15</v>
      </c>
    </row>
    <row r="90" spans="1:6" ht="13.5">
      <c r="A90" s="2855">
        <v>18</v>
      </c>
      <c r="B90" s="3453" t="s">
        <v>2689</v>
      </c>
      <c r="C90" s="2829" t="s">
        <v>2690</v>
      </c>
      <c r="D90" s="2829" t="s">
        <v>2691</v>
      </c>
      <c r="E90" s="2855">
        <v>0.2</v>
      </c>
      <c r="F90" s="2855">
        <v>25</v>
      </c>
    </row>
    <row r="91" spans="1:6" ht="24">
      <c r="A91" s="2855">
        <v>19</v>
      </c>
      <c r="B91" s="3448"/>
      <c r="C91" s="2829" t="s">
        <v>2692</v>
      </c>
      <c r="D91" s="2829" t="s">
        <v>2693</v>
      </c>
      <c r="E91" s="2855">
        <v>0.2</v>
      </c>
      <c r="F91" s="2855">
        <v>25</v>
      </c>
    </row>
    <row r="92" spans="1:6" ht="13.5">
      <c r="A92" s="2855">
        <v>20</v>
      </c>
      <c r="B92" s="3448"/>
      <c r="C92" s="2829" t="s">
        <v>2694</v>
      </c>
      <c r="D92" s="2829" t="s">
        <v>2695</v>
      </c>
      <c r="E92" s="2855">
        <v>0.15</v>
      </c>
      <c r="F92" s="2855">
        <v>20</v>
      </c>
    </row>
    <row r="93" spans="1:6" ht="13.5">
      <c r="A93" s="2855">
        <v>21</v>
      </c>
      <c r="B93" s="3448"/>
      <c r="C93" s="2829" t="s">
        <v>2696</v>
      </c>
      <c r="D93" s="2829" t="s">
        <v>2697</v>
      </c>
      <c r="E93" s="2855">
        <v>0.15</v>
      </c>
      <c r="F93" s="2855">
        <v>20</v>
      </c>
    </row>
    <row r="94" spans="1:6" ht="13.5">
      <c r="A94" s="2855">
        <v>22</v>
      </c>
      <c r="B94" s="3448"/>
      <c r="C94" s="2829" t="s">
        <v>2698</v>
      </c>
      <c r="D94" s="2829" t="s">
        <v>2699</v>
      </c>
      <c r="E94" s="2855">
        <v>0.15</v>
      </c>
      <c r="F94" s="2855">
        <v>20</v>
      </c>
    </row>
    <row r="95" spans="1:6" ht="36">
      <c r="A95" s="2855">
        <v>23</v>
      </c>
      <c r="B95" s="3448"/>
      <c r="C95" s="2829" t="s">
        <v>2700</v>
      </c>
      <c r="D95" s="2829" t="s">
        <v>2701</v>
      </c>
      <c r="E95" s="2855">
        <v>0.15</v>
      </c>
      <c r="F95" s="2855">
        <v>20</v>
      </c>
    </row>
    <row r="96" spans="1:6" ht="13.5">
      <c r="A96" s="2855">
        <v>24</v>
      </c>
      <c r="B96" s="3448"/>
      <c r="C96" s="2829" t="s">
        <v>2702</v>
      </c>
      <c r="D96" s="2829" t="s">
        <v>2703</v>
      </c>
      <c r="E96" s="2855">
        <v>0.1</v>
      </c>
      <c r="F96" s="2855">
        <v>15</v>
      </c>
    </row>
    <row r="97" spans="1:6" ht="13.5">
      <c r="A97" s="2855">
        <v>25</v>
      </c>
      <c r="B97" s="3448"/>
      <c r="C97" s="2829" t="s">
        <v>2704</v>
      </c>
      <c r="D97" s="2829" t="s">
        <v>2705</v>
      </c>
      <c r="E97" s="2855">
        <v>0.1</v>
      </c>
      <c r="F97" s="2855">
        <v>15</v>
      </c>
    </row>
    <row r="98" spans="1:6" ht="24">
      <c r="A98" s="2855">
        <v>26</v>
      </c>
      <c r="B98" s="3448"/>
      <c r="C98" s="2829" t="s">
        <v>2706</v>
      </c>
      <c r="D98" s="2829" t="s">
        <v>2707</v>
      </c>
      <c r="E98" s="2855">
        <v>0.1</v>
      </c>
      <c r="F98" s="2855">
        <v>15</v>
      </c>
    </row>
    <row r="99" spans="1:6" ht="24">
      <c r="A99" s="2855">
        <v>27</v>
      </c>
      <c r="B99" s="3448"/>
      <c r="C99" s="2829" t="s">
        <v>2708</v>
      </c>
      <c r="D99" s="2829" t="s">
        <v>2709</v>
      </c>
      <c r="E99" s="2855">
        <v>0.1</v>
      </c>
      <c r="F99" s="2855">
        <v>15</v>
      </c>
    </row>
    <row r="100" spans="1:6" ht="13.5">
      <c r="A100" s="2855">
        <v>28</v>
      </c>
      <c r="B100" s="3448"/>
      <c r="C100" s="2829" t="s">
        <v>2710</v>
      </c>
      <c r="D100" s="2829" t="s">
        <v>2711</v>
      </c>
      <c r="E100" s="2855">
        <v>0.1</v>
      </c>
      <c r="F100" s="2855">
        <v>15</v>
      </c>
    </row>
    <row r="101" spans="1:6" ht="13.5">
      <c r="A101" s="2855">
        <v>29</v>
      </c>
      <c r="B101" s="3448"/>
      <c r="C101" s="2829" t="s">
        <v>2712</v>
      </c>
      <c r="D101" s="2829" t="s">
        <v>2713</v>
      </c>
      <c r="E101" s="2855">
        <v>0.1</v>
      </c>
      <c r="F101" s="2855">
        <v>15</v>
      </c>
    </row>
    <row r="102" spans="1:6" ht="13.5">
      <c r="A102" s="2855">
        <v>30</v>
      </c>
      <c r="B102" s="3448"/>
      <c r="C102" s="2829" t="s">
        <v>2714</v>
      </c>
      <c r="D102" s="2829" t="s">
        <v>2715</v>
      </c>
      <c r="E102" s="2855">
        <v>0.1</v>
      </c>
      <c r="F102" s="2855">
        <v>15</v>
      </c>
    </row>
    <row r="103" spans="1:6" ht="24">
      <c r="A103" s="2855">
        <v>31</v>
      </c>
      <c r="B103" s="3448"/>
      <c r="C103" s="2829" t="s">
        <v>2716</v>
      </c>
      <c r="D103" s="2829" t="s">
        <v>2717</v>
      </c>
      <c r="E103" s="2855">
        <v>0.1</v>
      </c>
      <c r="F103" s="2855">
        <v>15</v>
      </c>
    </row>
    <row r="104" spans="1:6" ht="24">
      <c r="A104" s="2855">
        <v>32</v>
      </c>
      <c r="B104" s="3448"/>
      <c r="C104" s="2829" t="s">
        <v>2718</v>
      </c>
      <c r="D104" s="2829" t="s">
        <v>2719</v>
      </c>
      <c r="E104" s="2855">
        <v>0.1</v>
      </c>
      <c r="F104" s="2855">
        <v>15</v>
      </c>
    </row>
    <row r="105" spans="1:6" ht="24">
      <c r="A105" s="2855">
        <v>33</v>
      </c>
      <c r="B105" s="3448"/>
      <c r="C105" s="2829" t="s">
        <v>2720</v>
      </c>
      <c r="D105" s="2829" t="s">
        <v>2721</v>
      </c>
      <c r="E105" s="2855">
        <v>0.1</v>
      </c>
      <c r="F105" s="2855">
        <v>15</v>
      </c>
    </row>
    <row r="106" spans="1:6" ht="24">
      <c r="A106" s="2855">
        <v>34</v>
      </c>
      <c r="B106" s="3457"/>
      <c r="C106" s="2829" t="s">
        <v>2722</v>
      </c>
      <c r="D106" s="2829" t="s">
        <v>2723</v>
      </c>
      <c r="E106" s="2855">
        <v>0.1</v>
      </c>
      <c r="F106" s="2855">
        <v>15</v>
      </c>
    </row>
    <row r="107" spans="1:6" ht="24">
      <c r="A107" s="2855">
        <v>35</v>
      </c>
      <c r="B107" s="3453" t="s">
        <v>2724</v>
      </c>
      <c r="C107" s="2855" t="s">
        <v>2725</v>
      </c>
      <c r="D107" s="2829" t="s">
        <v>2726</v>
      </c>
      <c r="E107" s="2855">
        <v>0.15</v>
      </c>
      <c r="F107" s="2855">
        <v>20</v>
      </c>
    </row>
    <row r="108" spans="1:6" ht="13.5">
      <c r="A108" s="2855">
        <v>36</v>
      </c>
      <c r="B108" s="3448"/>
      <c r="C108" s="2855" t="s">
        <v>2727</v>
      </c>
      <c r="D108" s="2829" t="s">
        <v>2728</v>
      </c>
      <c r="E108" s="2855">
        <v>0.15</v>
      </c>
      <c r="F108" s="2855">
        <v>20</v>
      </c>
    </row>
    <row r="109" spans="1:6" ht="13.5">
      <c r="A109" s="2855">
        <v>37</v>
      </c>
      <c r="B109" s="3448"/>
      <c r="C109" s="2855" t="s">
        <v>2729</v>
      </c>
      <c r="D109" s="2829" t="s">
        <v>2730</v>
      </c>
      <c r="E109" s="2855">
        <v>0.15</v>
      </c>
      <c r="F109" s="2855">
        <v>20</v>
      </c>
    </row>
    <row r="110" spans="1:6" ht="13.5">
      <c r="A110" s="2855">
        <v>38</v>
      </c>
      <c r="B110" s="3448"/>
      <c r="C110" s="2855" t="s">
        <v>2731</v>
      </c>
      <c r="D110" s="2829" t="s">
        <v>2732</v>
      </c>
      <c r="E110" s="2855">
        <v>0.1</v>
      </c>
      <c r="F110" s="2855">
        <v>15</v>
      </c>
    </row>
    <row r="111" spans="1:6" ht="24">
      <c r="A111" s="2855">
        <v>39</v>
      </c>
      <c r="B111" s="3448"/>
      <c r="C111" s="2855" t="s">
        <v>2733</v>
      </c>
      <c r="D111" s="2829" t="s">
        <v>2734</v>
      </c>
      <c r="E111" s="2855">
        <v>0.1</v>
      </c>
      <c r="F111" s="2855">
        <v>15</v>
      </c>
    </row>
    <row r="112" spans="1:6" ht="24">
      <c r="A112" s="2855">
        <v>40</v>
      </c>
      <c r="B112" s="3457"/>
      <c r="C112" s="2855" t="s">
        <v>2735</v>
      </c>
      <c r="D112" s="2829" t="s">
        <v>2736</v>
      </c>
      <c r="E112" s="2855">
        <v>0.1</v>
      </c>
      <c r="F112" s="2855">
        <v>15</v>
      </c>
    </row>
    <row r="113" spans="1:6" ht="13.5">
      <c r="A113" s="2855">
        <v>41</v>
      </c>
      <c r="B113" s="3458" t="s">
        <v>2737</v>
      </c>
      <c r="C113" s="2855" t="s">
        <v>2738</v>
      </c>
      <c r="D113" s="2829" t="s">
        <v>2739</v>
      </c>
      <c r="E113" s="2855">
        <v>0.1</v>
      </c>
      <c r="F113" s="2855">
        <v>15</v>
      </c>
    </row>
    <row r="114" spans="1:6" ht="13.5">
      <c r="A114" s="2855">
        <v>42</v>
      </c>
      <c r="B114" s="3458"/>
      <c r="C114" s="2855" t="s">
        <v>2740</v>
      </c>
      <c r="D114" s="2829" t="s">
        <v>2741</v>
      </c>
      <c r="E114" s="2855">
        <v>0.1</v>
      </c>
      <c r="F114" s="2855">
        <v>15</v>
      </c>
    </row>
    <row r="115" spans="1:6" ht="24">
      <c r="A115" s="2855">
        <v>43</v>
      </c>
      <c r="B115" s="3458"/>
      <c r="C115" s="2855" t="s">
        <v>2742</v>
      </c>
      <c r="D115" s="2829" t="s">
        <v>2743</v>
      </c>
      <c r="E115" s="2855">
        <v>0.1</v>
      </c>
      <c r="F115" s="2855">
        <v>15</v>
      </c>
    </row>
    <row r="116" spans="1:6" ht="13.5">
      <c r="A116" s="2855">
        <v>44</v>
      </c>
      <c r="B116" s="3453" t="s">
        <v>2744</v>
      </c>
      <c r="C116" s="2855" t="s">
        <v>2745</v>
      </c>
      <c r="D116" s="2829" t="s">
        <v>2746</v>
      </c>
      <c r="E116" s="2855">
        <v>0.1</v>
      </c>
      <c r="F116" s="2855">
        <v>15</v>
      </c>
    </row>
    <row r="117" spans="1:6" ht="24">
      <c r="A117" s="2855">
        <v>45</v>
      </c>
      <c r="B117" s="3457"/>
      <c r="C117" s="2829" t="s">
        <v>2747</v>
      </c>
      <c r="D117" s="2829" t="s">
        <v>2748</v>
      </c>
      <c r="E117" s="2855">
        <v>0.1</v>
      </c>
      <c r="F117" s="2855">
        <v>15</v>
      </c>
    </row>
    <row r="118" spans="1:6" ht="24">
      <c r="A118" s="2855">
        <v>46</v>
      </c>
      <c r="B118" s="3453" t="s">
        <v>2749</v>
      </c>
      <c r="C118" s="2855" t="s">
        <v>2750</v>
      </c>
      <c r="D118" s="2829" t="s">
        <v>2751</v>
      </c>
      <c r="E118" s="2855">
        <v>0.1</v>
      </c>
      <c r="F118" s="2855">
        <v>15</v>
      </c>
    </row>
    <row r="119" spans="1:6" ht="24">
      <c r="A119" s="2855">
        <v>47</v>
      </c>
      <c r="B119" s="3457"/>
      <c r="C119" s="2855" t="s">
        <v>2752</v>
      </c>
      <c r="D119" s="2829" t="s">
        <v>2753</v>
      </c>
      <c r="E119" s="2855">
        <v>0.1</v>
      </c>
      <c r="F119" s="2855">
        <v>15</v>
      </c>
    </row>
    <row r="120" spans="1:6" ht="13.5">
      <c r="A120" s="2855">
        <v>48</v>
      </c>
      <c r="B120" s="3453" t="s">
        <v>2754</v>
      </c>
      <c r="C120" s="2855" t="s">
        <v>2755</v>
      </c>
      <c r="D120" s="2829" t="s">
        <v>2756</v>
      </c>
      <c r="E120" s="2855">
        <v>0.1</v>
      </c>
      <c r="F120" s="2855">
        <v>15</v>
      </c>
    </row>
    <row r="121" spans="1:6" ht="13.5">
      <c r="A121" s="2855">
        <v>49</v>
      </c>
      <c r="B121" s="3457"/>
      <c r="C121" s="2855" t="s">
        <v>2757</v>
      </c>
      <c r="D121" s="2829" t="s">
        <v>2758</v>
      </c>
      <c r="E121" s="2855">
        <v>0.1</v>
      </c>
      <c r="F121" s="2855">
        <v>15</v>
      </c>
    </row>
    <row r="122" spans="1:6" ht="24">
      <c r="A122" s="2855">
        <v>50</v>
      </c>
      <c r="B122" s="3458" t="s">
        <v>2759</v>
      </c>
      <c r="C122" s="2855" t="s">
        <v>2760</v>
      </c>
      <c r="D122" s="2829" t="s">
        <v>2761</v>
      </c>
      <c r="E122" s="2855">
        <v>0.1</v>
      </c>
      <c r="F122" s="2855">
        <v>15</v>
      </c>
    </row>
    <row r="123" spans="1:6" ht="24">
      <c r="A123" s="2855">
        <v>51</v>
      </c>
      <c r="B123" s="3458"/>
      <c r="C123" s="2855" t="s">
        <v>2762</v>
      </c>
      <c r="D123" s="2829" t="s">
        <v>2763</v>
      </c>
      <c r="E123" s="2855">
        <v>0.1</v>
      </c>
      <c r="F123" s="2855">
        <v>15</v>
      </c>
    </row>
    <row r="124" spans="1:6" ht="24">
      <c r="A124" s="2855">
        <v>52</v>
      </c>
      <c r="B124" s="3458" t="s">
        <v>2764</v>
      </c>
      <c r="C124" s="2855" t="s">
        <v>2765</v>
      </c>
      <c r="D124" s="2829" t="s">
        <v>2766</v>
      </c>
      <c r="E124" s="2855">
        <v>0.1</v>
      </c>
      <c r="F124" s="2855">
        <v>15</v>
      </c>
    </row>
    <row r="125" spans="1:6" ht="24">
      <c r="A125" s="2855">
        <v>53</v>
      </c>
      <c r="B125" s="3458"/>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458" t="s">
        <v>2772</v>
      </c>
      <c r="C127" s="2855" t="s">
        <v>2773</v>
      </c>
      <c r="D127" s="2829" t="s">
        <v>2774</v>
      </c>
      <c r="E127" s="2855">
        <v>0.1</v>
      </c>
      <c r="F127" s="2855">
        <v>15</v>
      </c>
    </row>
    <row r="128" spans="1:6" ht="13.5">
      <c r="A128" s="2855">
        <v>56</v>
      </c>
      <c r="B128" s="3458"/>
      <c r="C128" s="2855" t="s">
        <v>2775</v>
      </c>
      <c r="D128" s="2829" t="s">
        <v>2776</v>
      </c>
      <c r="E128" s="2855">
        <v>0.1</v>
      </c>
      <c r="F128" s="2855">
        <v>15</v>
      </c>
    </row>
    <row r="129" spans="1:6" ht="24">
      <c r="A129" s="2855">
        <v>57</v>
      </c>
      <c r="B129" s="3458"/>
      <c r="C129" s="2855" t="s">
        <v>2777</v>
      </c>
      <c r="D129" s="2829" t="s">
        <v>2778</v>
      </c>
      <c r="E129" s="2855">
        <v>0.1</v>
      </c>
      <c r="F129" s="2855">
        <v>15</v>
      </c>
    </row>
    <row r="130" spans="1:6" ht="24">
      <c r="A130" s="2855">
        <v>58</v>
      </c>
      <c r="B130" s="3458" t="s">
        <v>2779</v>
      </c>
      <c r="C130" s="2855" t="s">
        <v>2780</v>
      </c>
      <c r="D130" s="2829" t="s">
        <v>2781</v>
      </c>
      <c r="E130" s="2855">
        <v>0.1</v>
      </c>
      <c r="F130" s="2855">
        <v>15</v>
      </c>
    </row>
    <row r="131" spans="1:6" ht="13.5">
      <c r="A131" s="2855">
        <v>59</v>
      </c>
      <c r="B131" s="3458"/>
      <c r="C131" s="2855" t="s">
        <v>2782</v>
      </c>
      <c r="D131" s="2829" t="s">
        <v>2783</v>
      </c>
      <c r="E131" s="2855">
        <v>0.1</v>
      </c>
      <c r="F131" s="2855">
        <v>15</v>
      </c>
    </row>
    <row r="132" spans="1:6" ht="13.5">
      <c r="A132" s="2855">
        <v>60</v>
      </c>
      <c r="B132" s="3453" t="s">
        <v>2784</v>
      </c>
      <c r="C132" s="2855" t="s">
        <v>2785</v>
      </c>
      <c r="D132" s="2829" t="s">
        <v>2786</v>
      </c>
      <c r="E132" s="2855">
        <v>0.1</v>
      </c>
      <c r="F132" s="2855">
        <v>15</v>
      </c>
    </row>
    <row r="133" spans="1:6" ht="13.5">
      <c r="A133" s="2855">
        <v>61</v>
      </c>
      <c r="B133" s="3457"/>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458" t="s">
        <v>2792</v>
      </c>
      <c r="C135" s="2855" t="s">
        <v>2793</v>
      </c>
      <c r="D135" s="2829" t="s">
        <v>2794</v>
      </c>
      <c r="E135" s="2855">
        <v>0.1</v>
      </c>
      <c r="F135" s="2855">
        <v>15</v>
      </c>
    </row>
    <row r="136" spans="1:6" ht="13.5">
      <c r="A136" s="2855">
        <v>64</v>
      </c>
      <c r="B136" s="3458"/>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27794</v>
      </c>
      <c r="C2" s="2" t="s">
        <v>106</v>
      </c>
      <c r="D2" s="191"/>
      <c r="E2" s="191"/>
      <c r="F2" s="191"/>
      <c r="G2" s="191"/>
    </row>
    <row r="3" spans="1:7" s="192" customFormat="1" ht="18" customHeight="1" thickBot="1">
      <c r="A3" s="195" t="s">
        <v>58</v>
      </c>
      <c r="B3" s="196">
        <f ca="1">ROUND(B2*10000/'数据-汇总表'!E3,0)</f>
        <v>3882928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71.58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71.58</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2014</v>
      </c>
      <c r="D22" s="227">
        <f ca="1">C26</f>
        <v>5.0000000000000001E-4</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71.58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24" t="s">
        <v>94</v>
      </c>
    </row>
    <row r="43" spans="1:7" ht="13.5" customHeight="1">
      <c r="A43" s="734" t="s">
        <v>347</v>
      </c>
      <c r="B43" s="207" t="s">
        <v>426</v>
      </c>
      <c r="C43" s="230">
        <f ca="1">ROUND(IF('数据-取费表'!B22&lt;=1,C39*F22*'数据-取费表'!B21/2,C39*(POWER((1+F22),'数据-取费表'!B21/2)-1)),0)</f>
        <v>0</v>
      </c>
      <c r="D43" s="230"/>
      <c r="E43" s="230"/>
      <c r="F43" s="231"/>
      <c r="G43" s="3325"/>
    </row>
    <row r="44" spans="1:7" ht="13.5" customHeight="1">
      <c r="A44" s="734" t="s">
        <v>348</v>
      </c>
      <c r="B44" s="207" t="s">
        <v>428</v>
      </c>
      <c r="C44" s="230">
        <f ca="1">ROUND(IF('数据-取费表'!B22&lt;=1,C40*F22*'数据-取费表'!B21/2,C40*(POWER((1+F22),'数据-取费表'!B21/2)-1)),4)</f>
        <v>5.0000000000000001E-4</v>
      </c>
      <c r="D44" s="230"/>
      <c r="E44" s="230"/>
      <c r="F44" s="231"/>
      <c r="G44" s="3326"/>
    </row>
    <row r="45" spans="1:7" s="206" customFormat="1" ht="13.5" customHeight="1">
      <c r="A45" s="731" t="s">
        <v>341</v>
      </c>
      <c r="B45" s="236" t="s">
        <v>85</v>
      </c>
      <c r="C45" s="237">
        <f>C46</f>
        <v>4</v>
      </c>
      <c r="D45" s="227">
        <f>C47</f>
        <v>1.5E-3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35</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26</v>
      </c>
      <c r="D51" s="224"/>
      <c r="E51" s="224"/>
      <c r="F51" s="256"/>
      <c r="G51" s="226" t="s">
        <v>37</v>
      </c>
    </row>
    <row r="52" spans="1:7" s="200" customFormat="1" ht="16.5" thickBot="1">
      <c r="A52" s="257" t="s">
        <v>38</v>
      </c>
      <c r="B52" s="258"/>
      <c r="C52" s="259">
        <f ca="1">C31+C51</f>
        <v>27794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61" t="s">
        <v>2842</v>
      </c>
      <c r="B1" s="3461"/>
      <c r="C1" s="3461"/>
      <c r="D1" s="3461"/>
      <c r="E1" s="3461"/>
      <c r="F1" s="3461"/>
      <c r="G1" s="3462"/>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459"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460"/>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63" t="s">
        <v>3184</v>
      </c>
      <c r="B1" s="3463"/>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ht="14.25">
      <c r="A1" s="3464" t="s">
        <v>3235</v>
      </c>
      <c r="B1" s="3464"/>
      <c r="C1" s="3464"/>
      <c r="D1" s="3464"/>
      <c r="E1" s="3464"/>
      <c r="F1" s="3465"/>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44896</v>
      </c>
      <c r="B1" s="2927" t="s">
        <v>3374</v>
      </c>
      <c r="C1" s="2928"/>
      <c r="D1" s="2928"/>
      <c r="E1" s="2928"/>
      <c r="F1" s="2928"/>
      <c r="G1" s="2928"/>
      <c r="H1" s="2928"/>
      <c r="I1" s="2928"/>
      <c r="J1" s="2894"/>
      <c r="K1" s="2928" t="s">
        <v>454</v>
      </c>
      <c r="L1" s="2928"/>
      <c r="M1" s="2928"/>
      <c r="N1" s="2928"/>
      <c r="O1" s="2928"/>
      <c r="P1" s="2928"/>
      <c r="Q1" s="2894"/>
      <c r="R1" s="3466" t="s">
        <v>456</v>
      </c>
      <c r="S1" s="3467"/>
      <c r="T1" s="3467"/>
      <c r="U1" s="3467"/>
      <c r="V1" s="3467"/>
      <c r="W1" s="3467"/>
      <c r="X1" s="2894"/>
      <c r="Y1" s="3466" t="s">
        <v>457</v>
      </c>
      <c r="Z1" s="3467"/>
      <c r="AA1" s="3467"/>
      <c r="AB1" s="3467"/>
      <c r="AC1" s="3467"/>
      <c r="AD1" s="3467"/>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3377</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3378</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2.75">
      <c r="A8" s="2903" t="s">
        <v>3380</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2.75">
      <c r="A9" s="2903" t="s">
        <v>3373</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5" t="s">
        <v>2828</v>
      </c>
    </row>
    <row r="23" spans="1:30" s="2006" customFormat="1" ht="12.75">
      <c r="B23" s="2927" t="s">
        <v>3375</v>
      </c>
      <c r="C23" s="2928"/>
      <c r="D23" s="2928"/>
      <c r="E23" s="2928"/>
      <c r="F23" s="2928"/>
      <c r="G23" s="2928"/>
      <c r="H23" s="2928"/>
      <c r="I23" s="2928"/>
      <c r="J23" s="2894"/>
      <c r="K23" s="2928" t="s">
        <v>2829</v>
      </c>
      <c r="L23" s="2928"/>
      <c r="M23" s="2928"/>
      <c r="N23" s="2928"/>
      <c r="O23" s="2928"/>
      <c r="P23" s="2928"/>
      <c r="Q23" s="2894"/>
      <c r="R23" s="3466" t="s">
        <v>2830</v>
      </c>
      <c r="S23" s="3467"/>
      <c r="T23" s="3467"/>
      <c r="U23" s="3467"/>
      <c r="V23" s="3467"/>
      <c r="W23" s="3467"/>
      <c r="X23" s="2894"/>
      <c r="Y23" s="3466" t="s">
        <v>2831</v>
      </c>
      <c r="Z23" s="3467"/>
      <c r="AA23" s="3467"/>
      <c r="AB23" s="3467"/>
      <c r="AC23" s="3467"/>
      <c r="AD23" s="3467"/>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3377</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3378</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2.75">
      <c r="A30" s="2903" t="s">
        <v>3380</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2.75">
      <c r="A31" s="2903" t="s">
        <v>3376</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6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6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6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47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47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6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6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47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47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6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6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47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6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6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6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47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6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6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6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47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47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47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47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47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6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6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6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47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6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6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6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47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6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6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6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47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6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6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6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47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6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6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6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47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6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6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6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47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6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6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6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47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6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6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6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47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6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6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6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47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6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6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6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47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6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6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6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47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44896</v>
      </c>
      <c r="D1" s="1217" t="s">
        <v>603</v>
      </c>
      <c r="E1" s="1212">
        <f>'数据-取费表'!B22</f>
        <v>2</v>
      </c>
      <c r="F1" s="1217" t="s">
        <v>604</v>
      </c>
      <c r="G1" s="1213">
        <f ca="1">INDIRECT("d"&amp;$K$1)/100</f>
        <v>3.6499999999999998E-2</v>
      </c>
      <c r="H1" s="1217" t="s">
        <v>634</v>
      </c>
      <c r="I1" s="1213">
        <f ca="1">F4/100</f>
        <v>1.4999999999999999E-2</v>
      </c>
      <c r="J1" s="1218">
        <f>IF(C1&gt;C13,0,MATCH(C1,C$13:C$111,-1))+IF(SUMIF(C13:C111,C1,D13:D111)=0,13,12)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928</v>
      </c>
      <c r="B2" s="3154" t="s">
        <v>929</v>
      </c>
      <c r="C2" s="3154" t="s">
        <v>930</v>
      </c>
      <c r="D2" s="3154" t="str">
        <f>结果表!D116</f>
        <v>出让国有建设用地使用权价值</v>
      </c>
      <c r="E2" s="3154"/>
      <c r="F2" s="3154" t="str">
        <f>结果表!F116</f>
        <v>在建建筑物价值</v>
      </c>
      <c r="G2" s="3154"/>
      <c r="H2" s="3154" t="str">
        <f>IF(项目基本情况!B9="房地产市场价值","房地产市场价值","房地产价值")</f>
        <v>房地产价值</v>
      </c>
      <c r="I2" s="3154"/>
    </row>
    <row r="3" spans="1:9" ht="15">
      <c r="A3" s="3155"/>
      <c r="B3" s="3155"/>
      <c r="C3" s="3155"/>
      <c r="D3" s="801" t="s">
        <v>925</v>
      </c>
      <c r="E3" s="801" t="s">
        <v>931</v>
      </c>
      <c r="F3" s="801" t="s">
        <v>925</v>
      </c>
      <c r="G3" s="801" t="s">
        <v>926</v>
      </c>
      <c r="H3" s="801" t="s">
        <v>925</v>
      </c>
      <c r="I3" s="801" t="s">
        <v>926</v>
      </c>
    </row>
    <row r="4" spans="1:9" ht="15">
      <c r="A4" s="1403" t="str">
        <f>项目基本情况!S2</f>
        <v>房地产</v>
      </c>
      <c r="B4" s="801">
        <f>项目基本情况!C17</f>
        <v>71.58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5" t="s">
        <v>927</v>
      </c>
      <c r="B5" s="3155"/>
      <c r="C5" s="3155"/>
      <c r="D5" s="3155" t="e">
        <f ca="1">结果表!D119</f>
        <v>#REF!</v>
      </c>
      <c r="E5" s="3155"/>
      <c r="F5" s="3155" t="e">
        <f ca="1">结果表!F119</f>
        <v>#REF!</v>
      </c>
      <c r="G5" s="3155"/>
      <c r="H5" s="3155" t="e">
        <f ca="1">结果表!H119</f>
        <v>#REF!</v>
      </c>
      <c r="I5" s="3155"/>
    </row>
    <row r="6" spans="1:9" ht="15.75">
      <c r="A6" s="3156" t="str">
        <f>结果表!A120</f>
        <v>估价师知悉的法定优先受偿款</v>
      </c>
      <c r="B6" s="3156"/>
      <c r="C6" s="3156"/>
      <c r="D6" s="3156">
        <f>结果表!D120</f>
        <v>0</v>
      </c>
      <c r="E6" s="3156"/>
      <c r="F6" s="3156"/>
      <c r="G6" s="3156"/>
      <c r="H6" s="3156"/>
      <c r="I6" s="3156"/>
    </row>
    <row r="7" spans="1:9" ht="15">
      <c r="A7" s="3155" t="s">
        <v>927</v>
      </c>
      <c r="B7" s="3155"/>
      <c r="C7" s="3155"/>
      <c r="D7" s="3157" t="str">
        <f>结果表!D121</f>
        <v>零元整</v>
      </c>
      <c r="E7" s="3158"/>
      <c r="F7" s="3158"/>
      <c r="G7" s="3158"/>
      <c r="H7" s="3158"/>
      <c r="I7" s="3159"/>
    </row>
    <row r="8" spans="1:9" ht="15.75">
      <c r="A8" s="3156" t="str">
        <f>结果表!A122</f>
        <v>房地产抵押价值</v>
      </c>
      <c r="B8" s="3156"/>
      <c r="C8" s="3156"/>
      <c r="D8" s="3156" t="e">
        <f ca="1">结果表!D122</f>
        <v>#REF!</v>
      </c>
      <c r="E8" s="3156"/>
      <c r="F8" s="3156"/>
      <c r="G8" s="3156"/>
      <c r="H8" s="3156"/>
      <c r="I8" s="3156"/>
    </row>
    <row r="9" spans="1:9" ht="15">
      <c r="A9" s="3155" t="s">
        <v>927</v>
      </c>
      <c r="B9" s="3155"/>
      <c r="C9" s="3155"/>
      <c r="D9" s="3155" t="e">
        <f ca="1">结果表!D123</f>
        <v>#REF!</v>
      </c>
      <c r="E9" s="3155"/>
      <c r="F9" s="3155"/>
      <c r="G9" s="3155"/>
      <c r="H9" s="3155"/>
      <c r="I9" s="3155"/>
    </row>
    <row r="10" spans="1:9" ht="15.75">
      <c r="A10" s="3156" t="str">
        <f>结果表!A124</f>
        <v/>
      </c>
      <c r="B10" s="3156"/>
      <c r="C10" s="3156"/>
      <c r="D10" s="3156" t="str">
        <f>结果表!D124</f>
        <v>——</v>
      </c>
      <c r="E10" s="3156"/>
      <c r="F10" s="3156"/>
      <c r="G10" s="3156"/>
      <c r="H10" s="3156"/>
      <c r="I10" s="3156"/>
    </row>
    <row r="11" spans="1:9" ht="15">
      <c r="A11" s="3155" t="s">
        <v>927</v>
      </c>
      <c r="B11" s="3155"/>
      <c r="C11" s="3155"/>
      <c r="D11" s="3155" t="e">
        <f>结果表!D125</f>
        <v>#VALUE!</v>
      </c>
      <c r="E11" s="3155"/>
      <c r="F11" s="3155"/>
      <c r="G11" s="3155"/>
      <c r="H11" s="3155"/>
      <c r="I11" s="3155"/>
    </row>
    <row r="12" spans="1:9" ht="15.75">
      <c r="A12" s="3156" t="str">
        <f>结果表!A126</f>
        <v/>
      </c>
      <c r="B12" s="3156"/>
      <c r="C12" s="3156"/>
      <c r="D12" s="3156" t="str">
        <f>结果表!D126</f>
        <v>——</v>
      </c>
      <c r="E12" s="3156"/>
      <c r="F12" s="3156"/>
      <c r="G12" s="3156"/>
      <c r="H12" s="3156"/>
      <c r="I12" s="3156"/>
    </row>
    <row r="13" spans="1:9" ht="15.75" thickBot="1">
      <c r="A13" s="3160" t="s">
        <v>927</v>
      </c>
      <c r="B13" s="3160"/>
      <c r="C13" s="3160"/>
      <c r="D13" s="3160" t="e">
        <f>结果表!D127</f>
        <v>#VALUE!</v>
      </c>
      <c r="E13" s="3160"/>
      <c r="F13" s="3160"/>
      <c r="G13" s="3160"/>
      <c r="H13" s="3160"/>
      <c r="I13" s="3160"/>
    </row>
    <row r="14" spans="1:9" ht="15" thickTop="1">
      <c r="A14" s="3161" t="s">
        <v>932</v>
      </c>
      <c r="B14" s="3161"/>
      <c r="C14" s="3161"/>
      <c r="D14" s="3161"/>
      <c r="E14" s="3161"/>
      <c r="F14" s="3161"/>
      <c r="G14" s="3161"/>
      <c r="H14" s="3161"/>
      <c r="I14" s="316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2" t="s">
        <v>949</v>
      </c>
      <c r="B1" s="3162"/>
      <c r="C1" s="3162"/>
      <c r="D1" s="3162"/>
    </row>
    <row r="2" spans="1:4" ht="18">
      <c r="A2" s="3163" t="s">
        <v>933</v>
      </c>
      <c r="B2" s="3163"/>
      <c r="C2" s="3163"/>
      <c r="D2" s="316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3" t="s">
        <v>939</v>
      </c>
      <c r="B6" s="3163"/>
      <c r="C6" s="3163"/>
      <c r="D6" s="316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64"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6"/>
      <c r="C12" s="3166"/>
      <c r="D12" s="3166"/>
    </row>
    <row r="13" spans="1:4" ht="30" customHeight="1">
      <c r="A13" s="3165" t="str">
        <f>IF(项目基本情况!B8="抵押","3.抵押双方在办理抵押登记手续时，应使用本公司出具的正式《房地产评估报告》，特提醒报告使用者注意。","——")</f>
        <v>——</v>
      </c>
      <c r="B13" s="3166"/>
      <c r="C13" s="3166"/>
      <c r="D13" s="3166"/>
    </row>
    <row r="14" spans="1:4" ht="15.75" customHeight="1">
      <c r="A14" s="3165" t="str">
        <f>IF(项目基本情况!B8="抵押","4.本次评估估价师所知悉的法定优先受偿款情况说明如下：","——")</f>
        <v>——</v>
      </c>
      <c r="B14" s="3166"/>
      <c r="C14" s="3166"/>
      <c r="D14" s="3166"/>
    </row>
    <row r="15" spans="1:4" ht="42" customHeight="1">
      <c r="A15" s="3165" t="str">
        <f>IF(项目基本情况!B8="抵押","（1）"&amp;CONCATENATE(项目基本情况!L20,项目基本情况!L21,项目基本情况!L22),"——")</f>
        <v>——</v>
      </c>
      <c r="B15" s="3165"/>
      <c r="C15" s="3165"/>
      <c r="D15" s="3165"/>
    </row>
    <row r="16" spans="1:4" ht="30" customHeight="1">
      <c r="A16" s="3168" t="s">
        <v>943</v>
      </c>
      <c r="B16" s="3168"/>
      <c r="C16" s="3168"/>
      <c r="D16" s="3168"/>
    </row>
    <row r="17" spans="1:4" ht="144" customHeight="1">
      <c r="A17" s="3168" t="s">
        <v>944</v>
      </c>
      <c r="B17" s="3168"/>
      <c r="C17" s="3168"/>
      <c r="D17" s="3168"/>
    </row>
    <row r="18" spans="1:4" ht="15.75" customHeight="1">
      <c r="A18" s="3165" t="str">
        <f>IF(项目基本情况!B8="抵押",结果表!K120,"——")</f>
        <v>——</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945</v>
      </c>
      <c r="B22" s="3170"/>
      <c r="C22" s="3170"/>
      <c r="D22" s="317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7">
        <v>42551</v>
      </c>
      <c r="D31" s="31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6" t="s">
        <v>956</v>
      </c>
      <c r="B15" s="3171" t="s">
        <v>109</v>
      </c>
      <c r="C15" s="3172"/>
    </row>
    <row r="16" spans="1:7" ht="13.5">
      <c r="A16" s="3177"/>
      <c r="B16" s="3171" t="s">
        <v>42</v>
      </c>
      <c r="C16" s="3172"/>
    </row>
    <row r="17" spans="1:3" ht="13.5">
      <c r="A17" s="3177"/>
      <c r="B17" s="3174" t="s">
        <v>957</v>
      </c>
      <c r="C17" s="1429" t="s">
        <v>956</v>
      </c>
    </row>
    <row r="18" spans="1:3" ht="13.5">
      <c r="A18" s="3177"/>
      <c r="B18" s="3174"/>
      <c r="C18" s="1429" t="s">
        <v>958</v>
      </c>
    </row>
    <row r="19" spans="1:3" ht="13.5">
      <c r="A19" s="3177"/>
      <c r="B19" s="3174"/>
      <c r="C19" s="1429" t="s">
        <v>959</v>
      </c>
    </row>
    <row r="20" spans="1:3" ht="13.5">
      <c r="A20" s="3178"/>
      <c r="B20" s="3173" t="s">
        <v>960</v>
      </c>
      <c r="C20" s="3172"/>
    </row>
    <row r="21" spans="1:3" ht="13.5">
      <c r="A21" s="1430" t="s">
        <v>961</v>
      </c>
      <c r="B21" s="1431"/>
      <c r="C21" s="1432"/>
    </row>
    <row r="22" spans="1:3" ht="13.5">
      <c r="A22" s="3175" t="s">
        <v>962</v>
      </c>
      <c r="B22" s="3173" t="s">
        <v>963</v>
      </c>
      <c r="C22" s="3172"/>
    </row>
    <row r="23" spans="1:3" ht="13.5">
      <c r="A23" s="3175"/>
      <c r="B23" s="3173" t="s">
        <v>964</v>
      </c>
      <c r="C23" s="3172"/>
    </row>
    <row r="24" spans="1:3" ht="13.5">
      <c r="A24" s="3175"/>
      <c r="B24" s="3173" t="s">
        <v>965</v>
      </c>
      <c r="C24" s="3172"/>
    </row>
    <row r="25" spans="1:3" ht="13.5">
      <c r="A25" s="3175"/>
      <c r="B25" s="3174" t="s">
        <v>966</v>
      </c>
      <c r="C25" s="1429" t="s">
        <v>967</v>
      </c>
    </row>
    <row r="26" spans="1:3" ht="13.5">
      <c r="A26" s="3175"/>
      <c r="B26" s="3174"/>
      <c r="C26" s="1429" t="s">
        <v>968</v>
      </c>
    </row>
    <row r="27" spans="1:3" ht="13.5">
      <c r="A27" s="3175"/>
      <c r="B27" s="3174"/>
      <c r="C27" s="1429" t="s">
        <v>969</v>
      </c>
    </row>
    <row r="28" spans="1:3" ht="13.5">
      <c r="A28" s="3175"/>
      <c r="B28" s="3174"/>
      <c r="C28" s="1429" t="s">
        <v>970</v>
      </c>
    </row>
    <row r="29" spans="1:3" ht="13.5">
      <c r="A29" s="3175"/>
      <c r="B29" s="3174"/>
      <c r="C29" s="1429" t="s">
        <v>971</v>
      </c>
    </row>
    <row r="30" spans="1:3" ht="13.5">
      <c r="A30" s="3175"/>
      <c r="B30" s="3174"/>
      <c r="C30" s="1429" t="s">
        <v>972</v>
      </c>
    </row>
    <row r="31" spans="1:3" ht="13.5">
      <c r="A31" s="3175"/>
      <c r="B31" s="3174"/>
      <c r="C31" s="1429" t="s">
        <v>973</v>
      </c>
    </row>
    <row r="32" spans="1:3" ht="13.5">
      <c r="A32" s="3175"/>
      <c r="B32" s="3174"/>
      <c r="C32" s="1429" t="s">
        <v>974</v>
      </c>
    </row>
    <row r="33" spans="1:3" ht="13.5">
      <c r="A33" s="3175"/>
      <c r="B33" s="317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45463</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2440</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179" t="s">
        <v>2160</v>
      </c>
      <c r="B17" s="3179"/>
      <c r="C17" s="3179"/>
      <c r="D17" s="3179"/>
      <c r="E17" s="3179"/>
      <c r="F17" s="3179"/>
      <c r="G17" s="3179"/>
      <c r="H17" s="3179"/>
    </row>
    <row r="18" spans="1:8" ht="24" customHeight="1">
      <c r="A18" s="3180" t="s">
        <v>2161</v>
      </c>
      <c r="B18" s="3180"/>
      <c r="C18" s="3180"/>
      <c r="D18" s="2157"/>
      <c r="E18" s="3181" t="s">
        <v>2162</v>
      </c>
      <c r="F18" s="3180"/>
      <c r="G18" s="3180"/>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富贵园案例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2024-06-20T09:21:40Z</dcterms:modified>
</cp:coreProperties>
</file>