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结果表" sheetId="9"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成本法" sheetId="68" r:id="rId19"/>
    <sheet name="成本法 (元)" sheetId="69" state="hidden" r:id="rId20"/>
    <sheet name="假设开发法" sheetId="12" r:id="rId21"/>
    <sheet name="收益法——车库" sheetId="79" r:id="rId22"/>
    <sheet name="收益法——商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商业租金案例" sheetId="77" r:id="rId46"/>
    <sheet name="土地案例"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收益法——车库!$A$1:$AK$69</definedName>
    <definedName name="_xlnm.Print_Area" localSheetId="22">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88" i="9"/>
  <c r="K14" i="3" l="1"/>
  <c r="AH7" i="1" s="1"/>
  <c r="A3" i="3"/>
  <c r="I13"/>
  <c r="D5" i="9" l="1"/>
  <c r="Q72" i="79" l="1"/>
  <c r="Q59"/>
  <c r="K59"/>
  <c r="P61" s="1"/>
  <c r="F59"/>
  <c r="P74" l="1"/>
  <c r="Q58"/>
  <c r="Q51"/>
  <c r="J50"/>
  <c r="J51" s="1"/>
  <c r="M47"/>
  <c r="D46" l="1"/>
  <c r="F33"/>
  <c r="F61" s="1"/>
  <c r="F31"/>
  <c r="F23" l="1"/>
  <c r="D24" s="1"/>
  <c r="D22"/>
  <c r="F21"/>
  <c r="F20"/>
  <c r="M19"/>
  <c r="F18"/>
  <c r="M17"/>
  <c r="D23" l="1"/>
  <c r="F17"/>
  <c r="F15"/>
  <c r="G20" i="6"/>
  <c r="AH6" i="1"/>
  <c r="F19" i="6" l="1"/>
  <c r="AD5" i="71" l="1"/>
  <c r="AH5"/>
  <c r="AG5"/>
  <c r="AE5"/>
  <c r="AF5" s="1"/>
  <c r="Q5"/>
  <c r="P5"/>
  <c r="O5"/>
  <c r="N5"/>
  <c r="G20" i="43" l="1"/>
  <c r="E41" s="1"/>
  <c r="C41" s="1"/>
  <c r="L3" i="71"/>
  <c r="AH3" s="1"/>
  <c r="K3"/>
  <c r="J3"/>
  <c r="AE3" s="1"/>
  <c r="I3"/>
  <c r="AH6"/>
  <c r="AG6"/>
  <c r="AE6"/>
  <c r="AF6" s="1"/>
  <c r="AD6"/>
  <c r="Q6"/>
  <c r="Q7"/>
  <c r="P6"/>
  <c r="P7"/>
  <c r="O6"/>
  <c r="O7"/>
  <c r="N6"/>
  <c r="N7"/>
  <c r="N8"/>
  <c r="AH7"/>
  <c r="AG7"/>
  <c r="AE7"/>
  <c r="AF7"/>
  <c r="AD7"/>
  <c r="Q8"/>
  <c r="P8"/>
  <c r="O8"/>
  <c r="M19" i="43"/>
  <c r="D10" i="71"/>
  <c r="AH8"/>
  <c r="AG8"/>
  <c r="AE8"/>
  <c r="AF8" s="1"/>
  <c r="AD8"/>
  <c r="AD9"/>
  <c r="AG9"/>
  <c r="AH9"/>
  <c r="AE9"/>
  <c r="AF9" s="1"/>
  <c r="N9"/>
  <c r="Q9"/>
  <c r="P9"/>
  <c r="O9"/>
  <c r="Q10"/>
  <c r="F9"/>
  <c r="F8" s="1"/>
  <c r="F7" s="1"/>
  <c r="P10"/>
  <c r="E9"/>
  <c r="V9" s="1"/>
  <c r="O10"/>
  <c r="N10"/>
  <c r="B9"/>
  <c r="B8" s="1"/>
  <c r="B7" s="1"/>
  <c r="B6" s="1"/>
  <c r="B5" s="1"/>
  <c r="S9"/>
  <c r="A2" i="53"/>
  <c r="K59" i="67"/>
  <c r="P61"/>
  <c r="K59" i="15"/>
  <c r="P74" s="1"/>
  <c r="P74" i="67"/>
  <c r="D116" i="39"/>
  <c r="E116"/>
  <c r="F116"/>
  <c r="G116"/>
  <c r="H116"/>
  <c r="I116"/>
  <c r="J116"/>
  <c r="K116"/>
  <c r="L116"/>
  <c r="M116"/>
  <c r="C116"/>
  <c r="A21" i="62"/>
  <c r="A20"/>
  <c r="A22" i="51"/>
  <c r="A21"/>
  <c r="A20"/>
  <c r="A14" i="62"/>
  <c r="B60" i="72" s="1"/>
  <c r="A13" i="62"/>
  <c r="A19"/>
  <c r="A12"/>
  <c r="B58" i="72" s="1"/>
  <c r="A120" i="9"/>
  <c r="H2" i="52"/>
  <c r="A1"/>
  <c r="A3" i="53"/>
  <c r="Q11" i="71"/>
  <c r="P11"/>
  <c r="O11"/>
  <c r="N11"/>
  <c r="A15" i="51"/>
  <c r="B12" i="72" s="1"/>
  <c r="C76" i="9"/>
  <c r="I107" i="40"/>
  <c r="K6" i="4"/>
  <c r="B22" i="31"/>
  <c r="N56" i="9"/>
  <c r="M56"/>
  <c r="K56"/>
  <c r="E15" i="74"/>
  <c r="F15"/>
  <c r="E16"/>
  <c r="F16"/>
  <c r="E17"/>
  <c r="F17"/>
  <c r="E18"/>
  <c r="F18"/>
  <c r="E19"/>
  <c r="F19"/>
  <c r="E20"/>
  <c r="F20"/>
  <c r="E21"/>
  <c r="F21"/>
  <c r="E22"/>
  <c r="F22"/>
  <c r="E23"/>
  <c r="F23"/>
  <c r="B3"/>
  <c r="C91" i="9"/>
  <c r="B8" i="72"/>
  <c r="O12" i="71"/>
  <c r="P12"/>
  <c r="Q12"/>
  <c r="N12"/>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F24" s="1"/>
  <c r="AD24"/>
  <c r="AD25"/>
  <c r="AE25"/>
  <c r="AF25" s="1"/>
  <c r="AG25"/>
  <c r="AH25"/>
  <c r="S2" i="31"/>
  <c r="M2"/>
  <c r="N2"/>
  <c r="O2"/>
  <c r="P2"/>
  <c r="Q2"/>
  <c r="R2"/>
  <c r="C1" i="73"/>
  <c r="L1" s="1"/>
  <c r="B74" i="72"/>
  <c r="Y12" i="43"/>
  <c r="Y10"/>
  <c r="AJ9"/>
  <c r="AJ12" s="1"/>
  <c r="AI9"/>
  <c r="AI12" s="1"/>
  <c r="AH9"/>
  <c r="AH12" s="1"/>
  <c r="AG9"/>
  <c r="AG12" s="1"/>
  <c r="AF9"/>
  <c r="AF12" s="1"/>
  <c r="AE9"/>
  <c r="AE12" s="1"/>
  <c r="AD9"/>
  <c r="AD12" s="1"/>
  <c r="AC9"/>
  <c r="AC12" s="1"/>
  <c r="AB9"/>
  <c r="AB12" s="1"/>
  <c r="AA9"/>
  <c r="AA12" s="1"/>
  <c r="Z9"/>
  <c r="Z12" s="1"/>
  <c r="AA10"/>
  <c r="AE10"/>
  <c r="AI10"/>
  <c r="AB10"/>
  <c r="AF10"/>
  <c r="AJ10"/>
  <c r="K49" i="9"/>
  <c r="E107"/>
  <c r="A122" s="1"/>
  <c r="A8" i="52" s="1"/>
  <c r="E111" i="9"/>
  <c r="A126"/>
  <c r="E109"/>
  <c r="A124"/>
  <c r="B44" i="72"/>
  <c r="B42"/>
  <c r="B69"/>
  <c r="B68"/>
  <c r="B63"/>
  <c r="B62"/>
  <c r="B16"/>
  <c r="B65"/>
  <c r="B59"/>
  <c r="B67"/>
  <c r="B66"/>
  <c r="B10"/>
  <c r="C53" i="10"/>
  <c r="B51"/>
  <c r="B19" i="72"/>
  <c r="A18" i="51"/>
  <c r="B13" i="72" s="1"/>
  <c r="B49" i="48"/>
  <c r="B5" i="72" s="1"/>
  <c r="I19" i="43"/>
  <c r="D74" i="71"/>
  <c r="F73"/>
  <c r="F72" s="1"/>
  <c r="F71" s="1"/>
  <c r="E73"/>
  <c r="E72"/>
  <c r="E71" s="1"/>
  <c r="C73"/>
  <c r="D73" s="1"/>
  <c r="B73"/>
  <c r="B72" s="1"/>
  <c r="B71" s="1"/>
  <c r="D70"/>
  <c r="F69"/>
  <c r="F68" s="1"/>
  <c r="F67" s="1"/>
  <c r="E69"/>
  <c r="E68"/>
  <c r="E67" s="1"/>
  <c r="C69"/>
  <c r="D69" s="1"/>
  <c r="B69"/>
  <c r="B68" s="1"/>
  <c r="B67" s="1"/>
  <c r="D66"/>
  <c r="Q65"/>
  <c r="P65"/>
  <c r="O65"/>
  <c r="N65"/>
  <c r="F65"/>
  <c r="V65" s="1"/>
  <c r="E65"/>
  <c r="U65" s="1"/>
  <c r="C65"/>
  <c r="T65" s="1"/>
  <c r="B65"/>
  <c r="S65" s="1"/>
  <c r="Q64"/>
  <c r="P64"/>
  <c r="O64"/>
  <c r="N64"/>
  <c r="F64"/>
  <c r="F63" s="1"/>
  <c r="B64"/>
  <c r="B63" s="1"/>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F53"/>
  <c r="V53"/>
  <c r="E53"/>
  <c r="P53"/>
  <c r="C53"/>
  <c r="B53"/>
  <c r="F52"/>
  <c r="F51" s="1"/>
  <c r="Q51" s="1"/>
  <c r="D50"/>
  <c r="Q49"/>
  <c r="P49"/>
  <c r="O49"/>
  <c r="N49"/>
  <c r="Q48"/>
  <c r="P48"/>
  <c r="O48"/>
  <c r="N48"/>
  <c r="Q47"/>
  <c r="P47"/>
  <c r="O47"/>
  <c r="N47"/>
  <c r="Q46"/>
  <c r="F47"/>
  <c r="F48" s="1"/>
  <c r="F49" s="1"/>
  <c r="V49" s="1"/>
  <c r="P46"/>
  <c r="E47" s="1"/>
  <c r="E48" s="1"/>
  <c r="E49" s="1"/>
  <c r="U49" s="1"/>
  <c r="O46"/>
  <c r="C47" s="1"/>
  <c r="N46"/>
  <c r="B47" s="1"/>
  <c r="B48" s="1"/>
  <c r="B49" s="1"/>
  <c r="S49" s="1"/>
  <c r="D46"/>
  <c r="Q45"/>
  <c r="P45"/>
  <c r="O45"/>
  <c r="N45"/>
  <c r="Q44"/>
  <c r="P44"/>
  <c r="O44"/>
  <c r="N44"/>
  <c r="Q43"/>
  <c r="P43"/>
  <c r="O43"/>
  <c r="N43"/>
  <c r="Q42"/>
  <c r="F43" s="1"/>
  <c r="F44" s="1"/>
  <c r="F45" s="1"/>
  <c r="V45"/>
  <c r="P42"/>
  <c r="E43"/>
  <c r="E44" s="1"/>
  <c r="E45" s="1"/>
  <c r="U45" s="1"/>
  <c r="O42"/>
  <c r="C43"/>
  <c r="D43" s="1"/>
  <c r="N42"/>
  <c r="B43"/>
  <c r="B44" s="1"/>
  <c r="B45" s="1"/>
  <c r="S45" s="1"/>
  <c r="D42"/>
  <c r="Q41"/>
  <c r="P41"/>
  <c r="O41"/>
  <c r="N41"/>
  <c r="Q40"/>
  <c r="P40"/>
  <c r="O40"/>
  <c r="N40"/>
  <c r="Q39"/>
  <c r="P39"/>
  <c r="E40" s="1"/>
  <c r="O39"/>
  <c r="N39"/>
  <c r="Q38"/>
  <c r="F39" s="1"/>
  <c r="F40"/>
  <c r="F41" s="1"/>
  <c r="V41" s="1"/>
  <c r="P38"/>
  <c r="E39"/>
  <c r="O38"/>
  <c r="C39" s="1"/>
  <c r="D39" s="1"/>
  <c r="N38"/>
  <c r="B39" s="1"/>
  <c r="B40"/>
  <c r="B41" s="1"/>
  <c r="S41" s="1"/>
  <c r="D38"/>
  <c r="Q37"/>
  <c r="P37"/>
  <c r="O37"/>
  <c r="N37"/>
  <c r="Q36"/>
  <c r="P36"/>
  <c r="O36"/>
  <c r="N36"/>
  <c r="Q35"/>
  <c r="P35"/>
  <c r="O35"/>
  <c r="N35"/>
  <c r="Q34"/>
  <c r="F35" s="1"/>
  <c r="P34"/>
  <c r="E35" s="1"/>
  <c r="E36"/>
  <c r="E37" s="1"/>
  <c r="U37" s="1"/>
  <c r="O34"/>
  <c r="C35"/>
  <c r="D35" s="1"/>
  <c r="N34"/>
  <c r="B35"/>
  <c r="B36" s="1"/>
  <c r="B37"/>
  <c r="S37" s="1"/>
  <c r="D34"/>
  <c r="T33"/>
  <c r="Q33"/>
  <c r="P33"/>
  <c r="O33"/>
  <c r="N33"/>
  <c r="D33"/>
  <c r="Q32"/>
  <c r="P32"/>
  <c r="O32"/>
  <c r="N32"/>
  <c r="Q31"/>
  <c r="P31"/>
  <c r="O31"/>
  <c r="N31"/>
  <c r="Q30"/>
  <c r="F31" s="1"/>
  <c r="F32" s="1"/>
  <c r="F33" s="1"/>
  <c r="V33" s="1"/>
  <c r="P30"/>
  <c r="E31" s="1"/>
  <c r="E32"/>
  <c r="E33" s="1"/>
  <c r="U33" s="1"/>
  <c r="O30"/>
  <c r="C31"/>
  <c r="N30"/>
  <c r="B31"/>
  <c r="B32" s="1"/>
  <c r="B33"/>
  <c r="S33" s="1"/>
  <c r="D30"/>
  <c r="Q29"/>
  <c r="P29"/>
  <c r="O29"/>
  <c r="N29"/>
  <c r="Q28"/>
  <c r="P28"/>
  <c r="O28"/>
  <c r="N28"/>
  <c r="Q27"/>
  <c r="P27"/>
  <c r="O27"/>
  <c r="N27"/>
  <c r="Q26"/>
  <c r="F27" s="1"/>
  <c r="F28" s="1"/>
  <c r="F29" s="1"/>
  <c r="V29" s="1"/>
  <c r="P26"/>
  <c r="E27" s="1"/>
  <c r="E28"/>
  <c r="E29" s="1"/>
  <c r="U29" s="1"/>
  <c r="O26"/>
  <c r="C27"/>
  <c r="C28" s="1"/>
  <c r="D28" s="1"/>
  <c r="N26"/>
  <c r="B27"/>
  <c r="B28" s="1"/>
  <c r="B29"/>
  <c r="S29" s="1"/>
  <c r="D26"/>
  <c r="Q25"/>
  <c r="P25"/>
  <c r="O25"/>
  <c r="N25"/>
  <c r="Q24"/>
  <c r="AB24" s="1"/>
  <c r="P24"/>
  <c r="AA24"/>
  <c r="O24"/>
  <c r="Y24"/>
  <c r="Z24" s="1"/>
  <c r="N24"/>
  <c r="X24" s="1"/>
  <c r="Q23"/>
  <c r="P23"/>
  <c r="AA23" s="1"/>
  <c r="O23"/>
  <c r="Y23"/>
  <c r="Z23" s="1"/>
  <c r="N23"/>
  <c r="Q22"/>
  <c r="F23" s="1"/>
  <c r="F24" s="1"/>
  <c r="F25" s="1"/>
  <c r="V25" s="1"/>
  <c r="P22"/>
  <c r="O22"/>
  <c r="N22"/>
  <c r="D22"/>
  <c r="Q21"/>
  <c r="AB21" s="1"/>
  <c r="P21"/>
  <c r="O21"/>
  <c r="Y21"/>
  <c r="Z21" s="1"/>
  <c r="N21"/>
  <c r="X18" s="1"/>
  <c r="Q20"/>
  <c r="AB20"/>
  <c r="P20"/>
  <c r="O20"/>
  <c r="Y15" s="1"/>
  <c r="Z15" s="1"/>
  <c r="N20"/>
  <c r="Q19"/>
  <c r="P19"/>
  <c r="AA19" s="1"/>
  <c r="O19"/>
  <c r="Y19"/>
  <c r="Z19" s="1"/>
  <c r="N19"/>
  <c r="Q18"/>
  <c r="F19" s="1"/>
  <c r="F20" s="1"/>
  <c r="F21" s="1"/>
  <c r="V21" s="1"/>
  <c r="P18"/>
  <c r="O18"/>
  <c r="N18"/>
  <c r="D18"/>
  <c r="Q17"/>
  <c r="P17"/>
  <c r="AA16" s="1"/>
  <c r="O17"/>
  <c r="Y17"/>
  <c r="Z17" s="1"/>
  <c r="N17"/>
  <c r="Q16"/>
  <c r="P16"/>
  <c r="O16"/>
  <c r="N16"/>
  <c r="Q15"/>
  <c r="AB14" s="1"/>
  <c r="P15"/>
  <c r="O15"/>
  <c r="N15"/>
  <c r="X15" s="1"/>
  <c r="Q14"/>
  <c r="F15" s="1"/>
  <c r="F16" s="1"/>
  <c r="F17" s="1"/>
  <c r="V17" s="1"/>
  <c r="P14"/>
  <c r="AA10" s="1"/>
  <c r="O14"/>
  <c r="N14"/>
  <c r="X12" s="1"/>
  <c r="D14"/>
  <c r="O13"/>
  <c r="Y3" s="1"/>
  <c r="Z3" s="1"/>
  <c r="N13"/>
  <c r="B15"/>
  <c r="B16" s="1"/>
  <c r="B17" s="1"/>
  <c r="S17" s="1"/>
  <c r="X14"/>
  <c r="B19"/>
  <c r="B20" s="1"/>
  <c r="B21"/>
  <c r="S21" s="1"/>
  <c r="E23"/>
  <c r="E24" s="1"/>
  <c r="E25" s="1"/>
  <c r="U25" s="1"/>
  <c r="AA22"/>
  <c r="N53"/>
  <c r="E19"/>
  <c r="E20" s="1"/>
  <c r="E21" s="1"/>
  <c r="U21" s="1"/>
  <c r="AA18"/>
  <c r="C15"/>
  <c r="Y14"/>
  <c r="Z14" s="1"/>
  <c r="AA15"/>
  <c r="AA17"/>
  <c r="C19"/>
  <c r="C20"/>
  <c r="D20" s="1"/>
  <c r="X19"/>
  <c r="X21"/>
  <c r="C23"/>
  <c r="C24" s="1"/>
  <c r="D24" s="1"/>
  <c r="Y22"/>
  <c r="Z22"/>
  <c r="X23"/>
  <c r="F36"/>
  <c r="F37" s="1"/>
  <c r="V37"/>
  <c r="B13"/>
  <c r="B12"/>
  <c r="B11" s="1"/>
  <c r="X10"/>
  <c r="C16"/>
  <c r="D16" s="1"/>
  <c r="D15"/>
  <c r="D19"/>
  <c r="D23"/>
  <c r="D27"/>
  <c r="C36"/>
  <c r="D36" s="1"/>
  <c r="P13"/>
  <c r="E41"/>
  <c r="U41" s="1"/>
  <c r="Q50"/>
  <c r="U53"/>
  <c r="E52"/>
  <c r="E51" s="1"/>
  <c r="P51" s="1"/>
  <c r="Q13"/>
  <c r="C40"/>
  <c r="D40" s="1"/>
  <c r="C48"/>
  <c r="C49" s="1"/>
  <c r="T49" s="1"/>
  <c r="D47"/>
  <c r="T53"/>
  <c r="O53"/>
  <c r="D53"/>
  <c r="C52"/>
  <c r="O52" s="1"/>
  <c r="Q53"/>
  <c r="C56"/>
  <c r="D56" s="1"/>
  <c r="E56"/>
  <c r="E55"/>
  <c r="D57"/>
  <c r="C60"/>
  <c r="C59" s="1"/>
  <c r="E60"/>
  <c r="E59"/>
  <c r="D61"/>
  <c r="C64"/>
  <c r="C63" s="1"/>
  <c r="E64"/>
  <c r="E63"/>
  <c r="D65"/>
  <c r="C68"/>
  <c r="D68" s="1"/>
  <c r="C72"/>
  <c r="S13"/>
  <c r="F13"/>
  <c r="F12"/>
  <c r="F11" s="1"/>
  <c r="AB12"/>
  <c r="E13"/>
  <c r="AA12"/>
  <c r="C51"/>
  <c r="D51" s="1"/>
  <c r="D52"/>
  <c r="D48"/>
  <c r="C67"/>
  <c r="D67" s="1"/>
  <c r="D60"/>
  <c r="D59"/>
  <c r="D72"/>
  <c r="C71"/>
  <c r="D71" s="1"/>
  <c r="D64"/>
  <c r="D63"/>
  <c r="C55"/>
  <c r="D55" s="1"/>
  <c r="P52"/>
  <c r="C29"/>
  <c r="T29" s="1"/>
  <c r="C25"/>
  <c r="T25" s="1"/>
  <c r="C21"/>
  <c r="T21" s="1"/>
  <c r="P50"/>
  <c r="O50"/>
  <c r="D21"/>
  <c r="D25"/>
  <c r="D29"/>
  <c r="D49"/>
  <c r="O27" i="6"/>
  <c r="N27"/>
  <c r="P20"/>
  <c r="P21"/>
  <c r="P22"/>
  <c r="P23"/>
  <c r="P24"/>
  <c r="P25"/>
  <c r="P26"/>
  <c r="P19"/>
  <c r="P27" s="1"/>
  <c r="AP8" i="1"/>
  <c r="AP9"/>
  <c r="AP10"/>
  <c r="AP11"/>
  <c r="AP12"/>
  <c r="AP13"/>
  <c r="L21" i="6"/>
  <c r="L22"/>
  <c r="L23"/>
  <c r="L24"/>
  <c r="L25"/>
  <c r="L26"/>
  <c r="A7" i="70"/>
  <c r="A8"/>
  <c r="E8"/>
  <c r="A9"/>
  <c r="E9"/>
  <c r="A10"/>
  <c r="E10"/>
  <c r="A11"/>
  <c r="E11"/>
  <c r="A12"/>
  <c r="E12"/>
  <c r="A13"/>
  <c r="E13"/>
  <c r="A6"/>
  <c r="Q25" i="40"/>
  <c r="Z25" s="1"/>
  <c r="D94"/>
  <c r="E94" s="1"/>
  <c r="F94" s="1"/>
  <c r="G94" s="1"/>
  <c r="F25"/>
  <c r="AA25" s="1"/>
  <c r="Z29" i="39"/>
  <c r="Q29"/>
  <c r="D103"/>
  <c r="E103" s="1"/>
  <c r="F103" s="1"/>
  <c r="G103" s="1"/>
  <c r="F29"/>
  <c r="Q18" i="36"/>
  <c r="Z18" s="1"/>
  <c r="D66"/>
  <c r="E66" s="1"/>
  <c r="F66" s="1"/>
  <c r="G66" s="1"/>
  <c r="H18"/>
  <c r="AB18"/>
  <c r="F18"/>
  <c r="AA18"/>
  <c r="C18"/>
  <c r="Z18" i="35"/>
  <c r="Q18"/>
  <c r="D68"/>
  <c r="E68" s="1"/>
  <c r="F68" s="1"/>
  <c r="F18"/>
  <c r="C18"/>
  <c r="Q21" i="37"/>
  <c r="Z21" s="1"/>
  <c r="D77"/>
  <c r="E77"/>
  <c r="C21"/>
  <c r="Z21" i="34"/>
  <c r="Q21"/>
  <c r="D84"/>
  <c r="E84" s="1"/>
  <c r="F84" s="1"/>
  <c r="F21"/>
  <c r="AA21" s="1"/>
  <c r="C21"/>
  <c r="Q21" i="33"/>
  <c r="Z21" s="1"/>
  <c r="D83"/>
  <c r="E83"/>
  <c r="F83" s="1"/>
  <c r="C21"/>
  <c r="C21" i="21"/>
  <c r="Q21"/>
  <c r="Z21"/>
  <c r="H19"/>
  <c r="D83"/>
  <c r="F21"/>
  <c r="AA21"/>
  <c r="D81"/>
  <c r="G20" i="20"/>
  <c r="B86" i="43" s="1"/>
  <c r="C22" i="20"/>
  <c r="C25" i="40"/>
  <c r="S25"/>
  <c r="S18" i="36"/>
  <c r="U18"/>
  <c r="S21" i="34"/>
  <c r="H25" i="40"/>
  <c r="AB25" s="1"/>
  <c r="J25"/>
  <c r="AC25" s="1"/>
  <c r="H29" i="39"/>
  <c r="AB29" s="1"/>
  <c r="J29"/>
  <c r="AC29" s="1"/>
  <c r="J18" i="36"/>
  <c r="AC18" s="1"/>
  <c r="H18" i="35"/>
  <c r="G68"/>
  <c r="J18"/>
  <c r="F77" i="37"/>
  <c r="H21"/>
  <c r="F21"/>
  <c r="AA21" s="1"/>
  <c r="H21" i="34"/>
  <c r="AB21" s="1"/>
  <c r="H21" i="33"/>
  <c r="AB21" s="1"/>
  <c r="F21"/>
  <c r="S21" s="1"/>
  <c r="E83" i="21"/>
  <c r="S21"/>
  <c r="H1" i="69"/>
  <c r="W25" i="40"/>
  <c r="U25"/>
  <c r="U29" i="39"/>
  <c r="W29"/>
  <c r="W18" i="36"/>
  <c r="AB21" i="37"/>
  <c r="U21"/>
  <c r="S21"/>
  <c r="U21" i="34"/>
  <c r="U21" i="33"/>
  <c r="AA21"/>
  <c r="AB18" i="35"/>
  <c r="U18"/>
  <c r="AC18"/>
  <c r="W18"/>
  <c r="G77" i="37"/>
  <c r="J21"/>
  <c r="AC21" s="1"/>
  <c r="G84" i="34"/>
  <c r="J21"/>
  <c r="AC21" s="1"/>
  <c r="G83" i="33"/>
  <c r="J21"/>
  <c r="AC21" s="1"/>
  <c r="F83" i="21"/>
  <c r="H21"/>
  <c r="AB21" s="1"/>
  <c r="F38" i="69"/>
  <c r="E37"/>
  <c r="F36"/>
  <c r="F35"/>
  <c r="F21"/>
  <c r="C21" s="1"/>
  <c r="F20"/>
  <c r="E10"/>
  <c r="E9"/>
  <c r="F7"/>
  <c r="C7" s="1"/>
  <c r="W21" i="37"/>
  <c r="W21" i="34"/>
  <c r="W21" i="33"/>
  <c r="U21" i="21"/>
  <c r="G83"/>
  <c r="J21"/>
  <c r="W21" s="1"/>
  <c r="C40" i="69"/>
  <c r="F38" i="68"/>
  <c r="E37"/>
  <c r="F36"/>
  <c r="F35"/>
  <c r="F21"/>
  <c r="C21" s="1"/>
  <c r="F20"/>
  <c r="E10"/>
  <c r="E9"/>
  <c r="F7"/>
  <c r="AC21" i="21"/>
  <c r="Q72" i="67"/>
  <c r="Q59"/>
  <c r="Q58"/>
  <c r="Q51"/>
  <c r="J50"/>
  <c r="M47"/>
  <c r="J53" s="1"/>
  <c r="D46"/>
  <c r="F33"/>
  <c r="F61" s="1"/>
  <c r="F23"/>
  <c r="D24" s="1"/>
  <c r="F21"/>
  <c r="F20"/>
  <c r="M19"/>
  <c r="F18"/>
  <c r="F17"/>
  <c r="F15"/>
  <c r="D22"/>
  <c r="D23"/>
  <c r="S2" i="4"/>
  <c r="C51" i="10" s="1"/>
  <c r="A13" i="51" s="1"/>
  <c r="B11" i="72" s="1"/>
  <c r="S1" i="4"/>
  <c r="B1"/>
  <c r="C31" i="66"/>
  <c r="C27"/>
  <c r="C32" s="1"/>
  <c r="I23"/>
  <c r="D20"/>
  <c r="I19"/>
  <c r="I18"/>
  <c r="I17"/>
  <c r="I20" s="1"/>
  <c r="E15"/>
  <c r="I14"/>
  <c r="I13"/>
  <c r="I12"/>
  <c r="I15"/>
  <c r="I9"/>
  <c r="I8"/>
  <c r="I7"/>
  <c r="I6"/>
  <c r="I5"/>
  <c r="I4"/>
  <c r="I3"/>
  <c r="I10"/>
  <c r="I21" s="1"/>
  <c r="D1" i="43"/>
  <c r="F113"/>
  <c r="N99"/>
  <c r="N108" s="1"/>
  <c r="D99"/>
  <c r="D108" s="1"/>
  <c r="E99"/>
  <c r="E108" s="1"/>
  <c r="F99"/>
  <c r="F108" s="1"/>
  <c r="G99"/>
  <c r="G108" s="1"/>
  <c r="H99"/>
  <c r="H108" s="1"/>
  <c r="I99"/>
  <c r="I108" s="1"/>
  <c r="J99"/>
  <c r="J108" s="1"/>
  <c r="K99"/>
  <c r="K108" s="1"/>
  <c r="L99"/>
  <c r="L108" s="1"/>
  <c r="M99"/>
  <c r="M108" s="1"/>
  <c r="C99"/>
  <c r="C108" s="1"/>
  <c r="N100"/>
  <c r="L100"/>
  <c r="G100"/>
  <c r="K100"/>
  <c r="B48"/>
  <c r="B84"/>
  <c r="B83"/>
  <c r="B72"/>
  <c r="B61"/>
  <c r="B50"/>
  <c r="D82"/>
  <c r="D83"/>
  <c r="D84"/>
  <c r="D85"/>
  <c r="D86"/>
  <c r="D87"/>
  <c r="D88"/>
  <c r="D81"/>
  <c r="D67"/>
  <c r="D60"/>
  <c r="D61"/>
  <c r="D62"/>
  <c r="D63"/>
  <c r="D64"/>
  <c r="D65"/>
  <c r="D66"/>
  <c r="D59"/>
  <c r="E59" s="1"/>
  <c r="B57" s="1"/>
  <c r="C24"/>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c r="M77"/>
  <c r="N77"/>
  <c r="K77"/>
  <c r="J77"/>
  <c r="D77"/>
  <c r="M76"/>
  <c r="N76" s="1"/>
  <c r="K76"/>
  <c r="J76" s="1"/>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8" i="1"/>
  <c r="AG9"/>
  <c r="AG10"/>
  <c r="AG11"/>
  <c r="AG12"/>
  <c r="AG13"/>
  <c r="J50" i="15"/>
  <c r="J51" s="1"/>
  <c r="D12" i="31"/>
  <c r="E12"/>
  <c r="F12" s="1"/>
  <c r="G12"/>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A6"/>
  <c r="B11"/>
  <c r="E11" s="1"/>
  <c r="K10"/>
  <c r="B13"/>
  <c r="E13"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Z68" s="1"/>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Z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Z52" s="1"/>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Z298" s="1"/>
  <c r="AX298"/>
  <c r="AW298"/>
  <c r="AV298"/>
  <c r="AC298"/>
  <c r="H298"/>
  <c r="G298" s="1"/>
  <c r="BT297"/>
  <c r="BS297"/>
  <c r="BR297"/>
  <c r="BQ297"/>
  <c r="BP297"/>
  <c r="BO297"/>
  <c r="BN297"/>
  <c r="BM297"/>
  <c r="BL297"/>
  <c r="BK297"/>
  <c r="BJ297"/>
  <c r="BI297"/>
  <c r="BH297"/>
  <c r="BG297"/>
  <c r="BF297"/>
  <c r="BE297"/>
  <c r="BD297"/>
  <c r="BC297"/>
  <c r="BB297"/>
  <c r="BA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Z255" s="1"/>
  <c r="AX255"/>
  <c r="AW255"/>
  <c r="AV255"/>
  <c r="AC255"/>
  <c r="H255"/>
  <c r="G255" s="1"/>
  <c r="BT254"/>
  <c r="BS254"/>
  <c r="BR254"/>
  <c r="BQ254"/>
  <c r="BP254"/>
  <c r="BO254"/>
  <c r="BN254"/>
  <c r="BM254"/>
  <c r="BL254"/>
  <c r="BK254"/>
  <c r="BJ254"/>
  <c r="BI254"/>
  <c r="BH254"/>
  <c r="BG254"/>
  <c r="BF254"/>
  <c r="BE254"/>
  <c r="BD254"/>
  <c r="BC254"/>
  <c r="BB254"/>
  <c r="BA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Z239" s="1"/>
  <c r="AX239"/>
  <c r="AW239"/>
  <c r="AV239"/>
  <c r="AC239"/>
  <c r="H239"/>
  <c r="G239" s="1"/>
  <c r="BT238"/>
  <c r="BS238"/>
  <c r="BR238"/>
  <c r="BQ238"/>
  <c r="BP238"/>
  <c r="BO238"/>
  <c r="BN238"/>
  <c r="BM238"/>
  <c r="BL238"/>
  <c r="BK238"/>
  <c r="BJ238"/>
  <c r="BI238"/>
  <c r="BH238"/>
  <c r="BG238"/>
  <c r="BF238"/>
  <c r="BE238"/>
  <c r="BD238"/>
  <c r="BC238"/>
  <c r="BB238"/>
  <c r="BA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Z210" s="1"/>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Z385" s="1"/>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c r="BT488"/>
  <c r="BS488"/>
  <c r="BR488"/>
  <c r="BQ488"/>
  <c r="BP488"/>
  <c r="BO488"/>
  <c r="BN488"/>
  <c r="BM488"/>
  <c r="BL488" s="1"/>
  <c r="BK488"/>
  <c r="BJ488"/>
  <c r="BI488"/>
  <c r="BH488"/>
  <c r="BG488"/>
  <c r="BF488"/>
  <c r="BE488"/>
  <c r="BD488"/>
  <c r="BC488"/>
  <c r="BB488"/>
  <c r="BA488"/>
  <c r="AX488"/>
  <c r="AW488"/>
  <c r="AV488"/>
  <c r="AC488"/>
  <c r="H488"/>
  <c r="G488" s="1"/>
  <c r="BT487"/>
  <c r="BS487"/>
  <c r="BR487"/>
  <c r="BQ487"/>
  <c r="BP487"/>
  <c r="BO487"/>
  <c r="BN487"/>
  <c r="BM487"/>
  <c r="BL487"/>
  <c r="BK487"/>
  <c r="BJ487"/>
  <c r="BI487"/>
  <c r="BH487"/>
  <c r="BG487"/>
  <c r="BF487"/>
  <c r="BE487"/>
  <c r="BD487"/>
  <c r="BC487"/>
  <c r="BB487"/>
  <c r="BA487"/>
  <c r="AZ487" s="1"/>
  <c r="AX487"/>
  <c r="AW487"/>
  <c r="AV487"/>
  <c r="AC487"/>
  <c r="H487"/>
  <c r="G487"/>
  <c r="BT486"/>
  <c r="BS486"/>
  <c r="BR486"/>
  <c r="BQ486"/>
  <c r="BP486"/>
  <c r="BO486"/>
  <c r="BN486"/>
  <c r="BM486"/>
  <c r="BL486" s="1"/>
  <c r="BK486"/>
  <c r="BJ486"/>
  <c r="BI486"/>
  <c r="BH486"/>
  <c r="BG486"/>
  <c r="BF486"/>
  <c r="BE486"/>
  <c r="BD486"/>
  <c r="BC486"/>
  <c r="BB486"/>
  <c r="BA486"/>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G483"/>
  <c r="BT482"/>
  <c r="BS482"/>
  <c r="BR482"/>
  <c r="BQ482"/>
  <c r="BP482"/>
  <c r="BO482"/>
  <c r="BN482"/>
  <c r="BM482"/>
  <c r="BL482" s="1"/>
  <c r="BK482"/>
  <c r="BJ482"/>
  <c r="BI482"/>
  <c r="BH482"/>
  <c r="BG482"/>
  <c r="BF482"/>
  <c r="BE482"/>
  <c r="BD482"/>
  <c r="BC482"/>
  <c r="BB482"/>
  <c r="BA482"/>
  <c r="AX482"/>
  <c r="AW482"/>
  <c r="AV482"/>
  <c r="AC482"/>
  <c r="H482"/>
  <c r="G482" s="1"/>
  <c r="BT481"/>
  <c r="BS481"/>
  <c r="BR481"/>
  <c r="BQ481"/>
  <c r="BP481"/>
  <c r="BO481"/>
  <c r="BN481"/>
  <c r="BM481"/>
  <c r="BL481"/>
  <c r="BK481"/>
  <c r="BJ481"/>
  <c r="BI481"/>
  <c r="BH481"/>
  <c r="BG481"/>
  <c r="BF481"/>
  <c r="BE481"/>
  <c r="BD481"/>
  <c r="BC481"/>
  <c r="BB481"/>
  <c r="BA481"/>
  <c r="AZ481" s="1"/>
  <c r="AX481"/>
  <c r="AW481"/>
  <c r="AV481"/>
  <c r="AC481"/>
  <c r="H481"/>
  <c r="G481"/>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c r="AZ477" s="1"/>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s="1"/>
  <c r="BT473"/>
  <c r="BS473"/>
  <c r="BR473"/>
  <c r="BQ473"/>
  <c r="BP473"/>
  <c r="BO473"/>
  <c r="BN473"/>
  <c r="BM473"/>
  <c r="BL473"/>
  <c r="BK473"/>
  <c r="BJ473"/>
  <c r="BI473"/>
  <c r="BH473"/>
  <c r="BG473"/>
  <c r="BF473"/>
  <c r="BE473"/>
  <c r="BD473"/>
  <c r="BC473"/>
  <c r="BB473"/>
  <c r="BA473" s="1"/>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Z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Z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c r="AZ459" s="1"/>
  <c r="AX459"/>
  <c r="AW459"/>
  <c r="AV459"/>
  <c r="AC459"/>
  <c r="H459"/>
  <c r="G459"/>
  <c r="BT458"/>
  <c r="BS458"/>
  <c r="BR458"/>
  <c r="BQ458"/>
  <c r="BP458"/>
  <c r="BO458"/>
  <c r="BN458"/>
  <c r="BM458"/>
  <c r="BL458" s="1"/>
  <c r="BK458"/>
  <c r="BJ458"/>
  <c r="BI458"/>
  <c r="BH458"/>
  <c r="BG458"/>
  <c r="BF458"/>
  <c r="BE458"/>
  <c r="BD458"/>
  <c r="BC458"/>
  <c r="BB458"/>
  <c r="BA458" s="1"/>
  <c r="AZ458" s="1"/>
  <c r="AX458"/>
  <c r="AW458"/>
  <c r="AV458"/>
  <c r="AC458"/>
  <c r="H458"/>
  <c r="G458" s="1"/>
  <c r="BT457"/>
  <c r="BS457"/>
  <c r="BR457"/>
  <c r="BQ457"/>
  <c r="BP457"/>
  <c r="BO457"/>
  <c r="BN457"/>
  <c r="BM457"/>
  <c r="BL457"/>
  <c r="BK457"/>
  <c r="BJ457"/>
  <c r="BI457"/>
  <c r="BH457"/>
  <c r="BG457"/>
  <c r="BF457"/>
  <c r="BE457"/>
  <c r="BD457"/>
  <c r="BC457"/>
  <c r="BB457"/>
  <c r="BA457" s="1"/>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s="1"/>
  <c r="BT454"/>
  <c r="BS454"/>
  <c r="BR454"/>
  <c r="BQ454"/>
  <c r="BP454"/>
  <c r="BO454"/>
  <c r="BN454"/>
  <c r="BM454"/>
  <c r="BL454"/>
  <c r="BK454"/>
  <c r="BJ454"/>
  <c r="BI454"/>
  <c r="BH454"/>
  <c r="BG454"/>
  <c r="BF454"/>
  <c r="BE454"/>
  <c r="BD454"/>
  <c r="BC454"/>
  <c r="BB454"/>
  <c r="BA454"/>
  <c r="AZ454" s="1"/>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L450"/>
  <c r="BK450"/>
  <c r="BJ450"/>
  <c r="BI450"/>
  <c r="BH450"/>
  <c r="BG450"/>
  <c r="BF450"/>
  <c r="BE450"/>
  <c r="BD450"/>
  <c r="BC450"/>
  <c r="BB450"/>
  <c r="BA450"/>
  <c r="AZ450" s="1"/>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c r="AZ446" s="1"/>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Z443" s="1"/>
  <c r="AX443"/>
  <c r="AW443"/>
  <c r="AV443"/>
  <c r="AC443"/>
  <c r="H443"/>
  <c r="G443" s="1"/>
  <c r="BT442"/>
  <c r="BS442"/>
  <c r="BR442"/>
  <c r="BQ442"/>
  <c r="BP442"/>
  <c r="BO442"/>
  <c r="BN442"/>
  <c r="BM442"/>
  <c r="BL442"/>
  <c r="BK442"/>
  <c r="BJ442"/>
  <c r="BI442"/>
  <c r="BH442"/>
  <c r="BG442"/>
  <c r="BF442"/>
  <c r="BE442"/>
  <c r="BD442"/>
  <c r="BC442"/>
  <c r="BB442"/>
  <c r="BA442"/>
  <c r="AZ442" s="1"/>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s="1"/>
  <c r="AZ438" s="1"/>
  <c r="AX438"/>
  <c r="AW438"/>
  <c r="AV438"/>
  <c r="AC438"/>
  <c r="H438"/>
  <c r="G438" s="1"/>
  <c r="BT437"/>
  <c r="BS437"/>
  <c r="BR437"/>
  <c r="BQ437"/>
  <c r="BP437"/>
  <c r="BO437"/>
  <c r="BN437"/>
  <c r="BM437"/>
  <c r="BL437"/>
  <c r="BK437"/>
  <c r="BJ437"/>
  <c r="BI437"/>
  <c r="BH437"/>
  <c r="BG437"/>
  <c r="BF437"/>
  <c r="BE437"/>
  <c r="BD437"/>
  <c r="BC437"/>
  <c r="BB437"/>
  <c r="BA437" s="1"/>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s="1"/>
  <c r="AZ435" s="1"/>
  <c r="AX435"/>
  <c r="AW435"/>
  <c r="AV435"/>
  <c r="AC435"/>
  <c r="H435"/>
  <c r="G435" s="1"/>
  <c r="BT434"/>
  <c r="BS434"/>
  <c r="BR434"/>
  <c r="BQ434"/>
  <c r="BP434"/>
  <c r="BO434"/>
  <c r="BN434"/>
  <c r="BM434"/>
  <c r="BL434"/>
  <c r="BK434"/>
  <c r="BJ434"/>
  <c r="BI434"/>
  <c r="BH434"/>
  <c r="BG434"/>
  <c r="BF434"/>
  <c r="BE434"/>
  <c r="BD434"/>
  <c r="BC434"/>
  <c r="BB434"/>
  <c r="BA434"/>
  <c r="AZ434" s="1"/>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Z423" s="1"/>
  <c r="AX423"/>
  <c r="AW423"/>
  <c r="AV423"/>
  <c r="AC423"/>
  <c r="H423"/>
  <c r="G423" s="1"/>
  <c r="BT422"/>
  <c r="BS422"/>
  <c r="BR422"/>
  <c r="BQ422"/>
  <c r="BP422"/>
  <c r="BO422"/>
  <c r="BN422"/>
  <c r="BM422"/>
  <c r="BL422"/>
  <c r="BK422"/>
  <c r="BJ422"/>
  <c r="BI422"/>
  <c r="BH422"/>
  <c r="BG422"/>
  <c r="BF422"/>
  <c r="BE422"/>
  <c r="BD422"/>
  <c r="BC422"/>
  <c r="BB422"/>
  <c r="BA422"/>
  <c r="AZ422" s="1"/>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Z419" s="1"/>
  <c r="AX419"/>
  <c r="AW419"/>
  <c r="AV419"/>
  <c r="AC419"/>
  <c r="H419"/>
  <c r="G419" s="1"/>
  <c r="BT418"/>
  <c r="BS418"/>
  <c r="BR418"/>
  <c r="BQ418"/>
  <c r="BP418"/>
  <c r="BO418"/>
  <c r="BN418"/>
  <c r="BM418"/>
  <c r="BL418"/>
  <c r="BK418"/>
  <c r="BJ418"/>
  <c r="BI418"/>
  <c r="BH418"/>
  <c r="BG418"/>
  <c r="BF418"/>
  <c r="BE418"/>
  <c r="BD418"/>
  <c r="BC418"/>
  <c r="BB418"/>
  <c r="BA418"/>
  <c r="AZ418" s="1"/>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c r="AZ403" s="1"/>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c r="H60" i="40"/>
  <c r="I60"/>
  <c r="C60" s="1"/>
  <c r="H59"/>
  <c r="I59" s="1"/>
  <c r="C59" s="1"/>
  <c r="H58"/>
  <c r="I58" s="1"/>
  <c r="C58" s="1"/>
  <c r="H57"/>
  <c r="I57" s="1"/>
  <c r="C57" s="1"/>
  <c r="H56"/>
  <c r="I56"/>
  <c r="C56" s="1"/>
  <c r="H55"/>
  <c r="I55" s="1"/>
  <c r="C55" s="1"/>
  <c r="H54"/>
  <c r="I54" s="1"/>
  <c r="C54" s="1"/>
  <c r="H53"/>
  <c r="I53" s="1"/>
  <c r="C53" s="1"/>
  <c r="H52"/>
  <c r="I52"/>
  <c r="C52" s="1"/>
  <c r="H65" i="39"/>
  <c r="I65" s="1"/>
  <c r="C65" s="1"/>
  <c r="H64"/>
  <c r="I64" s="1"/>
  <c r="C64" s="1"/>
  <c r="H60"/>
  <c r="I60" s="1"/>
  <c r="C60" s="1"/>
  <c r="H59"/>
  <c r="I59"/>
  <c r="C59" s="1"/>
  <c r="H58"/>
  <c r="I58" s="1"/>
  <c r="C58" s="1"/>
  <c r="H57"/>
  <c r="I57" s="1"/>
  <c r="C57" s="1"/>
  <c r="H61"/>
  <c r="I61" s="1"/>
  <c r="C61" s="1"/>
  <c r="H63"/>
  <c r="I63"/>
  <c r="C63" s="1"/>
  <c r="H62"/>
  <c r="I62" s="1"/>
  <c r="C62" s="1"/>
  <c r="C145" i="21"/>
  <c r="K139"/>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c r="R258"/>
  <c r="R259"/>
  <c r="S259" s="1"/>
  <c r="R260"/>
  <c r="R261"/>
  <c r="S261"/>
  <c r="R262"/>
  <c r="R263"/>
  <c r="S263" s="1"/>
  <c r="R264"/>
  <c r="R265"/>
  <c r="S265"/>
  <c r="R266"/>
  <c r="R267"/>
  <c r="S267" s="1"/>
  <c r="R268"/>
  <c r="R269"/>
  <c r="S269"/>
  <c r="R270"/>
  <c r="R271"/>
  <c r="S271" s="1"/>
  <c r="R272"/>
  <c r="R273"/>
  <c r="S273"/>
  <c r="R274"/>
  <c r="R275"/>
  <c r="S275" s="1"/>
  <c r="R276"/>
  <c r="R277"/>
  <c r="S277"/>
  <c r="R278"/>
  <c r="R279"/>
  <c r="S279" s="1"/>
  <c r="R280"/>
  <c r="R281"/>
  <c r="S281"/>
  <c r="R282"/>
  <c r="R283"/>
  <c r="S283" s="1"/>
  <c r="R284"/>
  <c r="R285"/>
  <c r="S285"/>
  <c r="R286"/>
  <c r="R287"/>
  <c r="S287" s="1"/>
  <c r="R288"/>
  <c r="R289"/>
  <c r="S289"/>
  <c r="R290"/>
  <c r="R291"/>
  <c r="S291" s="1"/>
  <c r="R292"/>
  <c r="R293"/>
  <c r="S293"/>
  <c r="R294"/>
  <c r="R295"/>
  <c r="S295" s="1"/>
  <c r="R296"/>
  <c r="R297"/>
  <c r="S297"/>
  <c r="R298"/>
  <c r="R299"/>
  <c r="S299" s="1"/>
  <c r="R300"/>
  <c r="R301"/>
  <c r="S301"/>
  <c r="R302"/>
  <c r="R303"/>
  <c r="S303" s="1"/>
  <c r="R304"/>
  <c r="R305"/>
  <c r="S305"/>
  <c r="R306"/>
  <c r="R307"/>
  <c r="S307" s="1"/>
  <c r="R308"/>
  <c r="R309"/>
  <c r="S309"/>
  <c r="R310"/>
  <c r="R311"/>
  <c r="S311" s="1"/>
  <c r="R312"/>
  <c r="R313"/>
  <c r="S313"/>
  <c r="R314"/>
  <c r="R315"/>
  <c r="S315" s="1"/>
  <c r="R316"/>
  <c r="R317"/>
  <c r="S317"/>
  <c r="R318"/>
  <c r="R319"/>
  <c r="S319" s="1"/>
  <c r="R320"/>
  <c r="R321"/>
  <c r="S321"/>
  <c r="R322"/>
  <c r="R323"/>
  <c r="S323" s="1"/>
  <c r="R324"/>
  <c r="R325"/>
  <c r="S325"/>
  <c r="R326"/>
  <c r="R327"/>
  <c r="S327" s="1"/>
  <c r="R328"/>
  <c r="R329"/>
  <c r="S329"/>
  <c r="R330"/>
  <c r="R331"/>
  <c r="S331" s="1"/>
  <c r="R332"/>
  <c r="R333"/>
  <c r="S333"/>
  <c r="R334"/>
  <c r="R335"/>
  <c r="S335" s="1"/>
  <c r="R336"/>
  <c r="R337"/>
  <c r="S337"/>
  <c r="R338"/>
  <c r="R339"/>
  <c r="S339" s="1"/>
  <c r="R340"/>
  <c r="R341"/>
  <c r="S341"/>
  <c r="R342"/>
  <c r="R343"/>
  <c r="S343" s="1"/>
  <c r="R344"/>
  <c r="R345"/>
  <c r="S345"/>
  <c r="R346"/>
  <c r="R347"/>
  <c r="S347" s="1"/>
  <c r="R348"/>
  <c r="R349"/>
  <c r="S349"/>
  <c r="R350"/>
  <c r="R351"/>
  <c r="S351" s="1"/>
  <c r="R352"/>
  <c r="R353"/>
  <c r="S353"/>
  <c r="R354"/>
  <c r="R355"/>
  <c r="S355" s="1"/>
  <c r="R356"/>
  <c r="R357"/>
  <c r="S357"/>
  <c r="R358"/>
  <c r="R359"/>
  <c r="S359" s="1"/>
  <c r="R360"/>
  <c r="R361"/>
  <c r="S361"/>
  <c r="R362"/>
  <c r="R363"/>
  <c r="S363" s="1"/>
  <c r="R364"/>
  <c r="R365"/>
  <c r="S365"/>
  <c r="R366"/>
  <c r="R367"/>
  <c r="S367" s="1"/>
  <c r="R368"/>
  <c r="R369"/>
  <c r="S369"/>
  <c r="R370"/>
  <c r="R371"/>
  <c r="S371" s="1"/>
  <c r="R372"/>
  <c r="R373"/>
  <c r="S373"/>
  <c r="R374"/>
  <c r="R375"/>
  <c r="S375" s="1"/>
  <c r="R376"/>
  <c r="R377"/>
  <c r="S377"/>
  <c r="R378"/>
  <c r="R379"/>
  <c r="S379" s="1"/>
  <c r="R380"/>
  <c r="R381"/>
  <c r="S381"/>
  <c r="R382"/>
  <c r="R383"/>
  <c r="S383" s="1"/>
  <c r="R384"/>
  <c r="R385"/>
  <c r="S385"/>
  <c r="R386"/>
  <c r="R387"/>
  <c r="S387" s="1"/>
  <c r="R388"/>
  <c r="R389"/>
  <c r="S389"/>
  <c r="R390"/>
  <c r="R391"/>
  <c r="S391" s="1"/>
  <c r="R392"/>
  <c r="R393"/>
  <c r="S393"/>
  <c r="R394"/>
  <c r="R395"/>
  <c r="S395" s="1"/>
  <c r="R396"/>
  <c r="R397"/>
  <c r="S397"/>
  <c r="R398"/>
  <c r="R399"/>
  <c r="S399" s="1"/>
  <c r="R400"/>
  <c r="R401"/>
  <c r="S401"/>
  <c r="R402"/>
  <c r="R403"/>
  <c r="S403" s="1"/>
  <c r="R404"/>
  <c r="R405"/>
  <c r="S405"/>
  <c r="R406"/>
  <c r="R407"/>
  <c r="S407" s="1"/>
  <c r="R408"/>
  <c r="R409"/>
  <c r="S409"/>
  <c r="R410"/>
  <c r="R411"/>
  <c r="S411" s="1"/>
  <c r="R412"/>
  <c r="R413"/>
  <c r="S413"/>
  <c r="R414"/>
  <c r="R415"/>
  <c r="S415" s="1"/>
  <c r="R416"/>
  <c r="R417"/>
  <c r="S417"/>
  <c r="R418"/>
  <c r="R419"/>
  <c r="S419" s="1"/>
  <c r="R420"/>
  <c r="R421"/>
  <c r="S42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1" i="1"/>
  <c r="I15" i="4"/>
  <c r="H15"/>
  <c r="G15"/>
  <c r="E15"/>
  <c r="D15"/>
  <c r="F7" i="1"/>
  <c r="L21" i="4"/>
  <c r="F19"/>
  <c r="F2" i="52"/>
  <c r="B50" i="72"/>
  <c r="D2" i="52"/>
  <c r="B46" i="72"/>
  <c r="B8" i="53"/>
  <c r="B23" i="72"/>
  <c r="L4" i="9"/>
  <c r="B17" i="72"/>
  <c r="B15"/>
  <c r="A3" i="51"/>
  <c r="C8" i="11"/>
  <c r="B2" i="49"/>
  <c r="E17" s="1"/>
  <c r="B40" i="48"/>
  <c r="B3" i="72"/>
  <c r="I2" i="43"/>
  <c r="N1"/>
  <c r="F35" i="4"/>
  <c r="J55" i="39"/>
  <c r="H34" i="43"/>
  <c r="H35"/>
  <c r="H36"/>
  <c r="H37"/>
  <c r="H38"/>
  <c r="H39"/>
  <c r="H33"/>
  <c r="J20"/>
  <c r="C18"/>
  <c r="F15"/>
  <c r="E15"/>
  <c r="D15"/>
  <c r="C15"/>
  <c r="C10"/>
  <c r="C11" s="1"/>
  <c r="C9"/>
  <c r="A7"/>
  <c r="F33" i="15"/>
  <c r="F61" s="1"/>
  <c r="M19"/>
  <c r="BR13" i="3"/>
  <c r="M10" i="1"/>
  <c r="O10" s="1"/>
  <c r="P10" s="1"/>
  <c r="B22"/>
  <c r="B23"/>
  <c r="B24"/>
  <c r="B43"/>
  <c r="D78" i="9"/>
  <c r="BQ13" i="3"/>
  <c r="BQ14"/>
  <c r="BQ15"/>
  <c r="BQ16"/>
  <c r="BQ17"/>
  <c r="BS13"/>
  <c r="BS14"/>
  <c r="BS15"/>
  <c r="BS16"/>
  <c r="BS17"/>
  <c r="BR14"/>
  <c r="BR15"/>
  <c r="BR16"/>
  <c r="BR17"/>
  <c r="BT13"/>
  <c r="BT14"/>
  <c r="BT15"/>
  <c r="BT16"/>
  <c r="BT17"/>
  <c r="BM14"/>
  <c r="BM15"/>
  <c r="BM16"/>
  <c r="BM17"/>
  <c r="BO13"/>
  <c r="BO14"/>
  <c r="BO15"/>
  <c r="BO16"/>
  <c r="BL16" s="1"/>
  <c r="BO17"/>
  <c r="BN13"/>
  <c r="BN14"/>
  <c r="BN15"/>
  <c r="BL15" s="1"/>
  <c r="BN16"/>
  <c r="BN17"/>
  <c r="BP13"/>
  <c r="BP14"/>
  <c r="BP15"/>
  <c r="BP16"/>
  <c r="BP17"/>
  <c r="E19" i="6"/>
  <c r="E20"/>
  <c r="E21"/>
  <c r="K8" i="1" s="1"/>
  <c r="M8" s="1"/>
  <c r="F23" i="15"/>
  <c r="D24" s="1"/>
  <c r="M13" i="1"/>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G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c r="K55"/>
  <c r="F59"/>
  <c r="N54"/>
  <c r="N53"/>
  <c r="E48"/>
  <c r="N52" s="1"/>
  <c r="O55"/>
  <c r="F56"/>
  <c r="O54"/>
  <c r="D101"/>
  <c r="C101"/>
  <c r="H104"/>
  <c r="D10" i="53"/>
  <c r="B26" i="72" s="1"/>
  <c r="C30" i="40"/>
  <c r="C28"/>
  <c r="C23" i="39"/>
  <c r="C19" i="40"/>
  <c r="D27" i="9"/>
  <c r="C25"/>
  <c r="D77"/>
  <c r="E90"/>
  <c r="H77"/>
  <c r="H105"/>
  <c r="D11" i="53"/>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P550"/>
  <c r="BQ550"/>
  <c r="BL550" s="1"/>
  <c r="AZ550" s="1"/>
  <c r="BR550"/>
  <c r="BS550"/>
  <c r="BT550"/>
  <c r="H551"/>
  <c r="AC551"/>
  <c r="BB551"/>
  <c r="BC551"/>
  <c r="BD551"/>
  <c r="BE551"/>
  <c r="BF551"/>
  <c r="BA551" s="1"/>
  <c r="AZ551" s="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AC30" s="1"/>
  <c r="H30"/>
  <c r="F30"/>
  <c r="AA30" s="1"/>
  <c r="C26" i="35"/>
  <c r="C79" s="1"/>
  <c r="J31"/>
  <c r="H31"/>
  <c r="F31"/>
  <c r="D87"/>
  <c r="E87" s="1"/>
  <c r="F87" s="1"/>
  <c r="G87" s="1"/>
  <c r="H87" s="1"/>
  <c r="I87" s="1"/>
  <c r="J87" s="1"/>
  <c r="K87" s="1"/>
  <c r="L87" s="1"/>
  <c r="M87" s="1"/>
  <c r="H34" i="37"/>
  <c r="D101"/>
  <c r="F34"/>
  <c r="D99"/>
  <c r="E99"/>
  <c r="F99" s="1"/>
  <c r="G99"/>
  <c r="H99" s="1"/>
  <c r="I99" s="1"/>
  <c r="J99" s="1"/>
  <c r="K99" s="1"/>
  <c r="L99" s="1"/>
  <c r="M99" s="1"/>
  <c r="H42" i="34"/>
  <c r="J42"/>
  <c r="W42" s="1"/>
  <c r="F42"/>
  <c r="J38"/>
  <c r="W38"/>
  <c r="D114"/>
  <c r="F38"/>
  <c r="S38" s="1"/>
  <c r="D112"/>
  <c r="E112" s="1"/>
  <c r="F112"/>
  <c r="G112" s="1"/>
  <c r="H112" s="1"/>
  <c r="I112" s="1"/>
  <c r="J112" s="1"/>
  <c r="K112" s="1"/>
  <c r="L112" s="1"/>
  <c r="M112" s="1"/>
  <c r="F40" i="33"/>
  <c r="J41"/>
  <c r="D113"/>
  <c r="F37"/>
  <c r="D111"/>
  <c r="E111" s="1"/>
  <c r="F111" s="1"/>
  <c r="G111" s="1"/>
  <c r="H111" s="1"/>
  <c r="I111" s="1"/>
  <c r="J111" s="1"/>
  <c r="K111" s="1"/>
  <c r="L111" s="1"/>
  <c r="M111" s="1"/>
  <c r="S515" i="31"/>
  <c r="S516"/>
  <c r="S517"/>
  <c r="S518"/>
  <c r="S519"/>
  <c r="S520"/>
  <c r="S521"/>
  <c r="S522"/>
  <c r="S523"/>
  <c r="S524"/>
  <c r="F41" i="21"/>
  <c r="J41"/>
  <c r="AC41" s="1"/>
  <c r="H41"/>
  <c r="U41" s="1"/>
  <c r="D81" i="39"/>
  <c r="E81" s="1"/>
  <c r="F81"/>
  <c r="G81" s="1"/>
  <c r="H81" s="1"/>
  <c r="I81" s="1"/>
  <c r="J81" s="1"/>
  <c r="K81" s="1"/>
  <c r="L81" s="1"/>
  <c r="M81" s="1"/>
  <c r="D76" i="40"/>
  <c r="E76" s="1"/>
  <c r="F76" s="1"/>
  <c r="G76" s="1"/>
  <c r="H76" s="1"/>
  <c r="I76" s="1"/>
  <c r="J76" s="1"/>
  <c r="K76" s="1"/>
  <c r="L76" s="1"/>
  <c r="M76" s="1"/>
  <c r="B120"/>
  <c r="B118"/>
  <c r="J39"/>
  <c r="B116"/>
  <c r="F38"/>
  <c r="AA38" s="1"/>
  <c r="D115"/>
  <c r="E115" s="1"/>
  <c r="F115" s="1"/>
  <c r="G115" s="1"/>
  <c r="H115" s="1"/>
  <c r="I115" s="1"/>
  <c r="J115" s="1"/>
  <c r="K115" s="1"/>
  <c r="L115" s="1"/>
  <c r="M115" s="1"/>
  <c r="D113"/>
  <c r="E113" s="1"/>
  <c r="F113"/>
  <c r="G113" s="1"/>
  <c r="H113" s="1"/>
  <c r="I113" s="1"/>
  <c r="J113" s="1"/>
  <c r="K113" s="1"/>
  <c r="L113" s="1"/>
  <c r="M113" s="1"/>
  <c r="D111"/>
  <c r="E111" s="1"/>
  <c r="M107"/>
  <c r="L107"/>
  <c r="K107"/>
  <c r="J107"/>
  <c r="H107"/>
  <c r="G107"/>
  <c r="F107"/>
  <c r="E107"/>
  <c r="D107"/>
  <c r="C107"/>
  <c r="B105"/>
  <c r="J33" s="1"/>
  <c r="W33"/>
  <c r="B103"/>
  <c r="J32"/>
  <c r="AC32" s="1"/>
  <c r="B101"/>
  <c r="J31" s="1"/>
  <c r="AC31"/>
  <c r="D100"/>
  <c r="E100"/>
  <c r="F100" s="1"/>
  <c r="G100" s="1"/>
  <c r="H100" s="1"/>
  <c r="I100" s="1"/>
  <c r="J100" s="1"/>
  <c r="K100" s="1"/>
  <c r="L100" s="1"/>
  <c r="M100" s="1"/>
  <c r="D98"/>
  <c r="J28"/>
  <c r="AC28" s="1"/>
  <c r="D96"/>
  <c r="E96" s="1"/>
  <c r="F96"/>
  <c r="G96" s="1"/>
  <c r="H96" s="1"/>
  <c r="I96" s="1"/>
  <c r="J96" s="1"/>
  <c r="K96" s="1"/>
  <c r="L96" s="1"/>
  <c r="M96" s="1"/>
  <c r="B95"/>
  <c r="D92"/>
  <c r="E92"/>
  <c r="F92" s="1"/>
  <c r="G92" s="1"/>
  <c r="D90"/>
  <c r="E90"/>
  <c r="F90" s="1"/>
  <c r="G90"/>
  <c r="D88"/>
  <c r="E88"/>
  <c r="D86"/>
  <c r="E86"/>
  <c r="F86" s="1"/>
  <c r="G86" s="1"/>
  <c r="D84"/>
  <c r="E84"/>
  <c r="F84" s="1"/>
  <c r="G84"/>
  <c r="B81"/>
  <c r="B79"/>
  <c r="B77"/>
  <c r="J12"/>
  <c r="M74"/>
  <c r="L74"/>
  <c r="K74"/>
  <c r="J74"/>
  <c r="I74"/>
  <c r="H74"/>
  <c r="G74"/>
  <c r="F74"/>
  <c r="E74"/>
  <c r="D74"/>
  <c r="C74"/>
  <c r="P43"/>
  <c r="P42"/>
  <c r="V41"/>
  <c r="T41"/>
  <c r="R41"/>
  <c r="P41"/>
  <c r="Q40"/>
  <c r="Z40" s="1"/>
  <c r="J40"/>
  <c r="W40" s="1"/>
  <c r="H40"/>
  <c r="AB40" s="1"/>
  <c r="F40"/>
  <c r="AA40" s="1"/>
  <c r="Q39"/>
  <c r="Z39" s="1"/>
  <c r="H39"/>
  <c r="U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c r="G120" s="1"/>
  <c r="H120" s="1"/>
  <c r="I120" s="1"/>
  <c r="J120" s="1"/>
  <c r="K120" s="1"/>
  <c r="L120" s="1"/>
  <c r="M120" s="1"/>
  <c r="B114"/>
  <c r="J37" s="1"/>
  <c r="D109"/>
  <c r="F34"/>
  <c r="AA34"/>
  <c r="D107"/>
  <c r="E107"/>
  <c r="D105"/>
  <c r="E105"/>
  <c r="F105" s="1"/>
  <c r="G105"/>
  <c r="H105" s="1"/>
  <c r="I105" s="1"/>
  <c r="J105" s="1"/>
  <c r="K105" s="1"/>
  <c r="L105" s="1"/>
  <c r="M105" s="1"/>
  <c r="D101"/>
  <c r="D99"/>
  <c r="E99" s="1"/>
  <c r="F99"/>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c r="G122" s="1"/>
  <c r="H122" s="1"/>
  <c r="I122" s="1"/>
  <c r="J122" s="1"/>
  <c r="K122" s="1"/>
  <c r="L122" s="1"/>
  <c r="M122" s="1"/>
  <c r="H35"/>
  <c r="AB35" s="1"/>
  <c r="B104"/>
  <c r="D97"/>
  <c r="J23"/>
  <c r="AC23" s="1"/>
  <c r="D95"/>
  <c r="E95" s="1"/>
  <c r="F95" s="1"/>
  <c r="G95" s="1"/>
  <c r="D93"/>
  <c r="E93"/>
  <c r="F93" s="1"/>
  <c r="G93"/>
  <c r="D91"/>
  <c r="E91"/>
  <c r="F91" s="1"/>
  <c r="G91" s="1"/>
  <c r="D89"/>
  <c r="E89"/>
  <c r="F89" s="1"/>
  <c r="G89"/>
  <c r="B86"/>
  <c r="B84"/>
  <c r="B82"/>
  <c r="J12"/>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U25" s="1"/>
  <c r="B110"/>
  <c r="J39"/>
  <c r="AC39" s="1"/>
  <c r="B108"/>
  <c r="C23"/>
  <c r="C19"/>
  <c r="C17"/>
  <c r="C15"/>
  <c r="B112"/>
  <c r="D107"/>
  <c r="E107" s="1"/>
  <c r="D105"/>
  <c r="E105" s="1"/>
  <c r="D103"/>
  <c r="J35"/>
  <c r="W35"/>
  <c r="F97"/>
  <c r="E97"/>
  <c r="D97"/>
  <c r="C97"/>
  <c r="D96"/>
  <c r="E96"/>
  <c r="D94"/>
  <c r="M90"/>
  <c r="L90"/>
  <c r="K90"/>
  <c r="J90"/>
  <c r="I90"/>
  <c r="H90"/>
  <c r="G90"/>
  <c r="F90"/>
  <c r="E90"/>
  <c r="D90"/>
  <c r="C90"/>
  <c r="D89"/>
  <c r="B86"/>
  <c r="B84"/>
  <c r="H27"/>
  <c r="U27" s="1"/>
  <c r="B82"/>
  <c r="D79"/>
  <c r="E79"/>
  <c r="D75"/>
  <c r="E75"/>
  <c r="D73"/>
  <c r="E73"/>
  <c r="F73" s="1"/>
  <c r="D71"/>
  <c r="H15"/>
  <c r="AB15"/>
  <c r="B68"/>
  <c r="H14"/>
  <c r="AB14" s="1"/>
  <c r="B66"/>
  <c r="B64"/>
  <c r="D63"/>
  <c r="E63" s="1"/>
  <c r="M61"/>
  <c r="L61"/>
  <c r="K61"/>
  <c r="J61"/>
  <c r="I61"/>
  <c r="H61"/>
  <c r="G61"/>
  <c r="F61"/>
  <c r="E61"/>
  <c r="D61"/>
  <c r="C61"/>
  <c r="F60"/>
  <c r="G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H26"/>
  <c r="AB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c r="F31"/>
  <c r="S3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c r="G78" s="1"/>
  <c r="H78" s="1"/>
  <c r="I78" s="1"/>
  <c r="J78" s="1"/>
  <c r="K78" s="1"/>
  <c r="L78" s="1"/>
  <c r="M78" s="1"/>
  <c r="B75"/>
  <c r="B73"/>
  <c r="J24"/>
  <c r="AC24" s="1"/>
  <c r="B71"/>
  <c r="D70"/>
  <c r="H22"/>
  <c r="AB22" s="1"/>
  <c r="D68"/>
  <c r="E68" s="1"/>
  <c r="F68" s="1"/>
  <c r="G68" s="1"/>
  <c r="D64"/>
  <c r="E64" s="1"/>
  <c r="F64" s="1"/>
  <c r="G64" s="1"/>
  <c r="J16"/>
  <c r="W16" s="1"/>
  <c r="D62"/>
  <c r="E62" s="1"/>
  <c r="F62"/>
  <c r="G62" s="1"/>
  <c r="B59"/>
  <c r="B57"/>
  <c r="J12"/>
  <c r="B55"/>
  <c r="F54"/>
  <c r="G54" s="1"/>
  <c r="H54"/>
  <c r="I54" s="1"/>
  <c r="C51"/>
  <c r="P37"/>
  <c r="P36"/>
  <c r="V35"/>
  <c r="T35"/>
  <c r="R35"/>
  <c r="P35"/>
  <c r="Q34"/>
  <c r="Z34"/>
  <c r="Q33"/>
  <c r="Z33"/>
  <c r="Q32"/>
  <c r="Z32"/>
  <c r="Q31"/>
  <c r="Z31"/>
  <c r="Q30"/>
  <c r="Z30"/>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B99"/>
  <c r="B97"/>
  <c r="B77"/>
  <c r="B75"/>
  <c r="J24" s="1"/>
  <c r="AC24" s="1"/>
  <c r="B73"/>
  <c r="H23"/>
  <c r="U23" s="1"/>
  <c r="B57"/>
  <c r="B61"/>
  <c r="B59"/>
  <c r="J12" s="1"/>
  <c r="B131" i="34"/>
  <c r="B129"/>
  <c r="B127"/>
  <c r="B99"/>
  <c r="B97"/>
  <c r="B95"/>
  <c r="B93"/>
  <c r="B75"/>
  <c r="B73"/>
  <c r="B71"/>
  <c r="J12" s="1"/>
  <c r="B130" i="33"/>
  <c r="B128"/>
  <c r="H45" s="1"/>
  <c r="B126"/>
  <c r="B98"/>
  <c r="B96"/>
  <c r="B94"/>
  <c r="B74"/>
  <c r="B72"/>
  <c r="B70"/>
  <c r="J12"/>
  <c r="D96" i="35"/>
  <c r="E96"/>
  <c r="F96" s="1"/>
  <c r="G96" s="1"/>
  <c r="D94"/>
  <c r="E94"/>
  <c r="F94" s="1"/>
  <c r="G94"/>
  <c r="H94" s="1"/>
  <c r="I94" s="1"/>
  <c r="J94" s="1"/>
  <c r="K94" s="1"/>
  <c r="L94" s="1"/>
  <c r="M94" s="1"/>
  <c r="D84"/>
  <c r="E84"/>
  <c r="F84" s="1"/>
  <c r="G84"/>
  <c r="H84" s="1"/>
  <c r="I84" s="1"/>
  <c r="J84" s="1"/>
  <c r="K84" s="1"/>
  <c r="L84" s="1"/>
  <c r="M84" s="1"/>
  <c r="D80"/>
  <c r="E80"/>
  <c r="F80" s="1"/>
  <c r="G80"/>
  <c r="H80" s="1"/>
  <c r="I80" s="1"/>
  <c r="J80" s="1"/>
  <c r="K80" s="1"/>
  <c r="L80" s="1"/>
  <c r="M80" s="1"/>
  <c r="D72"/>
  <c r="E72"/>
  <c r="F72" s="1"/>
  <c r="G72"/>
  <c r="D70"/>
  <c r="E70"/>
  <c r="F70" s="1"/>
  <c r="G70" s="1"/>
  <c r="D66"/>
  <c r="E66"/>
  <c r="F66" s="1"/>
  <c r="G66"/>
  <c r="D64"/>
  <c r="E64"/>
  <c r="F64" s="1"/>
  <c r="G64" s="1"/>
  <c r="J14"/>
  <c r="W14"/>
  <c r="F56"/>
  <c r="G56"/>
  <c r="H56" s="1"/>
  <c r="I56"/>
  <c r="C53"/>
  <c r="J9"/>
  <c r="P39"/>
  <c r="P38"/>
  <c r="V37"/>
  <c r="T37"/>
  <c r="R37"/>
  <c r="P37"/>
  <c r="Q36"/>
  <c r="Z36"/>
  <c r="Q35"/>
  <c r="Z35"/>
  <c r="Q34"/>
  <c r="Z34"/>
  <c r="Q33"/>
  <c r="Z33"/>
  <c r="Q32"/>
  <c r="Z32"/>
  <c r="H32"/>
  <c r="AB32"/>
  <c r="F32"/>
  <c r="AA32"/>
  <c r="Q31"/>
  <c r="Z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H12"/>
  <c r="U12" s="1"/>
  <c r="Q11"/>
  <c r="Z11" s="1"/>
  <c r="Q10"/>
  <c r="Z10" s="1"/>
  <c r="Q9"/>
  <c r="Z9" s="1"/>
  <c r="J8"/>
  <c r="W8" s="1"/>
  <c r="H8"/>
  <c r="AB8" s="1"/>
  <c r="F8"/>
  <c r="AA8" s="1"/>
  <c r="D120" i="34"/>
  <c r="E120" s="1"/>
  <c r="F120" s="1"/>
  <c r="G120" s="1"/>
  <c r="H120" s="1"/>
  <c r="I120" s="1"/>
  <c r="J120" s="1"/>
  <c r="K120" s="1"/>
  <c r="L120" s="1"/>
  <c r="M120" s="1"/>
  <c r="D90"/>
  <c r="E90" s="1"/>
  <c r="F90"/>
  <c r="G90" s="1"/>
  <c r="H90" s="1"/>
  <c r="I90" s="1"/>
  <c r="J90" s="1"/>
  <c r="K90" s="1"/>
  <c r="L90" s="1"/>
  <c r="M90" s="1"/>
  <c r="C15"/>
  <c r="F67"/>
  <c r="G67"/>
  <c r="D126"/>
  <c r="E126"/>
  <c r="F126" s="1"/>
  <c r="G126" s="1"/>
  <c r="D124"/>
  <c r="E124"/>
  <c r="F124" s="1"/>
  <c r="G124"/>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c r="F102" s="1"/>
  <c r="G102" s="1"/>
  <c r="H102" s="1"/>
  <c r="I102" s="1"/>
  <c r="J102" s="1"/>
  <c r="K102" s="1"/>
  <c r="L102" s="1"/>
  <c r="M102" s="1"/>
  <c r="D92"/>
  <c r="E92"/>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F70" s="1"/>
  <c r="G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F12"/>
  <c r="S12" s="1"/>
  <c r="Q11"/>
  <c r="Z11" s="1"/>
  <c r="Q10"/>
  <c r="Z10" s="1"/>
  <c r="F10"/>
  <c r="AA10" s="1"/>
  <c r="Q9"/>
  <c r="Z9" s="1"/>
  <c r="J9"/>
  <c r="AC9" s="1"/>
  <c r="H9"/>
  <c r="F9"/>
  <c r="AA9"/>
  <c r="J8"/>
  <c r="AC8"/>
  <c r="H8"/>
  <c r="U8"/>
  <c r="F8"/>
  <c r="D121" i="33"/>
  <c r="E121" s="1"/>
  <c r="F121" s="1"/>
  <c r="G121" s="1"/>
  <c r="H121" s="1"/>
  <c r="I121" s="1"/>
  <c r="J121" s="1"/>
  <c r="K121" s="1"/>
  <c r="L121" s="1"/>
  <c r="M121" s="1"/>
  <c r="F109"/>
  <c r="E109"/>
  <c r="D109"/>
  <c r="C109"/>
  <c r="D91"/>
  <c r="E91" s="1"/>
  <c r="F91" s="1"/>
  <c r="G91" s="1"/>
  <c r="H91" s="1"/>
  <c r="I91" s="1"/>
  <c r="J91" s="1"/>
  <c r="K91" s="1"/>
  <c r="L91" s="1"/>
  <c r="M91" s="1"/>
  <c r="B88"/>
  <c r="J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c r="B92"/>
  <c r="B90"/>
  <c r="D87"/>
  <c r="E87"/>
  <c r="D85"/>
  <c r="E85" s="1"/>
  <c r="D81"/>
  <c r="E81" s="1"/>
  <c r="D79"/>
  <c r="E79" s="1"/>
  <c r="D77"/>
  <c r="E77" s="1"/>
  <c r="D69"/>
  <c r="E69" s="1"/>
  <c r="F69" s="1"/>
  <c r="G69" s="1"/>
  <c r="H69" s="1"/>
  <c r="I69" s="1"/>
  <c r="J69" s="1"/>
  <c r="K69" s="1"/>
  <c r="L69" s="1"/>
  <c r="M69" s="1"/>
  <c r="M67"/>
  <c r="L67"/>
  <c r="K67"/>
  <c r="J67"/>
  <c r="I67"/>
  <c r="H67"/>
  <c r="G67"/>
  <c r="F67"/>
  <c r="E67"/>
  <c r="D67"/>
  <c r="C67"/>
  <c r="G66"/>
  <c r="H66" s="1"/>
  <c r="I66" s="1"/>
  <c r="C63"/>
  <c r="J9" s="1"/>
  <c r="F54"/>
  <c r="P49"/>
  <c r="P48"/>
  <c r="V47"/>
  <c r="T47"/>
  <c r="R47"/>
  <c r="P47"/>
  <c r="Q46"/>
  <c r="Z46" s="1"/>
  <c r="Q45"/>
  <c r="Z45" s="1"/>
  <c r="Q44"/>
  <c r="Z44" s="1"/>
  <c r="Q43"/>
  <c r="Z43" s="1"/>
  <c r="Q42"/>
  <c r="Z42" s="1"/>
  <c r="J42"/>
  <c r="AC42" s="1"/>
  <c r="AC41"/>
  <c r="W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c r="J33"/>
  <c r="AC33" s="1"/>
  <c r="H33"/>
  <c r="AB33" s="1"/>
  <c r="F33"/>
  <c r="AA33" s="1"/>
  <c r="Q32"/>
  <c r="Z32"/>
  <c r="Q31"/>
  <c r="Z31"/>
  <c r="Q30"/>
  <c r="Z30" s="1"/>
  <c r="Q29"/>
  <c r="Z29" s="1"/>
  <c r="Q28"/>
  <c r="Z28"/>
  <c r="Q27"/>
  <c r="Z27"/>
  <c r="Q26"/>
  <c r="Z26"/>
  <c r="Q25"/>
  <c r="Z25"/>
  <c r="Q23"/>
  <c r="Z23"/>
  <c r="Q19"/>
  <c r="Z19"/>
  <c r="Q17"/>
  <c r="Z17"/>
  <c r="Q15"/>
  <c r="Z15"/>
  <c r="Q14"/>
  <c r="Z14"/>
  <c r="Q13"/>
  <c r="Z13"/>
  <c r="Q12"/>
  <c r="Z12" s="1"/>
  <c r="H12"/>
  <c r="U12" s="1"/>
  <c r="Q11"/>
  <c r="Z11"/>
  <c r="Q10"/>
  <c r="Z10"/>
  <c r="Q9"/>
  <c r="Z9"/>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G123" s="1"/>
  <c r="H123" s="1"/>
  <c r="I123" s="1"/>
  <c r="J123" s="1"/>
  <c r="K123" s="1"/>
  <c r="L123" s="1"/>
  <c r="M123" s="1"/>
  <c r="F42"/>
  <c r="AA42"/>
  <c r="D119"/>
  <c r="F40"/>
  <c r="AA40" s="1"/>
  <c r="D117"/>
  <c r="E117" s="1"/>
  <c r="F117" s="1"/>
  <c r="G117" s="1"/>
  <c r="D115"/>
  <c r="E115" s="1"/>
  <c r="F115" s="1"/>
  <c r="G115" s="1"/>
  <c r="H115" s="1"/>
  <c r="I115" s="1"/>
  <c r="J115" s="1"/>
  <c r="K115" s="1"/>
  <c r="L115" s="1"/>
  <c r="M115" s="1"/>
  <c r="D113"/>
  <c r="E113" s="1"/>
  <c r="F113" s="1"/>
  <c r="G113" s="1"/>
  <c r="H113" s="1"/>
  <c r="D110"/>
  <c r="E110"/>
  <c r="F110" s="1"/>
  <c r="G110" s="1"/>
  <c r="H110" s="1"/>
  <c r="I110" s="1"/>
  <c r="J110" s="1"/>
  <c r="K110" s="1"/>
  <c r="L110" s="1"/>
  <c r="M110" s="1"/>
  <c r="J36"/>
  <c r="AC36"/>
  <c r="D108"/>
  <c r="E108"/>
  <c r="F108" s="1"/>
  <c r="G108" s="1"/>
  <c r="H108" s="1"/>
  <c r="I108" s="1"/>
  <c r="J108" s="1"/>
  <c r="K108" s="1"/>
  <c r="L108" s="1"/>
  <c r="M108" s="1"/>
  <c r="D106"/>
  <c r="E106"/>
  <c r="F106" s="1"/>
  <c r="G106" s="1"/>
  <c r="H106" s="1"/>
  <c r="I106" s="1"/>
  <c r="J106" s="1"/>
  <c r="K106" s="1"/>
  <c r="L106" s="1"/>
  <c r="M106" s="1"/>
  <c r="D101"/>
  <c r="E101"/>
  <c r="F101" s="1"/>
  <c r="G101" s="1"/>
  <c r="H101" s="1"/>
  <c r="I101" s="1"/>
  <c r="J101" s="1"/>
  <c r="K101" s="1"/>
  <c r="L101" s="1"/>
  <c r="M101" s="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F19"/>
  <c r="AA19" s="1"/>
  <c r="E81"/>
  <c r="F81" s="1"/>
  <c r="G81" s="1"/>
  <c r="D77"/>
  <c r="E77"/>
  <c r="B130"/>
  <c r="B128"/>
  <c r="J45" s="1"/>
  <c r="B126"/>
  <c r="B98"/>
  <c r="H31" s="1"/>
  <c r="B96"/>
  <c r="B94"/>
  <c r="J29"/>
  <c r="AC29" s="1"/>
  <c r="B92"/>
  <c r="B90"/>
  <c r="J27"/>
  <c r="W27" s="1"/>
  <c r="B74"/>
  <c r="B72"/>
  <c r="H13"/>
  <c r="B70"/>
  <c r="F12"/>
  <c r="S12"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s="1"/>
  <c r="J5" i="3"/>
  <c r="BE10"/>
  <c r="BB585"/>
  <c r="BC585"/>
  <c r="BD585"/>
  <c r="BE585"/>
  <c r="BF585"/>
  <c r="BG585"/>
  <c r="BH585"/>
  <c r="BI585"/>
  <c r="BJ585"/>
  <c r="BK585"/>
  <c r="BM585"/>
  <c r="BL585" s="1"/>
  <c r="BN585"/>
  <c r="BO585"/>
  <c r="BP585"/>
  <c r="BQ585"/>
  <c r="BR585"/>
  <c r="BS585"/>
  <c r="BT585"/>
  <c r="BB586"/>
  <c r="BC586"/>
  <c r="BD586"/>
  <c r="BE586"/>
  <c r="BF586"/>
  <c r="BG586"/>
  <c r="BH586"/>
  <c r="BI586"/>
  <c r="BJ586"/>
  <c r="BK586"/>
  <c r="BM586"/>
  <c r="BL586" s="1"/>
  <c r="AZ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c r="J12"/>
  <c r="AC12"/>
  <c r="H12"/>
  <c r="AB12"/>
  <c r="J26"/>
  <c r="W26"/>
  <c r="F26"/>
  <c r="S26"/>
  <c r="AB41"/>
  <c r="S41"/>
  <c r="AA41"/>
  <c r="F45" i="39"/>
  <c r="S45" s="1"/>
  <c r="J45"/>
  <c r="W45" s="1"/>
  <c r="J44"/>
  <c r="AC44" s="1"/>
  <c r="F36"/>
  <c r="S36" s="1"/>
  <c r="H36"/>
  <c r="AB36" s="1"/>
  <c r="J35"/>
  <c r="AC35" s="1"/>
  <c r="F35"/>
  <c r="AA35" s="1"/>
  <c r="J36"/>
  <c r="AC36" s="1"/>
  <c r="U9"/>
  <c r="W40"/>
  <c r="W25" i="37"/>
  <c r="U30"/>
  <c r="W31"/>
  <c r="E103"/>
  <c r="F103"/>
  <c r="G103" s="1"/>
  <c r="H103" s="1"/>
  <c r="I103" s="1"/>
  <c r="J103" s="1"/>
  <c r="K103" s="1"/>
  <c r="L103" s="1"/>
  <c r="M103" s="1"/>
  <c r="F39"/>
  <c r="S39" s="1"/>
  <c r="U14"/>
  <c r="F29" i="36"/>
  <c r="AA29"/>
  <c r="W8"/>
  <c r="F16"/>
  <c r="AA16" s="1"/>
  <c r="U9"/>
  <c r="W28"/>
  <c r="S30"/>
  <c r="AA31"/>
  <c r="AC31"/>
  <c r="W31"/>
  <c r="U31"/>
  <c r="J33"/>
  <c r="W33"/>
  <c r="H22" i="35"/>
  <c r="AB22"/>
  <c r="AC27"/>
  <c r="W28"/>
  <c r="U31"/>
  <c r="W22"/>
  <c r="S31"/>
  <c r="F36" i="34"/>
  <c r="J35"/>
  <c r="W9"/>
  <c r="S34"/>
  <c r="U34"/>
  <c r="H39" i="33"/>
  <c r="AB39" s="1"/>
  <c r="F26"/>
  <c r="AA26"/>
  <c r="U33"/>
  <c r="S40"/>
  <c r="W33"/>
  <c r="W39"/>
  <c r="H39" i="37"/>
  <c r="AB39"/>
  <c r="S27" i="35"/>
  <c r="F11" i="40"/>
  <c r="AA11" s="1"/>
  <c r="H11"/>
  <c r="AB11" s="1"/>
  <c r="W8"/>
  <c r="AB39"/>
  <c r="AC40"/>
  <c r="AA9"/>
  <c r="AC9"/>
  <c r="U9"/>
  <c r="S34"/>
  <c r="U38"/>
  <c r="S40"/>
  <c r="W31"/>
  <c r="U34"/>
  <c r="S38"/>
  <c r="U40"/>
  <c r="F42" i="39"/>
  <c r="AA42"/>
  <c r="F41"/>
  <c r="S41"/>
  <c r="H40"/>
  <c r="AB40"/>
  <c r="H39"/>
  <c r="U39"/>
  <c r="S38"/>
  <c r="S34"/>
  <c r="H34"/>
  <c r="U34"/>
  <c r="E109"/>
  <c r="H31"/>
  <c r="AB31" s="1"/>
  <c r="F31"/>
  <c r="AA31" s="1"/>
  <c r="E101"/>
  <c r="H19"/>
  <c r="AB19"/>
  <c r="F19"/>
  <c r="AA19"/>
  <c r="H17"/>
  <c r="AB17"/>
  <c r="F17"/>
  <c r="AA17"/>
  <c r="J23" i="40"/>
  <c r="AC23"/>
  <c r="F21"/>
  <c r="AA21"/>
  <c r="J21"/>
  <c r="W21"/>
  <c r="H42" i="39"/>
  <c r="AB42"/>
  <c r="J34"/>
  <c r="AC34"/>
  <c r="F109"/>
  <c r="G109"/>
  <c r="H109" s="1"/>
  <c r="I109" s="1"/>
  <c r="J109" s="1"/>
  <c r="K109" s="1"/>
  <c r="L109" s="1"/>
  <c r="M109" s="1"/>
  <c r="J31"/>
  <c r="F101"/>
  <c r="H27"/>
  <c r="U27" s="1"/>
  <c r="J19"/>
  <c r="AC19" s="1"/>
  <c r="J17"/>
  <c r="J27"/>
  <c r="AC27"/>
  <c r="F27"/>
  <c r="F11" i="21"/>
  <c r="S11" s="1"/>
  <c r="S40"/>
  <c r="U34"/>
  <c r="S34"/>
  <c r="C25" i="39"/>
  <c r="C27"/>
  <c r="C21"/>
  <c r="H11"/>
  <c r="S40"/>
  <c r="C15"/>
  <c r="H32" i="33"/>
  <c r="AB32"/>
  <c r="H11" i="21"/>
  <c r="U11"/>
  <c r="J11"/>
  <c r="W11"/>
  <c r="H37" i="40"/>
  <c r="U37"/>
  <c r="H36"/>
  <c r="AB36"/>
  <c r="F35"/>
  <c r="AA35" s="1"/>
  <c r="H23"/>
  <c r="AB23" s="1"/>
  <c r="H17"/>
  <c r="U17" s="1"/>
  <c r="J15"/>
  <c r="W15" s="1"/>
  <c r="J11"/>
  <c r="W11" s="1"/>
  <c r="AB8" i="39"/>
  <c r="AA12" i="34"/>
  <c r="AB12" i="35"/>
  <c r="AB12" i="36"/>
  <c r="W32" i="40"/>
  <c r="S44" i="39"/>
  <c r="F37"/>
  <c r="AA37" s="1"/>
  <c r="J34" i="36"/>
  <c r="W34" s="1"/>
  <c r="U30"/>
  <c r="J30" i="35"/>
  <c r="W30"/>
  <c r="H30"/>
  <c r="AB30"/>
  <c r="F22"/>
  <c r="AA22"/>
  <c r="H10"/>
  <c r="U10"/>
  <c r="AC16" i="36"/>
  <c r="F33"/>
  <c r="AA33" s="1"/>
  <c r="W30"/>
  <c r="H16"/>
  <c r="AB16"/>
  <c r="E85"/>
  <c r="F85"/>
  <c r="G85" s="1"/>
  <c r="H85" s="1"/>
  <c r="I85" s="1"/>
  <c r="J85" s="1"/>
  <c r="K85" s="1"/>
  <c r="L85" s="1"/>
  <c r="M85" s="1"/>
  <c r="J29"/>
  <c r="AC29" s="1"/>
  <c r="F12"/>
  <c r="F24"/>
  <c r="AA24"/>
  <c r="F34"/>
  <c r="S34"/>
  <c r="S10"/>
  <c r="AB8"/>
  <c r="S8"/>
  <c r="U8" i="35"/>
  <c r="F14"/>
  <c r="AA14" s="1"/>
  <c r="F23"/>
  <c r="AA23" s="1"/>
  <c r="J32"/>
  <c r="AC32" s="1"/>
  <c r="J16"/>
  <c r="AC16" s="1"/>
  <c r="H16"/>
  <c r="U16" s="1"/>
  <c r="F16"/>
  <c r="S16" s="1"/>
  <c r="H14"/>
  <c r="AB14" s="1"/>
  <c r="J29"/>
  <c r="H33"/>
  <c r="AB33"/>
  <c r="AC8"/>
  <c r="J20"/>
  <c r="W20" s="1"/>
  <c r="F35" i="37"/>
  <c r="S35" s="1"/>
  <c r="E101"/>
  <c r="F101" s="1"/>
  <c r="G101" s="1"/>
  <c r="H101" s="1"/>
  <c r="I101" s="1"/>
  <c r="J101" s="1"/>
  <c r="K101" s="1"/>
  <c r="L101" s="1"/>
  <c r="M101" s="1"/>
  <c r="J34"/>
  <c r="W34"/>
  <c r="S10"/>
  <c r="AA39"/>
  <c r="AB34"/>
  <c r="J33"/>
  <c r="AC33" s="1"/>
  <c r="U42" i="34"/>
  <c r="H40"/>
  <c r="U40"/>
  <c r="E114"/>
  <c r="H36"/>
  <c r="U36" s="1"/>
  <c r="F37"/>
  <c r="AA37" s="1"/>
  <c r="S35"/>
  <c r="F28"/>
  <c r="AA28"/>
  <c r="F27"/>
  <c r="AA27"/>
  <c r="F25"/>
  <c r="S25"/>
  <c r="H23"/>
  <c r="U23"/>
  <c r="J23"/>
  <c r="F19"/>
  <c r="H17"/>
  <c r="U17"/>
  <c r="F15"/>
  <c r="J15"/>
  <c r="H15"/>
  <c r="AB15"/>
  <c r="S9"/>
  <c r="W8"/>
  <c r="J28"/>
  <c r="W28"/>
  <c r="F41" i="33"/>
  <c r="AA41" s="1"/>
  <c r="S38"/>
  <c r="E113"/>
  <c r="F32"/>
  <c r="AA32"/>
  <c r="F11"/>
  <c r="AA11" s="1"/>
  <c r="S26"/>
  <c r="U40"/>
  <c r="W40"/>
  <c r="U8"/>
  <c r="S8"/>
  <c r="F37" i="40"/>
  <c r="AA37"/>
  <c r="F36"/>
  <c r="AA36"/>
  <c r="H28"/>
  <c r="U28"/>
  <c r="F23"/>
  <c r="AA23" s="1"/>
  <c r="F17"/>
  <c r="AA17" s="1"/>
  <c r="J17"/>
  <c r="W17" s="1"/>
  <c r="F15"/>
  <c r="S15" s="1"/>
  <c r="H15"/>
  <c r="AB15" s="1"/>
  <c r="AC11"/>
  <c r="S12" i="36"/>
  <c r="AA12"/>
  <c r="AB30"/>
  <c r="AC34"/>
  <c r="U30" i="35"/>
  <c r="U33"/>
  <c r="F29"/>
  <c r="S29"/>
  <c r="H29"/>
  <c r="AB29"/>
  <c r="H33" i="37"/>
  <c r="AB33"/>
  <c r="F33"/>
  <c r="AA33"/>
  <c r="U34"/>
  <c r="W33"/>
  <c r="S34"/>
  <c r="AA34"/>
  <c r="J43" i="34"/>
  <c r="AB42"/>
  <c r="J40"/>
  <c r="F114"/>
  <c r="G114" s="1"/>
  <c r="H114" s="1"/>
  <c r="I114" s="1"/>
  <c r="J114" s="1"/>
  <c r="K114" s="1"/>
  <c r="L114" s="1"/>
  <c r="M114" s="1"/>
  <c r="H38"/>
  <c r="AB38" s="1"/>
  <c r="J36"/>
  <c r="W36" s="1"/>
  <c r="H37"/>
  <c r="U37" s="1"/>
  <c r="H25"/>
  <c r="AB25" s="1"/>
  <c r="J25"/>
  <c r="AC25" s="1"/>
  <c r="AB23"/>
  <c r="F23"/>
  <c r="AA23"/>
  <c r="J19"/>
  <c r="AC19"/>
  <c r="F17"/>
  <c r="AA17"/>
  <c r="J17"/>
  <c r="W17"/>
  <c r="AB17"/>
  <c r="AA15"/>
  <c r="S15"/>
  <c r="F113" i="33"/>
  <c r="G113" s="1"/>
  <c r="H113" s="1"/>
  <c r="I113" s="1"/>
  <c r="J113" s="1"/>
  <c r="K113" s="1"/>
  <c r="L113" s="1"/>
  <c r="M113" s="1"/>
  <c r="H37"/>
  <c r="AB37" s="1"/>
  <c r="H11"/>
  <c r="AB11" s="1"/>
  <c r="F28" i="40"/>
  <c r="AA28" s="1"/>
  <c r="AA29" i="35"/>
  <c r="AA42" i="34"/>
  <c r="S42"/>
  <c r="AC38"/>
  <c r="AA38"/>
  <c r="J37"/>
  <c r="AC37"/>
  <c r="J11" i="33"/>
  <c r="W11" s="1"/>
  <c r="S28" i="34"/>
  <c r="U23" i="40"/>
  <c r="J42" i="21"/>
  <c r="AC42" s="1"/>
  <c r="H42"/>
  <c r="U42" s="1"/>
  <c r="J44" i="34"/>
  <c r="F44"/>
  <c r="AA44"/>
  <c r="J10" i="35"/>
  <c r="W10" s="1"/>
  <c r="BL587" i="3"/>
  <c r="J14" i="21"/>
  <c r="W14"/>
  <c r="F14"/>
  <c r="S14"/>
  <c r="H14"/>
  <c r="U14"/>
  <c r="H28"/>
  <c r="AB28"/>
  <c r="F28"/>
  <c r="AA28"/>
  <c r="J28"/>
  <c r="W28"/>
  <c r="H30"/>
  <c r="U30"/>
  <c r="F30"/>
  <c r="S30"/>
  <c r="J30"/>
  <c r="AC30"/>
  <c r="J44"/>
  <c r="AC44"/>
  <c r="H44"/>
  <c r="U44"/>
  <c r="F44"/>
  <c r="AA44"/>
  <c r="H46"/>
  <c r="U46"/>
  <c r="J46"/>
  <c r="W46"/>
  <c r="F46"/>
  <c r="AA46"/>
  <c r="E119"/>
  <c r="F119"/>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c r="J14"/>
  <c r="AC14" s="1"/>
  <c r="H14"/>
  <c r="U14" s="1"/>
  <c r="F28"/>
  <c r="AA28" s="1"/>
  <c r="J13" i="21"/>
  <c r="AC13" s="1"/>
  <c r="H27"/>
  <c r="AB27" s="1"/>
  <c r="F27"/>
  <c r="AA27" s="1"/>
  <c r="H29"/>
  <c r="U29" s="1"/>
  <c r="J31"/>
  <c r="AC31" s="1"/>
  <c r="F31"/>
  <c r="S31" s="1"/>
  <c r="F45"/>
  <c r="AA45" s="1"/>
  <c r="F27" i="33"/>
  <c r="AA27" s="1"/>
  <c r="J13"/>
  <c r="H13"/>
  <c r="AB13"/>
  <c r="F13"/>
  <c r="S13"/>
  <c r="J29"/>
  <c r="AC29" s="1"/>
  <c r="H29"/>
  <c r="U29" s="1"/>
  <c r="F29"/>
  <c r="S29" s="1"/>
  <c r="J31"/>
  <c r="W31"/>
  <c r="H31"/>
  <c r="F31"/>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s="1"/>
  <c r="E89" i="37"/>
  <c r="F89" s="1"/>
  <c r="G89" s="1"/>
  <c r="H89" s="1"/>
  <c r="I89" s="1"/>
  <c r="J89" s="1"/>
  <c r="K89" s="1"/>
  <c r="L89" s="1"/>
  <c r="M89" s="1"/>
  <c r="J29"/>
  <c r="W29"/>
  <c r="F29"/>
  <c r="S29"/>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s="1"/>
  <c r="F14"/>
  <c r="H14"/>
  <c r="AB14"/>
  <c r="F12" i="40"/>
  <c r="S12"/>
  <c r="H12"/>
  <c r="AB12"/>
  <c r="H30"/>
  <c r="AB30"/>
  <c r="F33"/>
  <c r="AA33"/>
  <c r="H33"/>
  <c r="U33"/>
  <c r="J35"/>
  <c r="AC35"/>
  <c r="J37"/>
  <c r="AC37"/>
  <c r="H13"/>
  <c r="U13"/>
  <c r="J13"/>
  <c r="W13"/>
  <c r="F13"/>
  <c r="AA13"/>
  <c r="F14" i="37"/>
  <c r="S14"/>
  <c r="F27"/>
  <c r="AA27"/>
  <c r="F13" i="39"/>
  <c r="J13"/>
  <c r="W13"/>
  <c r="H13"/>
  <c r="H14" i="40"/>
  <c r="AB14" s="1"/>
  <c r="J14"/>
  <c r="W14" s="1"/>
  <c r="F14"/>
  <c r="AA14" s="1"/>
  <c r="J14" i="37"/>
  <c r="AC14" s="1"/>
  <c r="J27"/>
  <c r="AC27" s="1"/>
  <c r="AA44" i="33"/>
  <c r="AA13" i="35"/>
  <c r="U31" i="34"/>
  <c r="AA14" i="33"/>
  <c r="J36" i="37"/>
  <c r="AC36" s="1"/>
  <c r="G105"/>
  <c r="AB11" i="36"/>
  <c r="AB11" i="35"/>
  <c r="J10" i="36"/>
  <c r="AC10" s="1"/>
  <c r="AB26" i="33"/>
  <c r="AB30" i="21"/>
  <c r="AA14" i="37"/>
  <c r="W31" i="34"/>
  <c r="AC13" i="36"/>
  <c r="W13"/>
  <c r="S11"/>
  <c r="W11"/>
  <c r="W11" i="35"/>
  <c r="AB46" i="34"/>
  <c r="AC30"/>
  <c r="AA14"/>
  <c r="AB31" i="33"/>
  <c r="U31"/>
  <c r="U13"/>
  <c r="AC28" i="21"/>
  <c r="S44" i="34"/>
  <c r="BA586" i="3"/>
  <c r="BA585"/>
  <c r="AZ585" s="1"/>
  <c r="F17" i="21"/>
  <c r="AA17" s="1"/>
  <c r="H17"/>
  <c r="AB17" s="1"/>
  <c r="F15"/>
  <c r="S15" s="1"/>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AZ584" s="1"/>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s="1"/>
  <c r="BA578"/>
  <c r="AZ578" s="1"/>
  <c r="BA576"/>
  <c r="AZ576" s="1"/>
  <c r="BA574"/>
  <c r="AZ574" s="1"/>
  <c r="BA572"/>
  <c r="AZ572" s="1"/>
  <c r="BA570"/>
  <c r="AZ570" s="1"/>
  <c r="BA568"/>
  <c r="AZ568" s="1"/>
  <c r="BA566"/>
  <c r="AZ566" s="1"/>
  <c r="BA564"/>
  <c r="AZ564" s="1"/>
  <c r="BA562"/>
  <c r="AZ562" s="1"/>
  <c r="BA560"/>
  <c r="BA558"/>
  <c r="AZ558"/>
  <c r="BA556"/>
  <c r="AZ556"/>
  <c r="BA554"/>
  <c r="AZ554"/>
  <c r="BA552"/>
  <c r="AZ552"/>
  <c r="BA548"/>
  <c r="BA546"/>
  <c r="BA544"/>
  <c r="AZ544"/>
  <c r="BA542"/>
  <c r="AZ542"/>
  <c r="BA540"/>
  <c r="AZ540"/>
  <c r="BA538"/>
  <c r="AZ538"/>
  <c r="BA536"/>
  <c r="AZ536"/>
  <c r="BA534"/>
  <c r="AZ534"/>
  <c r="BA532"/>
  <c r="AZ532"/>
  <c r="BA530"/>
  <c r="BA528"/>
  <c r="AZ528" s="1"/>
  <c r="BA526"/>
  <c r="AZ526" s="1"/>
  <c r="BA524"/>
  <c r="AZ524" s="1"/>
  <c r="BA522"/>
  <c r="BA520"/>
  <c r="BA518"/>
  <c r="AZ518" s="1"/>
  <c r="BA516"/>
  <c r="AZ516" s="1"/>
  <c r="BA514"/>
  <c r="BA512"/>
  <c r="AZ512"/>
  <c r="BA510"/>
  <c r="AZ510"/>
  <c r="BA508"/>
  <c r="BA506"/>
  <c r="BA504"/>
  <c r="AZ504"/>
  <c r="BA502"/>
  <c r="BA500"/>
  <c r="BA498"/>
  <c r="AZ498"/>
  <c r="BA496"/>
  <c r="BA494"/>
  <c r="BA587"/>
  <c r="AZ587"/>
  <c r="BA583"/>
  <c r="BA581"/>
  <c r="AZ581" s="1"/>
  <c r="BA579"/>
  <c r="AZ579" s="1"/>
  <c r="BA577"/>
  <c r="BA575"/>
  <c r="AZ575" s="1"/>
  <c r="BA573"/>
  <c r="BA571"/>
  <c r="AZ571" s="1"/>
  <c r="BA569"/>
  <c r="BA567"/>
  <c r="AZ567" s="1"/>
  <c r="BA565"/>
  <c r="BA563"/>
  <c r="BA561"/>
  <c r="BA559"/>
  <c r="BA555"/>
  <c r="BA553"/>
  <c r="BA549"/>
  <c r="BA547"/>
  <c r="BA545"/>
  <c r="BA543"/>
  <c r="BA541"/>
  <c r="BA539"/>
  <c r="BA537"/>
  <c r="BA535"/>
  <c r="BA533"/>
  <c r="BA531"/>
  <c r="BA529"/>
  <c r="BA527"/>
  <c r="BA525"/>
  <c r="BA523"/>
  <c r="BA519"/>
  <c r="BA517"/>
  <c r="AZ517" s="1"/>
  <c r="BA515"/>
  <c r="BA513"/>
  <c r="AZ513" s="1"/>
  <c r="BA511"/>
  <c r="BA507"/>
  <c r="BA505"/>
  <c r="BA503"/>
  <c r="BA501"/>
  <c r="BA499"/>
  <c r="BA497"/>
  <c r="BA495"/>
  <c r="AZ495" s="1"/>
  <c r="BA493"/>
  <c r="AZ560"/>
  <c r="G583"/>
  <c r="G581"/>
  <c r="G579"/>
  <c r="G577"/>
  <c r="G575"/>
  <c r="G573"/>
  <c r="G571"/>
  <c r="G569"/>
  <c r="G567"/>
  <c r="G565"/>
  <c r="G563"/>
  <c r="G561"/>
  <c r="BL558"/>
  <c r="BA557"/>
  <c r="AC557"/>
  <c r="G557" s="1"/>
  <c r="BQ557"/>
  <c r="BL557" s="1"/>
  <c r="BQ583"/>
  <c r="BL583" s="1"/>
  <c r="AZ583" s="1"/>
  <c r="BQ581"/>
  <c r="BL581"/>
  <c r="BQ579"/>
  <c r="BL579"/>
  <c r="BQ577"/>
  <c r="BL577" s="1"/>
  <c r="AZ577" s="1"/>
  <c r="BQ575"/>
  <c r="BL575"/>
  <c r="BQ573"/>
  <c r="BL573" s="1"/>
  <c r="AZ573" s="1"/>
  <c r="BQ571"/>
  <c r="BL571"/>
  <c r="BQ569"/>
  <c r="BL569" s="1"/>
  <c r="AZ569" s="1"/>
  <c r="BQ567"/>
  <c r="BL567"/>
  <c r="BQ565"/>
  <c r="BL565" s="1"/>
  <c r="AZ565" s="1"/>
  <c r="BQ563"/>
  <c r="BL563"/>
  <c r="BQ561"/>
  <c r="BL561"/>
  <c r="AZ561" s="1"/>
  <c r="BQ559"/>
  <c r="BL559" s="1"/>
  <c r="AZ559" s="1"/>
  <c r="G559"/>
  <c r="G555"/>
  <c r="G553"/>
  <c r="G549"/>
  <c r="G547"/>
  <c r="G545"/>
  <c r="G543"/>
  <c r="G541"/>
  <c r="G539"/>
  <c r="G537"/>
  <c r="BQ555"/>
  <c r="BL555"/>
  <c r="AZ555" s="1"/>
  <c r="BQ553"/>
  <c r="BL553" s="1"/>
  <c r="AZ553" s="1"/>
  <c r="BQ551"/>
  <c r="BL551"/>
  <c r="BQ549"/>
  <c r="BQ547"/>
  <c r="BL547" s="1"/>
  <c r="AZ547" s="1"/>
  <c r="BQ545"/>
  <c r="BL545"/>
  <c r="AZ545" s="1"/>
  <c r="BQ543"/>
  <c r="BL543" s="1"/>
  <c r="AZ543" s="1"/>
  <c r="BQ541"/>
  <c r="BL541"/>
  <c r="AZ541" s="1"/>
  <c r="BQ539"/>
  <c r="BL539" s="1"/>
  <c r="AZ539" s="1"/>
  <c r="BQ537"/>
  <c r="BL537"/>
  <c r="AZ537" s="1"/>
  <c r="BQ535"/>
  <c r="BL535" s="1"/>
  <c r="AZ535" s="1"/>
  <c r="BQ533"/>
  <c r="BL533"/>
  <c r="AZ533" s="1"/>
  <c r="BQ531"/>
  <c r="BL531" s="1"/>
  <c r="AZ531" s="1"/>
  <c r="BQ529"/>
  <c r="BL529"/>
  <c r="AZ529" s="1"/>
  <c r="BQ527"/>
  <c r="BL527" s="1"/>
  <c r="AZ527" s="1"/>
  <c r="BQ525"/>
  <c r="BL525"/>
  <c r="AZ525" s="1"/>
  <c r="BQ523"/>
  <c r="BL523" s="1"/>
  <c r="AZ523" s="1"/>
  <c r="BA521"/>
  <c r="AC521"/>
  <c r="G521"/>
  <c r="BQ521"/>
  <c r="BL521"/>
  <c r="AZ521" s="1"/>
  <c r="BL520"/>
  <c r="AZ520"/>
  <c r="G519"/>
  <c r="G517"/>
  <c r="G515"/>
  <c r="G513"/>
  <c r="G511"/>
  <c r="BQ519"/>
  <c r="BL519" s="1"/>
  <c r="AZ519" s="1"/>
  <c r="BQ517"/>
  <c r="BL517"/>
  <c r="BQ515"/>
  <c r="BL515" s="1"/>
  <c r="AZ515" s="1"/>
  <c r="BQ513"/>
  <c r="BL513"/>
  <c r="BQ511"/>
  <c r="BL511" s="1"/>
  <c r="AZ511" s="1"/>
  <c r="BA509"/>
  <c r="AC509"/>
  <c r="BQ509"/>
  <c r="BL509"/>
  <c r="BL508"/>
  <c r="AZ508"/>
  <c r="G507"/>
  <c r="G505"/>
  <c r="G503"/>
  <c r="G501"/>
  <c r="G499"/>
  <c r="G497"/>
  <c r="G495"/>
  <c r="BQ507"/>
  <c r="BL507" s="1"/>
  <c r="AZ507" s="1"/>
  <c r="BQ505"/>
  <c r="BL505"/>
  <c r="AZ505" s="1"/>
  <c r="BQ503"/>
  <c r="BL503" s="1"/>
  <c r="BQ501"/>
  <c r="BL501"/>
  <c r="BQ499"/>
  <c r="BL499"/>
  <c r="BQ497"/>
  <c r="BL497"/>
  <c r="BQ495"/>
  <c r="BL495"/>
  <c r="BQ493"/>
  <c r="S505" i="31"/>
  <c r="S503"/>
  <c r="S501"/>
  <c r="S499"/>
  <c r="O27"/>
  <c r="O28"/>
  <c r="O26"/>
  <c r="M27"/>
  <c r="M28"/>
  <c r="M26"/>
  <c r="I26"/>
  <c r="I25"/>
  <c r="S25"/>
  <c r="Q26"/>
  <c r="K26"/>
  <c r="I27"/>
  <c r="Q27"/>
  <c r="K27"/>
  <c r="I28"/>
  <c r="Q28"/>
  <c r="K28"/>
  <c r="AC28" i="34"/>
  <c r="S21" i="40"/>
  <c r="AA12" i="21"/>
  <c r="H25"/>
  <c r="U25" s="1"/>
  <c r="F25"/>
  <c r="S25" s="1"/>
  <c r="J25"/>
  <c r="AC25" s="1"/>
  <c r="E125" i="33"/>
  <c r="F125" s="1"/>
  <c r="G125" s="1"/>
  <c r="H43"/>
  <c r="AB43" s="1"/>
  <c r="H17" i="37"/>
  <c r="U17" s="1"/>
  <c r="AB27"/>
  <c r="U32" i="33"/>
  <c r="AA36" i="39"/>
  <c r="F39" i="33"/>
  <c r="AA39"/>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F123" i="33"/>
  <c r="G123"/>
  <c r="H123" s="1"/>
  <c r="I123" s="1"/>
  <c r="J123" s="1"/>
  <c r="K123" s="1"/>
  <c r="L123" s="1"/>
  <c r="M123" s="1"/>
  <c r="H42"/>
  <c r="AB42"/>
  <c r="J43"/>
  <c r="AC43" s="1"/>
  <c r="U43"/>
  <c r="S28" i="31"/>
  <c r="S27"/>
  <c r="S26"/>
  <c r="U14" i="40"/>
  <c r="AC32" i="36"/>
  <c r="AC33"/>
  <c r="U35" i="35"/>
  <c r="W23"/>
  <c r="W14" i="37"/>
  <c r="AB28"/>
  <c r="U33"/>
  <c r="U39"/>
  <c r="W26"/>
  <c r="AC8"/>
  <c r="U26"/>
  <c r="W47" i="34"/>
  <c r="AB13"/>
  <c r="W37"/>
  <c r="AB37"/>
  <c r="AC36"/>
  <c r="AA13" i="33"/>
  <c r="AC31"/>
  <c r="W44"/>
  <c r="U11"/>
  <c r="U19" i="21"/>
  <c r="W44"/>
  <c r="U26"/>
  <c r="AC46"/>
  <c r="U12"/>
  <c r="AB38"/>
  <c r="F43" i="33"/>
  <c r="AA43" s="1"/>
  <c r="W15" i="34"/>
  <c r="AC15"/>
  <c r="W16" i="35"/>
  <c r="W40" i="37"/>
  <c r="G107"/>
  <c r="H107"/>
  <c r="I107" s="1"/>
  <c r="J107" s="1"/>
  <c r="K107" s="1"/>
  <c r="L107" s="1"/>
  <c r="M107" s="1"/>
  <c r="H37" i="21"/>
  <c r="U37" s="1"/>
  <c r="S42"/>
  <c r="H19" i="34"/>
  <c r="AB19"/>
  <c r="F36" i="35"/>
  <c r="S36"/>
  <c r="J9" i="37"/>
  <c r="W9"/>
  <c r="H9"/>
  <c r="AB9"/>
  <c r="F9"/>
  <c r="S9"/>
  <c r="J12"/>
  <c r="W12"/>
  <c r="H12"/>
  <c r="AB12"/>
  <c r="F12"/>
  <c r="S12"/>
  <c r="E71"/>
  <c r="F15"/>
  <c r="AA15" s="1"/>
  <c r="E94"/>
  <c r="F31"/>
  <c r="S31"/>
  <c r="F12" i="39"/>
  <c r="S12"/>
  <c r="J42"/>
  <c r="AC42"/>
  <c r="H21" i="40"/>
  <c r="AB21"/>
  <c r="AC12" i="37"/>
  <c r="F94"/>
  <c r="G94" s="1"/>
  <c r="H94" s="1"/>
  <c r="I94" s="1"/>
  <c r="J94" s="1"/>
  <c r="K94" s="1"/>
  <c r="L94" s="1"/>
  <c r="M94" s="1"/>
  <c r="H31"/>
  <c r="U31" s="1"/>
  <c r="F71"/>
  <c r="G71" s="1"/>
  <c r="J15"/>
  <c r="W15" s="1"/>
  <c r="U12"/>
  <c r="AT6" i="3"/>
  <c r="H5"/>
  <c r="AA25" i="21"/>
  <c r="C12" i="43"/>
  <c r="H19" i="40"/>
  <c r="U19"/>
  <c r="F88"/>
  <c r="G88"/>
  <c r="F19"/>
  <c r="S19"/>
  <c r="S14"/>
  <c r="AC13"/>
  <c r="AB33"/>
  <c r="W23" i="39"/>
  <c r="AC43"/>
  <c r="W43"/>
  <c r="U45"/>
  <c r="AB45"/>
  <c r="AB44"/>
  <c r="U44"/>
  <c r="G101"/>
  <c r="H37"/>
  <c r="AB37" s="1"/>
  <c r="AC37"/>
  <c r="W37"/>
  <c r="H25"/>
  <c r="AB25" s="1"/>
  <c r="J25"/>
  <c r="F25"/>
  <c r="AA25"/>
  <c r="F15"/>
  <c r="AA15"/>
  <c r="H15"/>
  <c r="U15"/>
  <c r="J15"/>
  <c r="W15"/>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G4" i="4"/>
  <c r="I4"/>
  <c r="K5"/>
  <c r="B47" i="48" s="1"/>
  <c r="A2" i="9"/>
  <c r="N2" i="43"/>
  <c r="F59"/>
  <c r="AZ20" i="3"/>
  <c r="AZ24"/>
  <c r="AZ28"/>
  <c r="AZ32"/>
  <c r="AZ497"/>
  <c r="BL549"/>
  <c r="AZ494"/>
  <c r="AZ502"/>
  <c r="AZ514"/>
  <c r="AZ522"/>
  <c r="AZ530"/>
  <c r="AZ546"/>
  <c r="G546"/>
  <c r="G524"/>
  <c r="G303"/>
  <c r="BL304"/>
  <c r="G305"/>
  <c r="BL306"/>
  <c r="BA308"/>
  <c r="AZ308" s="1"/>
  <c r="BA309"/>
  <c r="AZ309" s="1"/>
  <c r="BL309"/>
  <c r="G310"/>
  <c r="BA311"/>
  <c r="G319"/>
  <c r="BL320"/>
  <c r="G321"/>
  <c r="BL322"/>
  <c r="BA324"/>
  <c r="AZ324" s="1"/>
  <c r="BA325"/>
  <c r="AZ325" s="1"/>
  <c r="BL325"/>
  <c r="G326"/>
  <c r="BA327"/>
  <c r="G335"/>
  <c r="BL336"/>
  <c r="G337"/>
  <c r="BL338"/>
  <c r="BA340"/>
  <c r="AZ340" s="1"/>
  <c r="BA341"/>
  <c r="AZ341" s="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s="1"/>
  <c r="BA313"/>
  <c r="BL313"/>
  <c r="AZ313"/>
  <c r="G314"/>
  <c r="G317"/>
  <c r="BL318"/>
  <c r="BA320"/>
  <c r="AZ320" s="1"/>
  <c r="BA321"/>
  <c r="AZ321" s="1"/>
  <c r="BL321"/>
  <c r="G322"/>
  <c r="G325"/>
  <c r="BL326"/>
  <c r="BA328"/>
  <c r="AZ328" s="1"/>
  <c r="BA329"/>
  <c r="BL329"/>
  <c r="AZ329"/>
  <c r="G330"/>
  <c r="G333"/>
  <c r="BL334"/>
  <c r="BA336"/>
  <c r="AZ336" s="1"/>
  <c r="BA337"/>
  <c r="AZ337" s="1"/>
  <c r="BL337"/>
  <c r="G338"/>
  <c r="G341"/>
  <c r="BA342"/>
  <c r="BL342"/>
  <c r="AZ342" s="1"/>
  <c r="BA344"/>
  <c r="BL344"/>
  <c r="AZ344"/>
  <c r="BA346"/>
  <c r="AZ346"/>
  <c r="BA347"/>
  <c r="AZ347"/>
  <c r="BL347"/>
  <c r="G350"/>
  <c r="BA351"/>
  <c r="AZ351"/>
  <c r="BL351"/>
  <c r="G352"/>
  <c r="G354"/>
  <c r="BA355"/>
  <c r="AZ355" s="1"/>
  <c r="BA356"/>
  <c r="AZ356" s="1"/>
  <c r="BL356"/>
  <c r="G357"/>
  <c r="G360"/>
  <c r="BL361"/>
  <c r="BA363"/>
  <c r="AZ363"/>
  <c r="BA364"/>
  <c r="BL364"/>
  <c r="AZ364" s="1"/>
  <c r="G365"/>
  <c r="G368"/>
  <c r="BL369"/>
  <c r="BA371"/>
  <c r="AZ371" s="1"/>
  <c r="BA372"/>
  <c r="AZ372" s="1"/>
  <c r="BL372"/>
  <c r="G373"/>
  <c r="G376"/>
  <c r="BL377"/>
  <c r="BL379"/>
  <c r="BA381"/>
  <c r="AZ381"/>
  <c r="BA382"/>
  <c r="BL382"/>
  <c r="G383"/>
  <c r="G386"/>
  <c r="BL387"/>
  <c r="BA389"/>
  <c r="AZ389" s="1"/>
  <c r="BA390"/>
  <c r="AZ390" s="1"/>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s="1"/>
  <c r="BL311"/>
  <c r="AZ311" s="1"/>
  <c r="G312"/>
  <c r="BA314"/>
  <c r="AZ314"/>
  <c r="BL315"/>
  <c r="AZ315"/>
  <c r="G316"/>
  <c r="BA318"/>
  <c r="AZ318" s="1"/>
  <c r="BL319"/>
  <c r="AZ319" s="1"/>
  <c r="G320"/>
  <c r="BA322"/>
  <c r="AZ322" s="1"/>
  <c r="BL323"/>
  <c r="AZ323" s="1"/>
  <c r="G324"/>
  <c r="BA326"/>
  <c r="AZ326"/>
  <c r="BL327"/>
  <c r="AZ327"/>
  <c r="G328"/>
  <c r="BA330"/>
  <c r="AZ330" s="1"/>
  <c r="BL331"/>
  <c r="AZ331" s="1"/>
  <c r="G332"/>
  <c r="BA334"/>
  <c r="AZ334"/>
  <c r="BL335"/>
  <c r="G336"/>
  <c r="BA338"/>
  <c r="AZ338"/>
  <c r="BL339"/>
  <c r="AZ339"/>
  <c r="G340"/>
  <c r="BL343"/>
  <c r="G344"/>
  <c r="G348"/>
  <c r="G355"/>
  <c r="AZ209"/>
  <c r="AZ214"/>
  <c r="AZ218"/>
  <c r="AZ222"/>
  <c r="AZ303"/>
  <c r="AZ335"/>
  <c r="G342"/>
  <c r="BL345"/>
  <c r="AZ345" s="1"/>
  <c r="G346"/>
  <c r="AZ348"/>
  <c r="BL349"/>
  <c r="AZ349" s="1"/>
  <c r="BL352"/>
  <c r="G353"/>
  <c r="BA357"/>
  <c r="AZ357" s="1"/>
  <c r="BL358"/>
  <c r="AZ358" s="1"/>
  <c r="G359"/>
  <c r="BA361"/>
  <c r="AZ361"/>
  <c r="BL362"/>
  <c r="G363"/>
  <c r="BA365"/>
  <c r="AZ365"/>
  <c r="BL366"/>
  <c r="AZ366"/>
  <c r="G367"/>
  <c r="BA369"/>
  <c r="AZ369" s="1"/>
  <c r="BL370"/>
  <c r="AZ370" s="1"/>
  <c r="G371"/>
  <c r="BA373"/>
  <c r="AZ373" s="1"/>
  <c r="BL374"/>
  <c r="AZ374" s="1"/>
  <c r="G375"/>
  <c r="BA377"/>
  <c r="AZ377"/>
  <c r="AZ229"/>
  <c r="AZ233"/>
  <c r="AZ237"/>
  <c r="AZ241"/>
  <c r="AZ245"/>
  <c r="AZ249"/>
  <c r="AZ253"/>
  <c r="AZ257"/>
  <c r="AZ261"/>
  <c r="AZ265"/>
  <c r="AZ269"/>
  <c r="AZ273"/>
  <c r="BA379"/>
  <c r="AZ379" s="1"/>
  <c r="BL380"/>
  <c r="AZ380" s="1"/>
  <c r="G381"/>
  <c r="BA383"/>
  <c r="AZ383" s="1"/>
  <c r="BL384"/>
  <c r="G385"/>
  <c r="BA387"/>
  <c r="AZ387" s="1"/>
  <c r="BL388"/>
  <c r="AZ388" s="1"/>
  <c r="G389"/>
  <c r="BA391"/>
  <c r="AZ391" s="1"/>
  <c r="BL392"/>
  <c r="G393"/>
  <c r="AZ263"/>
  <c r="AZ275"/>
  <c r="AZ279"/>
  <c r="AZ283"/>
  <c r="AZ287"/>
  <c r="AZ291"/>
  <c r="AZ295"/>
  <c r="AZ299"/>
  <c r="BO5"/>
  <c r="BM5"/>
  <c r="F29" i="6"/>
  <c r="BJ5" i="3"/>
  <c r="BH5"/>
  <c r="BF5"/>
  <c r="BD5"/>
  <c r="AZ317"/>
  <c r="AZ333"/>
  <c r="BQ5"/>
  <c r="AC5"/>
  <c r="AZ549"/>
  <c r="AZ506"/>
  <c r="AZ496"/>
  <c r="G548"/>
  <c r="G538"/>
  <c r="G520"/>
  <c r="G502"/>
  <c r="BS5"/>
  <c r="BP5"/>
  <c r="BN5"/>
  <c r="AZ343"/>
  <c r="BK5"/>
  <c r="BI5"/>
  <c r="BG5"/>
  <c r="BE5"/>
  <c r="BC5"/>
  <c r="G17"/>
  <c r="BA17"/>
  <c r="BT5"/>
  <c r="AZ350"/>
  <c r="AZ352"/>
  <c r="AZ360"/>
  <c r="AZ368"/>
  <c r="BA15"/>
  <c r="AZ15" s="1"/>
  <c r="BB5"/>
  <c r="BR5"/>
  <c r="G28" i="6" s="1"/>
  <c r="AZ384" i="3"/>
  <c r="AZ392"/>
  <c r="AZ396"/>
  <c r="AZ394"/>
  <c r="AZ499"/>
  <c r="AZ509"/>
  <c r="G509"/>
  <c r="BL493"/>
  <c r="AZ493" s="1"/>
  <c r="AZ491"/>
  <c r="AZ376"/>
  <c r="AZ382"/>
  <c r="U36" i="40"/>
  <c r="N4" i="43"/>
  <c r="F36"/>
  <c r="F81"/>
  <c r="H83"/>
  <c r="H113"/>
  <c r="F48"/>
  <c r="H52" s="1"/>
  <c r="N7"/>
  <c r="F70"/>
  <c r="H73" s="1"/>
  <c r="M6"/>
  <c r="M11"/>
  <c r="E17"/>
  <c r="F39"/>
  <c r="I17"/>
  <c r="F35"/>
  <c r="J17"/>
  <c r="F6" i="1"/>
  <c r="U17" i="39"/>
  <c r="S14" i="35"/>
  <c r="U43" i="21"/>
  <c r="U35"/>
  <c r="AC35"/>
  <c r="U10"/>
  <c r="G8" i="1"/>
  <c r="G9"/>
  <c r="G10"/>
  <c r="AZ563" i="3"/>
  <c r="AZ501"/>
  <c r="W37" i="37"/>
  <c r="W44" i="34"/>
  <c r="AC44"/>
  <c r="S15" i="37"/>
  <c r="U13"/>
  <c r="U12" i="40"/>
  <c r="AA12"/>
  <c r="J37" i="33"/>
  <c r="W37" s="1"/>
  <c r="AC17" i="34"/>
  <c r="J34" i="33"/>
  <c r="W34" s="1"/>
  <c r="F33" i="34"/>
  <c r="S33" s="1"/>
  <c r="W12" i="36"/>
  <c r="AC12"/>
  <c r="H20"/>
  <c r="U20" s="1"/>
  <c r="J20"/>
  <c r="W20" s="1"/>
  <c r="W24"/>
  <c r="J27"/>
  <c r="W27"/>
  <c r="AB25" i="37"/>
  <c r="AC33" i="40"/>
  <c r="F111"/>
  <c r="G111"/>
  <c r="H111" s="1"/>
  <c r="I111" s="1"/>
  <c r="J111" s="1"/>
  <c r="K111" s="1"/>
  <c r="L111" s="1"/>
  <c r="M111" s="1"/>
  <c r="H35"/>
  <c r="AB35"/>
  <c r="AC29" i="35"/>
  <c r="W29"/>
  <c r="H35" i="37"/>
  <c r="U35"/>
  <c r="AC14" i="35"/>
  <c r="H20"/>
  <c r="U20" s="1"/>
  <c r="F20"/>
  <c r="AA20" s="1"/>
  <c r="AB23"/>
  <c r="AB29" i="36"/>
  <c r="U29"/>
  <c r="H32" i="37"/>
  <c r="AB32"/>
  <c r="F96"/>
  <c r="H27" i="40"/>
  <c r="U27" s="1"/>
  <c r="J27"/>
  <c r="AC27" s="1"/>
  <c r="F27"/>
  <c r="S27" s="1"/>
  <c r="J30"/>
  <c r="AC30" s="1"/>
  <c r="F30"/>
  <c r="AA30" s="1"/>
  <c r="AC21"/>
  <c r="S31" i="39"/>
  <c r="S11" i="40"/>
  <c r="E98"/>
  <c r="F98"/>
  <c r="G98" s="1"/>
  <c r="H98" s="1"/>
  <c r="I98" s="1"/>
  <c r="J98" s="1"/>
  <c r="K98" s="1"/>
  <c r="L98" s="1"/>
  <c r="M98" s="1"/>
  <c r="F10" i="33"/>
  <c r="S10" s="1"/>
  <c r="F34"/>
  <c r="S34" s="1"/>
  <c r="H34"/>
  <c r="U34" s="1"/>
  <c r="F35"/>
  <c r="S35" s="1"/>
  <c r="F39" i="34"/>
  <c r="S39" s="1"/>
  <c r="J39"/>
  <c r="W39" s="1"/>
  <c r="F40"/>
  <c r="S40" s="1"/>
  <c r="F43"/>
  <c r="AA43" s="1"/>
  <c r="H44"/>
  <c r="AB44" s="1"/>
  <c r="AC38" i="39"/>
  <c r="F39"/>
  <c r="S39"/>
  <c r="J39"/>
  <c r="AC39"/>
  <c r="E97"/>
  <c r="F97"/>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49"/>
  <c r="I20"/>
  <c r="C20" s="1"/>
  <c r="F23" i="39"/>
  <c r="AA23"/>
  <c r="H27" i="36"/>
  <c r="U27"/>
  <c r="F27"/>
  <c r="AA27"/>
  <c r="H33" i="34"/>
  <c r="U33"/>
  <c r="F32" i="37"/>
  <c r="AA32"/>
  <c r="G96"/>
  <c r="H96"/>
  <c r="I96" s="1"/>
  <c r="J96" s="1"/>
  <c r="K96" s="1"/>
  <c r="L96" s="1"/>
  <c r="M96" s="1"/>
  <c r="F20" i="36"/>
  <c r="AA20" s="1"/>
  <c r="J33" i="34"/>
  <c r="AC33" s="1"/>
  <c r="H23" i="39"/>
  <c r="U23" s="1"/>
  <c r="H86" i="43"/>
  <c r="H82"/>
  <c r="H87"/>
  <c r="K9" i="1"/>
  <c r="M9" s="1"/>
  <c r="AE9"/>
  <c r="D93" i="9"/>
  <c r="K6" i="1"/>
  <c r="G29" i="6"/>
  <c r="E29" s="1"/>
  <c r="AB34" i="36"/>
  <c r="U34"/>
  <c r="AB33"/>
  <c r="U33"/>
  <c r="AC12" i="39"/>
  <c r="W12"/>
  <c r="AC39" i="40"/>
  <c r="W39"/>
  <c r="AZ401" i="3"/>
  <c r="AZ412"/>
  <c r="AZ417"/>
  <c r="AZ428"/>
  <c r="AZ433"/>
  <c r="AZ465"/>
  <c r="W12" i="33"/>
  <c r="AC12"/>
  <c r="AA32" i="36"/>
  <c r="S32"/>
  <c r="AZ408" i="3"/>
  <c r="AZ437"/>
  <c r="AZ441"/>
  <c r="AZ457"/>
  <c r="AZ473"/>
  <c r="AZ490"/>
  <c r="F28" i="6"/>
  <c r="BL14" i="3"/>
  <c r="AZ266"/>
  <c r="AC13" i="34"/>
  <c r="AA47"/>
  <c r="W28" i="37"/>
  <c r="S19" i="39"/>
  <c r="F12" i="33"/>
  <c r="H12" i="39"/>
  <c r="AB12"/>
  <c r="F39" i="40"/>
  <c r="BA14" i="3"/>
  <c r="AZ14" s="1"/>
  <c r="AZ367"/>
  <c r="AZ213"/>
  <c r="AZ224"/>
  <c r="AZ234"/>
  <c r="AZ238"/>
  <c r="AZ250"/>
  <c r="AZ254"/>
  <c r="AZ281"/>
  <c r="AZ286"/>
  <c r="AZ297"/>
  <c r="AZ149"/>
  <c r="AZ157"/>
  <c r="AZ165"/>
  <c r="AZ173"/>
  <c r="AZ181"/>
  <c r="AZ189"/>
  <c r="AZ197"/>
  <c r="AZ19"/>
  <c r="AZ26"/>
  <c r="AZ35"/>
  <c r="AZ41"/>
  <c r="S12" i="1"/>
  <c r="AR12" s="1"/>
  <c r="R12"/>
  <c r="B12"/>
  <c r="E12" s="1"/>
  <c r="S10"/>
  <c r="AQ10" s="1"/>
  <c r="R10"/>
  <c r="B10"/>
  <c r="E10" s="1"/>
  <c r="D1" i="66"/>
  <c r="E10"/>
  <c r="AZ80" i="3"/>
  <c r="AZ84"/>
  <c r="AZ88"/>
  <c r="AZ107"/>
  <c r="AZ111"/>
  <c r="K12" i="1"/>
  <c r="M12" s="1"/>
  <c r="S13"/>
  <c r="AR13" s="1"/>
  <c r="R13"/>
  <c r="S11"/>
  <c r="AQ11" s="1"/>
  <c r="R11"/>
  <c r="S9"/>
  <c r="AR9" s="1"/>
  <c r="R9"/>
  <c r="J51" i="67"/>
  <c r="C42" i="1"/>
  <c r="C77" i="9" s="1"/>
  <c r="C74" s="1"/>
  <c r="H100" i="43"/>
  <c r="C30" i="66"/>
  <c r="E26" s="1"/>
  <c r="AC34" i="33"/>
  <c r="B41" i="1"/>
  <c r="F48" i="9" s="1"/>
  <c r="O52" s="1"/>
  <c r="S22" i="31"/>
  <c r="J100" i="43"/>
  <c r="AB37" i="40"/>
  <c r="S35"/>
  <c r="U35"/>
  <c r="AC36"/>
  <c r="W38"/>
  <c r="AA32"/>
  <c r="S17"/>
  <c r="S23"/>
  <c r="AC17"/>
  <c r="AC15"/>
  <c r="S30"/>
  <c r="AA19"/>
  <c r="S28"/>
  <c r="U21"/>
  <c r="AB19"/>
  <c r="W42" i="39"/>
  <c r="U37"/>
  <c r="W39"/>
  <c r="S43"/>
  <c r="S37"/>
  <c r="U35"/>
  <c r="F32"/>
  <c r="F107"/>
  <c r="G107"/>
  <c r="U25"/>
  <c r="AB27"/>
  <c r="U31"/>
  <c r="S25"/>
  <c r="J21"/>
  <c r="F21"/>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2"/>
  <c r="AA33"/>
  <c r="AC30"/>
  <c r="S32"/>
  <c r="AA36"/>
  <c r="W32"/>
  <c r="S28"/>
  <c r="AB16"/>
  <c r="U22"/>
  <c r="S20"/>
  <c r="AC20"/>
  <c r="S22"/>
  <c r="U14"/>
  <c r="AC10"/>
  <c r="AA10"/>
  <c r="AB10"/>
  <c r="AA11"/>
  <c r="S8"/>
  <c r="AC9"/>
  <c r="W9"/>
  <c r="W13"/>
  <c r="F9"/>
  <c r="H9"/>
  <c r="F26"/>
  <c r="AA26"/>
  <c r="J26"/>
  <c r="H26"/>
  <c r="AB40" i="37"/>
  <c r="W27"/>
  <c r="S26"/>
  <c r="AC9"/>
  <c r="AC29"/>
  <c r="U29"/>
  <c r="S32"/>
  <c r="AB31"/>
  <c r="W30"/>
  <c r="S36"/>
  <c r="AA38"/>
  <c r="U32"/>
  <c r="W38"/>
  <c r="AC35"/>
  <c r="W39"/>
  <c r="S30"/>
  <c r="S37"/>
  <c r="AC15"/>
  <c r="J17"/>
  <c r="W17" s="1"/>
  <c r="G73"/>
  <c r="F17"/>
  <c r="AA17"/>
  <c r="AB17"/>
  <c r="F75"/>
  <c r="F19"/>
  <c r="F79"/>
  <c r="F23"/>
  <c r="S23"/>
  <c r="U23"/>
  <c r="U15"/>
  <c r="AC13"/>
  <c r="U9"/>
  <c r="AA13"/>
  <c r="AA12"/>
  <c r="AA9"/>
  <c r="H10"/>
  <c r="U10" s="1"/>
  <c r="H60"/>
  <c r="F63"/>
  <c r="F11"/>
  <c r="S11"/>
  <c r="S27" i="34"/>
  <c r="W25"/>
  <c r="AB8"/>
  <c r="AA33"/>
  <c r="U43"/>
  <c r="W41"/>
  <c r="AC42"/>
  <c r="AB35"/>
  <c r="U39"/>
  <c r="S43"/>
  <c r="AB41"/>
  <c r="AA45"/>
  <c r="W34"/>
  <c r="AA25"/>
  <c r="U28"/>
  <c r="S17"/>
  <c r="AA29"/>
  <c r="U27"/>
  <c r="S23"/>
  <c r="U15"/>
  <c r="S10"/>
  <c r="S13"/>
  <c r="H67"/>
  <c r="H10"/>
  <c r="U10" s="1"/>
  <c r="F11"/>
  <c r="S11"/>
  <c r="W42" i="33"/>
  <c r="S27"/>
  <c r="S32"/>
  <c r="AB29"/>
  <c r="W38"/>
  <c r="H41"/>
  <c r="AB41" s="1"/>
  <c r="U42"/>
  <c r="S42"/>
  <c r="F36"/>
  <c r="AA36" s="1"/>
  <c r="J35"/>
  <c r="W35" s="1"/>
  <c r="S37"/>
  <c r="AA37"/>
  <c r="S39"/>
  <c r="F101"/>
  <c r="G101"/>
  <c r="H101" s="1"/>
  <c r="I101" s="1"/>
  <c r="J101" s="1"/>
  <c r="K101" s="1"/>
  <c r="L101" s="1"/>
  <c r="M101" s="1"/>
  <c r="J32"/>
  <c r="S46"/>
  <c r="W43"/>
  <c r="H27"/>
  <c r="AB27" s="1"/>
  <c r="F87"/>
  <c r="H25"/>
  <c r="AB25" s="1"/>
  <c r="F25"/>
  <c r="J10"/>
  <c r="W10" s="1"/>
  <c r="H10"/>
  <c r="AB10" s="1"/>
  <c r="AC11"/>
  <c r="AB14"/>
  <c r="W43" i="21"/>
  <c r="W36"/>
  <c r="W41"/>
  <c r="AB39"/>
  <c r="AA43"/>
  <c r="S39"/>
  <c r="AA38"/>
  <c r="AA36"/>
  <c r="AC40"/>
  <c r="J15"/>
  <c r="W15"/>
  <c r="F77"/>
  <c r="G77"/>
  <c r="F23"/>
  <c r="S23"/>
  <c r="E85"/>
  <c r="AC11"/>
  <c r="AA14"/>
  <c r="AB8"/>
  <c r="S8"/>
  <c r="M3" i="43"/>
  <c r="N10"/>
  <c r="M1"/>
  <c r="M8"/>
  <c r="N8"/>
  <c r="N9"/>
  <c r="D120" i="9"/>
  <c r="D121" s="1"/>
  <c r="D7" i="52" s="1"/>
  <c r="C18" i="9"/>
  <c r="D18" s="1"/>
  <c r="F34" i="67"/>
  <c r="F62" s="1"/>
  <c r="M20"/>
  <c r="F34" i="15"/>
  <c r="F62" s="1"/>
  <c r="G13" i="3"/>
  <c r="BA13"/>
  <c r="E10" i="6"/>
  <c r="E11"/>
  <c r="E61" i="39" s="1"/>
  <c r="BL17" i="3"/>
  <c r="AZ17"/>
  <c r="BL13"/>
  <c r="J56" i="9"/>
  <c r="J57" s="1"/>
  <c r="J59" s="1"/>
  <c r="J61" s="1"/>
  <c r="A24" i="51"/>
  <c r="B18" i="72" s="1"/>
  <c r="U29" i="34"/>
  <c r="E14" i="6"/>
  <c r="E64" i="39" s="1"/>
  <c r="E5" i="6"/>
  <c r="D9" i="11" s="1"/>
  <c r="C9" s="1"/>
  <c r="E32" i="6"/>
  <c r="L19"/>
  <c r="G1" i="68"/>
  <c r="K1" i="12"/>
  <c r="F30" i="6"/>
  <c r="AQ12" i="1"/>
  <c r="AR10"/>
  <c r="T10"/>
  <c r="E19" i="69"/>
  <c r="E19" i="68"/>
  <c r="E19" i="11"/>
  <c r="E1" i="73"/>
  <c r="G41" i="69"/>
  <c r="G22"/>
  <c r="G41" i="68"/>
  <c r="G22"/>
  <c r="G27" i="12"/>
  <c r="G26"/>
  <c r="G41" i="11"/>
  <c r="G22"/>
  <c r="G25" i="12"/>
  <c r="C100" i="43"/>
  <c r="E11"/>
  <c r="E10"/>
  <c r="E9"/>
  <c r="E8"/>
  <c r="C7" s="1"/>
  <c r="E81"/>
  <c r="B79" s="1"/>
  <c r="E48"/>
  <c r="B46" s="1"/>
  <c r="E70"/>
  <c r="B68" s="1"/>
  <c r="F100"/>
  <c r="H17"/>
  <c r="G6" i="1"/>
  <c r="H85" i="43"/>
  <c r="H81"/>
  <c r="H84"/>
  <c r="H88"/>
  <c r="H53"/>
  <c r="H54"/>
  <c r="H78"/>
  <c r="H70"/>
  <c r="H71"/>
  <c r="C17"/>
  <c r="F33"/>
  <c r="G17"/>
  <c r="F34"/>
  <c r="M7"/>
  <c r="N6"/>
  <c r="M2"/>
  <c r="C6"/>
  <c r="M10"/>
  <c r="N3"/>
  <c r="N11"/>
  <c r="F38"/>
  <c r="F37"/>
  <c r="M9"/>
  <c r="N12"/>
  <c r="N5"/>
  <c r="M5"/>
  <c r="M12"/>
  <c r="M4"/>
  <c r="B19" i="53"/>
  <c r="B37" i="72" s="1"/>
  <c r="C7" i="39"/>
  <c r="C68" s="1"/>
  <c r="C7" i="35"/>
  <c r="C48" s="1"/>
  <c r="D48" s="1"/>
  <c r="E48" s="1"/>
  <c r="F48" s="1"/>
  <c r="C7" i="33"/>
  <c r="C58"/>
  <c r="D58" s="1"/>
  <c r="E58" s="1"/>
  <c r="C7" i="21"/>
  <c r="C58" s="1"/>
  <c r="C7" i="40"/>
  <c r="C63" s="1"/>
  <c r="M47" i="9"/>
  <c r="G19" i="43"/>
  <c r="O19" s="1"/>
  <c r="T35" i="4"/>
  <c r="A19" i="51"/>
  <c r="B14" i="72" s="1"/>
  <c r="C46" i="36"/>
  <c r="D46" s="1"/>
  <c r="C59" i="34"/>
  <c r="D59" s="1"/>
  <c r="E59" s="1"/>
  <c r="F59" s="1"/>
  <c r="G59" s="1"/>
  <c r="H59" s="1"/>
  <c r="C52" i="37"/>
  <c r="D52" s="1"/>
  <c r="E52" s="1"/>
  <c r="A4" i="51"/>
  <c r="B6" i="72" s="1"/>
  <c r="H62" i="43"/>
  <c r="H66"/>
  <c r="H61"/>
  <c r="H65"/>
  <c r="H60"/>
  <c r="H64"/>
  <c r="H59"/>
  <c r="H63"/>
  <c r="H67"/>
  <c r="H55"/>
  <c r="H51"/>
  <c r="H56"/>
  <c r="H76"/>
  <c r="H72"/>
  <c r="H77"/>
  <c r="L20" i="6"/>
  <c r="B6" i="1"/>
  <c r="E6" s="1"/>
  <c r="K11"/>
  <c r="M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AB28" i="33"/>
  <c r="AC37"/>
  <c r="W46"/>
  <c r="U39"/>
  <c r="U38"/>
  <c r="S33"/>
  <c r="AB34"/>
  <c r="U44"/>
  <c r="AB44"/>
  <c r="S30"/>
  <c r="AA30"/>
  <c r="AC14"/>
  <c r="W14"/>
  <c r="AC30"/>
  <c r="W30"/>
  <c r="S31"/>
  <c r="AA31"/>
  <c r="W13"/>
  <c r="AC13"/>
  <c r="S11"/>
  <c r="U37"/>
  <c r="AC28"/>
  <c r="S28"/>
  <c r="W8"/>
  <c r="S44" i="21"/>
  <c r="AB42"/>
  <c r="U28"/>
  <c r="AA11"/>
  <c r="S45"/>
  <c r="F33"/>
  <c r="J33"/>
  <c r="W33" s="1"/>
  <c r="H33"/>
  <c r="AB33"/>
  <c r="F37"/>
  <c r="AA37"/>
  <c r="AA26"/>
  <c r="AB14"/>
  <c r="AB46"/>
  <c r="U40"/>
  <c r="AC15"/>
  <c r="U13"/>
  <c r="AB13"/>
  <c r="W8"/>
  <c r="S35"/>
  <c r="AB37"/>
  <c r="J37"/>
  <c r="W37"/>
  <c r="H15"/>
  <c r="U15"/>
  <c r="J17"/>
  <c r="AC17"/>
  <c r="AC19"/>
  <c r="W39"/>
  <c r="AC14"/>
  <c r="W30"/>
  <c r="S46"/>
  <c r="H45"/>
  <c r="U45" s="1"/>
  <c r="F29"/>
  <c r="S29" s="1"/>
  <c r="F13"/>
  <c r="AA13" s="1"/>
  <c r="AC38"/>
  <c r="H32"/>
  <c r="H9"/>
  <c r="U9" s="1"/>
  <c r="J9"/>
  <c r="J32"/>
  <c r="AC32" s="1"/>
  <c r="F32"/>
  <c r="AA31"/>
  <c r="U17"/>
  <c r="W29"/>
  <c r="S19"/>
  <c r="K141"/>
  <c r="K144"/>
  <c r="K143"/>
  <c r="U27"/>
  <c r="AB25"/>
  <c r="AB44"/>
  <c r="AA30"/>
  <c r="W13"/>
  <c r="W42"/>
  <c r="F10"/>
  <c r="S10" s="1"/>
  <c r="K145"/>
  <c r="W17"/>
  <c r="W25"/>
  <c r="AA29"/>
  <c r="W31"/>
  <c r="S27"/>
  <c r="S17"/>
  <c r="AA15"/>
  <c r="AC27"/>
  <c r="AC26"/>
  <c r="AB29"/>
  <c r="S28"/>
  <c r="AC34"/>
  <c r="W10"/>
  <c r="W12"/>
  <c r="AB36"/>
  <c r="W30" i="40"/>
  <c r="C19" i="39"/>
  <c r="C15" i="40"/>
  <c r="C17"/>
  <c r="C23"/>
  <c r="C21"/>
  <c r="U30"/>
  <c r="B54" i="43"/>
  <c r="B65"/>
  <c r="B49"/>
  <c r="B52"/>
  <c r="B56"/>
  <c r="B60"/>
  <c r="B63"/>
  <c r="B67"/>
  <c r="D23" i="15"/>
  <c r="D22"/>
  <c r="AQ13" i="1"/>
  <c r="M6"/>
  <c r="O6" s="1"/>
  <c r="F52" i="9"/>
  <c r="AQ9" i="1"/>
  <c r="T9"/>
  <c r="AA39" i="40"/>
  <c r="S39"/>
  <c r="S12" i="33"/>
  <c r="AA12"/>
  <c r="C16" i="43"/>
  <c r="C5" s="1"/>
  <c r="J32" i="39"/>
  <c r="AC32" s="1"/>
  <c r="H107"/>
  <c r="I107"/>
  <c r="J107" s="1"/>
  <c r="K107" s="1"/>
  <c r="L107" s="1"/>
  <c r="M107" s="1"/>
  <c r="H32"/>
  <c r="AA32"/>
  <c r="S32"/>
  <c r="AB21"/>
  <c r="U21"/>
  <c r="AA21"/>
  <c r="S21"/>
  <c r="AC21"/>
  <c r="W21"/>
  <c r="S26" i="35"/>
  <c r="U9"/>
  <c r="AB9"/>
  <c r="AA9"/>
  <c r="S9"/>
  <c r="AC26"/>
  <c r="W26"/>
  <c r="AB26"/>
  <c r="U26"/>
  <c r="S17" i="37"/>
  <c r="J19"/>
  <c r="G75"/>
  <c r="S19"/>
  <c r="AA19"/>
  <c r="AA23"/>
  <c r="J23"/>
  <c r="W23" s="1"/>
  <c r="G79"/>
  <c r="J10"/>
  <c r="AC10" s="1"/>
  <c r="I60"/>
  <c r="G63"/>
  <c r="H63" s="1"/>
  <c r="I63" s="1"/>
  <c r="J63" s="1"/>
  <c r="K63" s="1"/>
  <c r="L63" s="1"/>
  <c r="M63" s="1"/>
  <c r="H11"/>
  <c r="AB10"/>
  <c r="H11" i="34"/>
  <c r="AB10"/>
  <c r="J10"/>
  <c r="W10" s="1"/>
  <c r="I67"/>
  <c r="U41" i="33"/>
  <c r="AC35"/>
  <c r="J36"/>
  <c r="AC36" s="1"/>
  <c r="H36"/>
  <c r="U36" s="1"/>
  <c r="S36"/>
  <c r="AC32"/>
  <c r="W32"/>
  <c r="U27"/>
  <c r="J27"/>
  <c r="U25"/>
  <c r="S25"/>
  <c r="AA25"/>
  <c r="G87"/>
  <c r="H87" s="1"/>
  <c r="I87" s="1"/>
  <c r="J87" s="1"/>
  <c r="K87" s="1"/>
  <c r="L87" s="1"/>
  <c r="M87" s="1"/>
  <c r="J25"/>
  <c r="U10"/>
  <c r="AC37" i="21"/>
  <c r="U33"/>
  <c r="S37"/>
  <c r="AA23"/>
  <c r="AB15"/>
  <c r="J23"/>
  <c r="F85"/>
  <c r="G85" s="1"/>
  <c r="H23"/>
  <c r="U23" s="1"/>
  <c r="D6" i="52"/>
  <c r="R22" i="31"/>
  <c r="B21"/>
  <c r="F52" i="37"/>
  <c r="G52" s="1"/>
  <c r="AP7" i="1"/>
  <c r="AC33" i="21"/>
  <c r="S33"/>
  <c r="AA33"/>
  <c r="W32"/>
  <c r="AB9"/>
  <c r="AA32"/>
  <c r="S32"/>
  <c r="W9"/>
  <c r="AC9"/>
  <c r="AB32"/>
  <c r="U32"/>
  <c r="AA10"/>
  <c r="U32" i="39"/>
  <c r="AB32"/>
  <c r="W32"/>
  <c r="W19" i="37"/>
  <c r="AC19"/>
  <c r="AC23"/>
  <c r="AB11"/>
  <c r="U11"/>
  <c r="J11"/>
  <c r="W10"/>
  <c r="U11" i="34"/>
  <c r="AB11"/>
  <c r="AC10"/>
  <c r="H70"/>
  <c r="I70" s="1"/>
  <c r="J70"/>
  <c r="K70" s="1"/>
  <c r="L70" s="1"/>
  <c r="M70" s="1"/>
  <c r="J11"/>
  <c r="AC11" s="1"/>
  <c r="W36" i="33"/>
  <c r="W27"/>
  <c r="AC27"/>
  <c r="W25"/>
  <c r="AC25"/>
  <c r="AB23" i="21"/>
  <c r="AC23"/>
  <c r="W23"/>
  <c r="F1" i="67"/>
  <c r="Q52"/>
  <c r="AC11" i="37"/>
  <c r="W11"/>
  <c r="AE8" i="1"/>
  <c r="H109" i="9"/>
  <c r="M49"/>
  <c r="H110"/>
  <c r="D18" i="53" s="1"/>
  <c r="B35" i="72" s="1"/>
  <c r="D124" i="9"/>
  <c r="H14" i="74" s="1"/>
  <c r="B7" s="1"/>
  <c r="D16" i="53"/>
  <c r="B34" i="72"/>
  <c r="D17" i="53"/>
  <c r="B36" i="72" s="1"/>
  <c r="H112" i="9"/>
  <c r="D21" i="53" s="1"/>
  <c r="B39" i="72" s="1"/>
  <c r="H111" i="9"/>
  <c r="D126" s="1"/>
  <c r="D19" i="53"/>
  <c r="D20" s="1"/>
  <c r="B40" i="72" s="1"/>
  <c r="D59" i="9"/>
  <c r="M55" s="1"/>
  <c r="B38" i="72"/>
  <c r="AD3" i="71"/>
  <c r="C13" i="12"/>
  <c r="F36" i="15"/>
  <c r="C76" i="67"/>
  <c r="F6"/>
  <c r="F3" i="73"/>
  <c r="M9" i="67"/>
  <c r="F40"/>
  <c r="M28" i="15"/>
  <c r="M9"/>
  <c r="AO9" i="1"/>
  <c r="F41" i="67"/>
  <c r="F36"/>
  <c r="F13"/>
  <c r="F42" i="15"/>
  <c r="M29" i="67"/>
  <c r="F37" i="15"/>
  <c r="M28" i="67"/>
  <c r="F7"/>
  <c r="M27"/>
  <c r="L48"/>
  <c r="J15" i="15"/>
  <c r="M22"/>
  <c r="E11" i="76"/>
  <c r="F9" i="15"/>
  <c r="F20" i="31"/>
  <c r="M22" i="67"/>
  <c r="E10" i="76"/>
  <c r="AO13" i="1"/>
  <c r="F37" i="67"/>
  <c r="M8" i="15"/>
  <c r="C76"/>
  <c r="F42" i="67"/>
  <c r="D2" i="36"/>
  <c r="B11" i="76"/>
  <c r="M24" i="15"/>
  <c r="M23"/>
  <c r="D2" i="37"/>
  <c r="B9" i="76"/>
  <c r="F9" i="67"/>
  <c r="M24"/>
  <c r="E12" i="76"/>
  <c r="D2" i="33"/>
  <c r="E9" i="76"/>
  <c r="E13"/>
  <c r="M29" i="15"/>
  <c r="AO11" i="1"/>
  <c r="F40" i="15"/>
  <c r="L48"/>
  <c r="M23" i="67"/>
  <c r="F26"/>
  <c r="B13" i="76"/>
  <c r="F38" i="67"/>
  <c r="L47"/>
  <c r="L47" i="15"/>
  <c r="D2" i="21"/>
  <c r="F13" i="15"/>
  <c r="D2" i="35"/>
  <c r="J15" i="67"/>
  <c r="F5" i="73"/>
  <c r="B8" i="76"/>
  <c r="F7" i="73"/>
  <c r="E8" i="76"/>
  <c r="AO8" i="1"/>
  <c r="M8" i="67"/>
  <c r="E7" i="76"/>
  <c r="F16" i="67"/>
  <c r="F26" i="15"/>
  <c r="D34" i="9"/>
  <c r="D2" i="34"/>
  <c r="M6" i="67"/>
  <c r="B10" i="76"/>
  <c r="AO10" i="1"/>
  <c r="F7" i="15"/>
  <c r="F43" i="67"/>
  <c r="F16" i="15"/>
  <c r="M6"/>
  <c r="B7" i="76"/>
  <c r="F38" i="15"/>
  <c r="M26" i="67"/>
  <c r="F6" i="15"/>
  <c r="F43"/>
  <c r="D35" i="9"/>
  <c r="F4" i="73"/>
  <c r="E2" i="69"/>
  <c r="B12" i="76"/>
  <c r="F6" i="73"/>
  <c r="F8" i="15"/>
  <c r="AO12" i="1"/>
  <c r="M26" i="15"/>
  <c r="F8" i="67"/>
  <c r="T13" i="1" l="1"/>
  <c r="AR11"/>
  <c r="T11"/>
  <c r="T12"/>
  <c r="F85" i="33"/>
  <c r="G85" s="1"/>
  <c r="F23"/>
  <c r="AA23" s="1"/>
  <c r="J23"/>
  <c r="W23" s="1"/>
  <c r="H23"/>
  <c r="U23" s="1"/>
  <c r="J1" i="73"/>
  <c r="G30" i="6"/>
  <c r="G31" s="1"/>
  <c r="E28"/>
  <c r="K14" i="1" s="1"/>
  <c r="M14" s="1"/>
  <c r="O14" s="1"/>
  <c r="P14" s="1"/>
  <c r="W29" i="33"/>
  <c r="U30"/>
  <c r="AB12"/>
  <c r="D9" i="68"/>
  <c r="D63" i="40"/>
  <c r="D65" s="1"/>
  <c r="C65"/>
  <c r="A15" i="62"/>
  <c r="B61" i="72" s="1"/>
  <c r="G1" i="79"/>
  <c r="C36" i="69"/>
  <c r="AA29" i="33"/>
  <c r="F77"/>
  <c r="G77" s="1"/>
  <c r="J15"/>
  <c r="H15"/>
  <c r="F15"/>
  <c r="F81"/>
  <c r="G81" s="1"/>
  <c r="H19"/>
  <c r="AB19" s="1"/>
  <c r="J19"/>
  <c r="AC19" s="1"/>
  <c r="F19"/>
  <c r="S19" s="1"/>
  <c r="F79"/>
  <c r="G79" s="1"/>
  <c r="F17"/>
  <c r="AA17" s="1"/>
  <c r="J17"/>
  <c r="H17"/>
  <c r="U17" s="1"/>
  <c r="U45"/>
  <c r="AB45"/>
  <c r="F45"/>
  <c r="J45"/>
  <c r="U46"/>
  <c r="S43"/>
  <c r="S41"/>
  <c r="U35"/>
  <c r="AB36"/>
  <c r="AC23"/>
  <c r="W19"/>
  <c r="U19"/>
  <c r="AC10"/>
  <c r="D9" i="69"/>
  <c r="C9" s="1"/>
  <c r="I14" i="74"/>
  <c r="B8" s="1"/>
  <c r="D127" i="9"/>
  <c r="D13" i="52" s="1"/>
  <c r="D12"/>
  <c r="L68" i="9"/>
  <c r="M68" s="1"/>
  <c r="L65"/>
  <c r="M65" s="1"/>
  <c r="L66"/>
  <c r="M66" s="1"/>
  <c r="L64"/>
  <c r="M64" s="1"/>
  <c r="L63"/>
  <c r="M63" s="1"/>
  <c r="M69" s="1"/>
  <c r="N69" s="1"/>
  <c r="L67"/>
  <c r="M67" s="1"/>
  <c r="D125"/>
  <c r="D11" i="52" s="1"/>
  <c r="D10"/>
  <c r="W11" i="34"/>
  <c r="E63" i="40"/>
  <c r="D9" i="53"/>
  <c r="B25" i="72" s="1"/>
  <c r="B24"/>
  <c r="AZ557" i="3"/>
  <c r="W12" i="34"/>
  <c r="AC12"/>
  <c r="W12" i="35"/>
  <c r="AC12"/>
  <c r="C70" i="39"/>
  <c r="D68"/>
  <c r="AZ503" i="3"/>
  <c r="U31" i="21"/>
  <c r="AB31"/>
  <c r="W45"/>
  <c r="AC45"/>
  <c r="AA9"/>
  <c r="S9"/>
  <c r="AC9" i="33"/>
  <c r="W9"/>
  <c r="AC26"/>
  <c r="W26"/>
  <c r="W27" i="34"/>
  <c r="AC27"/>
  <c r="AB45" i="21"/>
  <c r="K120" i="9"/>
  <c r="A18" i="62" s="1"/>
  <c r="B64" i="72" s="1"/>
  <c r="S13" i="21"/>
  <c r="AC17" i="37"/>
  <c r="D5" i="43"/>
  <c r="BA5" i="3"/>
  <c r="AA10" i="33"/>
  <c r="AA35"/>
  <c r="AC39" i="34"/>
  <c r="U44"/>
  <c r="AA27" i="40"/>
  <c r="AB27"/>
  <c r="AA34" i="33"/>
  <c r="AA39" i="34"/>
  <c r="H48" i="43"/>
  <c r="H50"/>
  <c r="AC11" i="39"/>
  <c r="S11"/>
  <c r="F9" i="33"/>
  <c r="H9"/>
  <c r="H12" i="34"/>
  <c r="F12" i="35"/>
  <c r="H36"/>
  <c r="J36"/>
  <c r="F25" i="37"/>
  <c r="W31" i="35"/>
  <c r="AC31"/>
  <c r="G551" i="3"/>
  <c r="G5" s="1"/>
  <c r="B3" s="1"/>
  <c r="E237" s="1"/>
  <c r="BL548"/>
  <c r="AZ548" s="1"/>
  <c r="AZ409"/>
  <c r="AZ416"/>
  <c r="AZ425"/>
  <c r="AZ432"/>
  <c r="AZ445"/>
  <c r="AZ464"/>
  <c r="AZ467"/>
  <c r="AZ474"/>
  <c r="AZ480"/>
  <c r="AZ482"/>
  <c r="AZ486"/>
  <c r="AZ488"/>
  <c r="J34" i="35"/>
  <c r="H34"/>
  <c r="F34"/>
  <c r="AZ399" i="3"/>
  <c r="AZ404"/>
  <c r="AZ414"/>
  <c r="AZ421"/>
  <c r="AZ440"/>
  <c r="AZ449"/>
  <c r="AZ453"/>
  <c r="AZ455"/>
  <c r="AZ397"/>
  <c r="AZ212"/>
  <c r="AZ217"/>
  <c r="AZ220"/>
  <c r="AZ228"/>
  <c r="AZ231"/>
  <c r="AZ244"/>
  <c r="AZ247"/>
  <c r="AZ260"/>
  <c r="AZ264"/>
  <c r="AZ282"/>
  <c r="AZ285"/>
  <c r="AZ290"/>
  <c r="AZ293"/>
  <c r="AZ153"/>
  <c r="AZ169"/>
  <c r="AZ185"/>
  <c r="AZ201"/>
  <c r="AZ207"/>
  <c r="AZ25"/>
  <c r="AZ30"/>
  <c r="F34" i="79"/>
  <c r="F62" s="1"/>
  <c r="M20"/>
  <c r="AZ38" i="3"/>
  <c r="AZ44"/>
  <c r="AZ48"/>
  <c r="AZ60"/>
  <c r="AZ64"/>
  <c r="AZ78"/>
  <c r="AZ91"/>
  <c r="AZ98"/>
  <c r="AZ104"/>
  <c r="AZ108"/>
  <c r="F3" i="35"/>
  <c r="B75" i="43"/>
  <c r="B66"/>
  <c r="C29" i="39"/>
  <c r="AA18" i="35"/>
  <c r="S18"/>
  <c r="AA29" i="39"/>
  <c r="S29"/>
  <c r="O51" i="71"/>
  <c r="C17"/>
  <c r="C37"/>
  <c r="C41"/>
  <c r="E12"/>
  <c r="E11" s="1"/>
  <c r="V13"/>
  <c r="AB10"/>
  <c r="Q52"/>
  <c r="C44"/>
  <c r="AA3"/>
  <c r="AA11"/>
  <c r="AA13"/>
  <c r="X20"/>
  <c r="Y16"/>
  <c r="Z16" s="1"/>
  <c r="AB16"/>
  <c r="X16"/>
  <c r="X17"/>
  <c r="AB17"/>
  <c r="AB19"/>
  <c r="AB18"/>
  <c r="AA20"/>
  <c r="AA21"/>
  <c r="C32"/>
  <c r="D32" s="1"/>
  <c r="D31"/>
  <c r="M100" i="43"/>
  <c r="I100"/>
  <c r="E100"/>
  <c r="D100"/>
  <c r="C40" i="68"/>
  <c r="B55" i="43"/>
  <c r="C13" i="71"/>
  <c r="Y10"/>
  <c r="Z10" s="1"/>
  <c r="Y11"/>
  <c r="Z11" s="1"/>
  <c r="Y12"/>
  <c r="Z12" s="1"/>
  <c r="Y13"/>
  <c r="Z13" s="1"/>
  <c r="X11"/>
  <c r="X13"/>
  <c r="E15"/>
  <c r="E16" s="1"/>
  <c r="E17" s="1"/>
  <c r="U17" s="1"/>
  <c r="AA14"/>
  <c r="AB15"/>
  <c r="AB11"/>
  <c r="AB13"/>
  <c r="Y20"/>
  <c r="Z20" s="1"/>
  <c r="Y18"/>
  <c r="Z18" s="1"/>
  <c r="B23"/>
  <c r="B24" s="1"/>
  <c r="B25" s="1"/>
  <c r="S25" s="1"/>
  <c r="X22"/>
  <c r="AB23"/>
  <c r="AB22"/>
  <c r="X9"/>
  <c r="AA9"/>
  <c r="AA8"/>
  <c r="X8"/>
  <c r="X6"/>
  <c r="AA6"/>
  <c r="S53"/>
  <c r="B52"/>
  <c r="Y9"/>
  <c r="Z9" s="1"/>
  <c r="AB9"/>
  <c r="Y8"/>
  <c r="Z8" s="1"/>
  <c r="Y7"/>
  <c r="Z7" s="1"/>
  <c r="AB7"/>
  <c r="AH10" i="43"/>
  <c r="AD10"/>
  <c r="Z10"/>
  <c r="AG10"/>
  <c r="AC10"/>
  <c r="E8" i="71"/>
  <c r="E7" s="1"/>
  <c r="X7"/>
  <c r="Y6"/>
  <c r="Z6" s="1"/>
  <c r="AB6"/>
  <c r="AB5"/>
  <c r="C9"/>
  <c r="AB8"/>
  <c r="AA7"/>
  <c r="X5"/>
  <c r="AA5"/>
  <c r="Q16" i="1"/>
  <c r="F27" i="11" s="1"/>
  <c r="C92" i="9"/>
  <c r="C94"/>
  <c r="F53"/>
  <c r="F32" i="79"/>
  <c r="F60" s="1"/>
  <c r="M18"/>
  <c r="F28"/>
  <c r="C28" s="1"/>
  <c r="G7" i="1"/>
  <c r="E15" i="6"/>
  <c r="E60" i="40" s="1"/>
  <c r="E59"/>
  <c r="L27" i="6"/>
  <c r="F54" i="9"/>
  <c r="M18" i="15"/>
  <c r="F30" i="69"/>
  <c r="F32" i="15"/>
  <c r="F60" s="1"/>
  <c r="F32" i="67"/>
  <c r="F60" s="1"/>
  <c r="D68" i="9"/>
  <c r="C24" i="12"/>
  <c r="F28" i="15"/>
  <c r="C28" s="1"/>
  <c r="M18" i="67"/>
  <c r="F31" i="12"/>
  <c r="F28" i="67"/>
  <c r="C28" s="1"/>
  <c r="F30" i="11"/>
  <c r="F30" i="68"/>
  <c r="P61" i="15"/>
  <c r="J53"/>
  <c r="F1" s="1"/>
  <c r="C9" i="68"/>
  <c r="E30" i="6"/>
  <c r="K15" i="1"/>
  <c r="K16" s="1"/>
  <c r="AZ13" i="3"/>
  <c r="H16" i="1"/>
  <c r="M7"/>
  <c r="E8" i="6"/>
  <c r="O11" i="1"/>
  <c r="P11" s="1"/>
  <c r="E13" i="6"/>
  <c r="E12"/>
  <c r="O12" i="1"/>
  <c r="P12" s="1"/>
  <c r="P6"/>
  <c r="E69" i="3"/>
  <c r="E445"/>
  <c r="E461"/>
  <c r="E514"/>
  <c r="E387"/>
  <c r="E134"/>
  <c r="E253"/>
  <c r="E532"/>
  <c r="E474"/>
  <c r="E288"/>
  <c r="E537"/>
  <c r="E475"/>
  <c r="E168"/>
  <c r="E139"/>
  <c r="E225"/>
  <c r="E281"/>
  <c r="E243"/>
  <c r="E332"/>
  <c r="E391"/>
  <c r="E356"/>
  <c r="O9" i="1"/>
  <c r="P9" s="1"/>
  <c r="O8"/>
  <c r="E56" i="40"/>
  <c r="F22" i="43"/>
  <c r="K101"/>
  <c r="F101"/>
  <c r="N101"/>
  <c r="E22"/>
  <c r="H22"/>
  <c r="D101"/>
  <c r="M101"/>
  <c r="I101"/>
  <c r="E101"/>
  <c r="AJ11"/>
  <c r="AJ13" s="1"/>
  <c r="AH11"/>
  <c r="AH13" s="1"/>
  <c r="AF11"/>
  <c r="AF13" s="1"/>
  <c r="AD11"/>
  <c r="AD13" s="1"/>
  <c r="AB11"/>
  <c r="AB13" s="1"/>
  <c r="Z11"/>
  <c r="Z13" s="1"/>
  <c r="Z7"/>
  <c r="AI11"/>
  <c r="AI13" s="1"/>
  <c r="AG11"/>
  <c r="AG13" s="1"/>
  <c r="AE11"/>
  <c r="AE13" s="1"/>
  <c r="AC11"/>
  <c r="AC13" s="1"/>
  <c r="AA11"/>
  <c r="AA13" s="1"/>
  <c r="Y11"/>
  <c r="Y13" s="1"/>
  <c r="B113"/>
  <c r="G101"/>
  <c r="C101"/>
  <c r="J101"/>
  <c r="N104" i="46"/>
  <c r="L101" i="43"/>
  <c r="H101"/>
  <c r="G22"/>
  <c r="G13" i="1"/>
  <c r="G48" i="35"/>
  <c r="H48" s="1"/>
  <c r="I48" s="1"/>
  <c r="J48" s="1"/>
  <c r="K48" s="1"/>
  <c r="L48" s="1"/>
  <c r="M48" s="1"/>
  <c r="N48" s="1"/>
  <c r="O48" s="1"/>
  <c r="F7"/>
  <c r="F58" i="33"/>
  <c r="G58" s="1"/>
  <c r="H58" s="1"/>
  <c r="I58" s="1"/>
  <c r="J58" s="1"/>
  <c r="K58" s="1"/>
  <c r="L58" s="1"/>
  <c r="M58" s="1"/>
  <c r="N58" s="1"/>
  <c r="O58" s="1"/>
  <c r="P58" s="1"/>
  <c r="Q58" s="1"/>
  <c r="R58" s="1"/>
  <c r="S58" s="1"/>
  <c r="T58" s="1"/>
  <c r="U58" s="1"/>
  <c r="V58" s="1"/>
  <c r="W58" s="1"/>
  <c r="X58" s="1"/>
  <c r="Y58" s="1"/>
  <c r="Z58" s="1"/>
  <c r="F7"/>
  <c r="I59" i="34"/>
  <c r="J59" s="1"/>
  <c r="K59" s="1"/>
  <c r="L59" s="1"/>
  <c r="M59" s="1"/>
  <c r="N59" s="1"/>
  <c r="O59" s="1"/>
  <c r="H7"/>
  <c r="F7"/>
  <c r="H52" i="37"/>
  <c r="I52" s="1"/>
  <c r="J52" s="1"/>
  <c r="K52" s="1"/>
  <c r="L52" s="1"/>
  <c r="M52" s="1"/>
  <c r="N52" s="1"/>
  <c r="O52" s="1"/>
  <c r="E46" i="36"/>
  <c r="F46" s="1"/>
  <c r="G46" s="1"/>
  <c r="H46" s="1"/>
  <c r="I46" s="1"/>
  <c r="J46" s="1"/>
  <c r="K46" s="1"/>
  <c r="L46" s="1"/>
  <c r="M46" s="1"/>
  <c r="N46" s="1"/>
  <c r="O46" s="1"/>
  <c r="D58" i="21"/>
  <c r="E58" s="1"/>
  <c r="F58" s="1"/>
  <c r="G58" s="1"/>
  <c r="H58" s="1"/>
  <c r="I58" s="1"/>
  <c r="J58" s="1"/>
  <c r="K58" s="1"/>
  <c r="L58" s="1"/>
  <c r="M58" s="1"/>
  <c r="N58" s="1"/>
  <c r="O58" s="1"/>
  <c r="J7"/>
  <c r="H7"/>
  <c r="F6" i="71"/>
  <c r="F5" s="1"/>
  <c r="Y5"/>
  <c r="Z5" s="1"/>
  <c r="B7" i="49"/>
  <c r="E7"/>
  <c r="B15"/>
  <c r="E4" i="4" s="1"/>
  <c r="B5" i="62" s="1"/>
  <c r="B73" i="72" s="1"/>
  <c r="AB3" i="71"/>
  <c r="X3"/>
  <c r="E6"/>
  <c r="E5" s="1"/>
  <c r="E10" i="49"/>
  <c r="B6"/>
  <c r="C4" i="4" s="1"/>
  <c r="E14" i="49"/>
  <c r="AF3" i="71"/>
  <c r="P24" i="43" s="1"/>
  <c r="B66" i="40" s="1"/>
  <c r="P21" i="43"/>
  <c r="B13" i="49"/>
  <c r="B4"/>
  <c r="B9"/>
  <c r="E22"/>
  <c r="E16"/>
  <c r="E11"/>
  <c r="B10"/>
  <c r="E6"/>
  <c r="E8"/>
  <c r="E5"/>
  <c r="B8"/>
  <c r="B5"/>
  <c r="E21"/>
  <c r="E4"/>
  <c r="B11"/>
  <c r="B14"/>
  <c r="B16"/>
  <c r="E13"/>
  <c r="E15"/>
  <c r="E9"/>
  <c r="B22"/>
  <c r="F70" i="67"/>
  <c r="F64"/>
  <c r="J57" i="15"/>
  <c r="J55" s="1"/>
  <c r="J58" s="1"/>
  <c r="Q50" s="1"/>
  <c r="I54"/>
  <c r="F71" i="67"/>
  <c r="F66" i="15"/>
  <c r="F50"/>
  <c r="M7"/>
  <c r="J6" s="1"/>
  <c r="B10" i="70"/>
  <c r="F68" i="67"/>
  <c r="F66"/>
  <c r="L59"/>
  <c r="M59"/>
  <c r="N59"/>
  <c r="L58"/>
  <c r="F68" i="15"/>
  <c r="N59"/>
  <c r="M59"/>
  <c r="L58"/>
  <c r="F65"/>
  <c r="C6"/>
  <c r="Q71" i="67"/>
  <c r="B13" i="70"/>
  <c r="B8"/>
  <c r="B20" i="31"/>
  <c r="F69" i="67"/>
  <c r="F71" i="15"/>
  <c r="F65" i="67"/>
  <c r="Q71" i="15"/>
  <c r="M7" i="67"/>
  <c r="J6" s="1"/>
  <c r="F50"/>
  <c r="F51"/>
  <c r="C6"/>
  <c r="B11" i="70"/>
  <c r="I1" i="73"/>
  <c r="B39" i="1" s="1"/>
  <c r="C27" i="15"/>
  <c r="F51"/>
  <c r="F64"/>
  <c r="I54" i="67"/>
  <c r="J57"/>
  <c r="J55" s="1"/>
  <c r="J58" s="1"/>
  <c r="Q50" s="1"/>
  <c r="L56"/>
  <c r="C27"/>
  <c r="B12" i="70"/>
  <c r="B9"/>
  <c r="K1" i="73"/>
  <c r="F27" i="68"/>
  <c r="F59" i="67"/>
  <c r="F31"/>
  <c r="F31" i="15"/>
  <c r="F59"/>
  <c r="M17" i="67"/>
  <c r="M17" i="15"/>
  <c r="D19" i="12"/>
  <c r="M23" i="79"/>
  <c r="D4" i="73"/>
  <c r="F42" i="79"/>
  <c r="L47"/>
  <c r="F7"/>
  <c r="F40"/>
  <c r="C16" i="67"/>
  <c r="M29" i="79"/>
  <c r="M22"/>
  <c r="C16" i="15"/>
  <c r="D5" i="73"/>
  <c r="F8" i="79"/>
  <c r="G1" i="73"/>
  <c r="J15" i="79"/>
  <c r="F38"/>
  <c r="C76"/>
  <c r="M28"/>
  <c r="M9"/>
  <c r="M26"/>
  <c r="D6" i="73"/>
  <c r="D3"/>
  <c r="L48" i="79"/>
  <c r="F37"/>
  <c r="F36"/>
  <c r="AE6" i="1"/>
  <c r="F6" i="79"/>
  <c r="F26"/>
  <c r="M6"/>
  <c r="D7" i="73"/>
  <c r="F16" i="79"/>
  <c r="F43"/>
  <c r="F9"/>
  <c r="M24"/>
  <c r="M8"/>
  <c r="F13"/>
  <c r="C19" i="12" l="1"/>
  <c r="AB23" i="33"/>
  <c r="S23"/>
  <c r="E20" i="43"/>
  <c r="F7" i="21"/>
  <c r="E333" i="3"/>
  <c r="E346"/>
  <c r="E276"/>
  <c r="E226"/>
  <c r="E242"/>
  <c r="E202"/>
  <c r="E119"/>
  <c r="E54"/>
  <c r="E471"/>
  <c r="W6"/>
  <c r="E438"/>
  <c r="E529"/>
  <c r="E313"/>
  <c r="E180"/>
  <c r="E215"/>
  <c r="M6"/>
  <c r="E165"/>
  <c r="E539"/>
  <c r="E563"/>
  <c r="E318"/>
  <c r="E394"/>
  <c r="E357"/>
  <c r="E315"/>
  <c r="E351"/>
  <c r="E274"/>
  <c r="E257"/>
  <c r="E214"/>
  <c r="E279"/>
  <c r="E256"/>
  <c r="E208"/>
  <c r="E171"/>
  <c r="E150"/>
  <c r="E203"/>
  <c r="E111"/>
  <c r="E72"/>
  <c r="E433"/>
  <c r="E450"/>
  <c r="E571"/>
  <c r="E562"/>
  <c r="E457"/>
  <c r="E527"/>
  <c r="E458"/>
  <c r="E573"/>
  <c r="E519"/>
  <c r="E199"/>
  <c r="E77"/>
  <c r="E91"/>
  <c r="E189"/>
  <c r="E335"/>
  <c r="AB6"/>
  <c r="E570"/>
  <c r="E311"/>
  <c r="E227"/>
  <c r="E567"/>
  <c r="E535"/>
  <c r="E172"/>
  <c r="E278"/>
  <c r="E146"/>
  <c r="E73"/>
  <c r="E106"/>
  <c r="E55"/>
  <c r="E454"/>
  <c r="E496"/>
  <c r="E468"/>
  <c r="E429"/>
  <c r="E577"/>
  <c r="AE6"/>
  <c r="E587"/>
  <c r="E344"/>
  <c r="E465"/>
  <c r="E424"/>
  <c r="E406"/>
  <c r="E481"/>
  <c r="E472"/>
  <c r="E437"/>
  <c r="E560"/>
  <c r="Q6"/>
  <c r="K6"/>
  <c r="E330"/>
  <c r="E141"/>
  <c r="E167"/>
  <c r="E212"/>
  <c r="E149"/>
  <c r="E221"/>
  <c r="E254"/>
  <c r="E130"/>
  <c r="E230"/>
  <c r="E294"/>
  <c r="E320"/>
  <c r="E407"/>
  <c r="V6"/>
  <c r="E551"/>
  <c r="E559"/>
  <c r="E358"/>
  <c r="E128"/>
  <c r="E205"/>
  <c r="E352"/>
  <c r="E510"/>
  <c r="E545"/>
  <c r="E329"/>
  <c r="E550"/>
  <c r="E260"/>
  <c r="E395"/>
  <c r="E415"/>
  <c r="E114"/>
  <c r="E198"/>
  <c r="E178"/>
  <c r="E115"/>
  <c r="E108"/>
  <c r="E41"/>
  <c r="E25"/>
  <c r="E104"/>
  <c r="E40"/>
  <c r="E26"/>
  <c r="E463"/>
  <c r="E420"/>
  <c r="E401"/>
  <c r="E470"/>
  <c r="E483"/>
  <c r="E452"/>
  <c r="E419"/>
  <c r="E494"/>
  <c r="E498"/>
  <c r="E13"/>
  <c r="J6"/>
  <c r="E497"/>
  <c r="AH6"/>
  <c r="E556"/>
  <c r="E376"/>
  <c r="E360"/>
  <c r="E490"/>
  <c r="E451"/>
  <c r="E440"/>
  <c r="E408"/>
  <c r="E422"/>
  <c r="E512"/>
  <c r="E507"/>
  <c r="E469"/>
  <c r="E486"/>
  <c r="E456"/>
  <c r="E427"/>
  <c r="E405"/>
  <c r="E543"/>
  <c r="T6"/>
  <c r="E564"/>
  <c r="E534"/>
  <c r="E493"/>
  <c r="E525"/>
  <c r="E393"/>
  <c r="E369"/>
  <c r="E107"/>
  <c r="E164"/>
  <c r="E145"/>
  <c r="E204"/>
  <c r="E271"/>
  <c r="E252"/>
  <c r="E207"/>
  <c r="E117"/>
  <c r="E161"/>
  <c r="E290"/>
  <c r="E135"/>
  <c r="E61"/>
  <c r="E185"/>
  <c r="E169"/>
  <c r="E216"/>
  <c r="E298"/>
  <c r="E231"/>
  <c r="E321"/>
  <c r="E380"/>
  <c r="E338"/>
  <c r="E439"/>
  <c r="E418"/>
  <c r="E538"/>
  <c r="E506"/>
  <c r="E561"/>
  <c r="E523"/>
  <c r="AR6"/>
  <c r="S6"/>
  <c r="E533"/>
  <c r="E390"/>
  <c r="E270"/>
  <c r="E293"/>
  <c r="E124"/>
  <c r="E246"/>
  <c r="E280"/>
  <c r="E336"/>
  <c r="E399"/>
  <c r="X6"/>
  <c r="AA6"/>
  <c r="E583"/>
  <c r="E347"/>
  <c r="E302"/>
  <c r="E503"/>
  <c r="E17"/>
  <c r="E361"/>
  <c r="E213"/>
  <c r="E183"/>
  <c r="E565"/>
  <c r="E528"/>
  <c r="E304"/>
  <c r="E261"/>
  <c r="E65" i="39"/>
  <c r="C34" i="69"/>
  <c r="C38" s="1"/>
  <c r="G16" i="1"/>
  <c r="M59" i="79"/>
  <c r="L59" s="1"/>
  <c r="Q61" s="1"/>
  <c r="N59"/>
  <c r="L58"/>
  <c r="Q73" s="1"/>
  <c r="F71"/>
  <c r="L60"/>
  <c r="Q66" s="1"/>
  <c r="J57"/>
  <c r="J55" s="1"/>
  <c r="J58" s="1"/>
  <c r="Q50" s="1"/>
  <c r="J53"/>
  <c r="Q52" s="1"/>
  <c r="L57"/>
  <c r="I54"/>
  <c r="L56"/>
  <c r="AA19" i="33"/>
  <c r="AB15"/>
  <c r="U15"/>
  <c r="AA15"/>
  <c r="S15"/>
  <c r="AC15"/>
  <c r="W15"/>
  <c r="W17"/>
  <c r="AC17"/>
  <c r="S17"/>
  <c r="AB17"/>
  <c r="AA45"/>
  <c r="S45"/>
  <c r="W45"/>
  <c r="AC45"/>
  <c r="F51" i="79"/>
  <c r="C6"/>
  <c r="F64"/>
  <c r="Q71"/>
  <c r="F66"/>
  <c r="F68"/>
  <c r="C27"/>
  <c r="F65"/>
  <c r="F50"/>
  <c r="M7"/>
  <c r="J6" s="1"/>
  <c r="C8" i="71"/>
  <c r="T9"/>
  <c r="D9"/>
  <c r="U9" s="1"/>
  <c r="B51"/>
  <c r="N52"/>
  <c r="T41"/>
  <c r="D41"/>
  <c r="T17"/>
  <c r="D17"/>
  <c r="AA34" i="35"/>
  <c r="S34"/>
  <c r="AC34"/>
  <c r="W34"/>
  <c r="E53" i="3"/>
  <c r="E175"/>
  <c r="E319"/>
  <c r="E530"/>
  <c r="E501"/>
  <c r="E343"/>
  <c r="E153"/>
  <c r="E305"/>
  <c r="E426"/>
  <c r="E508"/>
  <c r="E328"/>
  <c r="E239"/>
  <c r="E509"/>
  <c r="E516"/>
  <c r="E579"/>
  <c r="E569"/>
  <c r="E431"/>
  <c r="E396"/>
  <c r="E247"/>
  <c r="E229"/>
  <c r="E201"/>
  <c r="E151"/>
  <c r="E353"/>
  <c r="E385"/>
  <c r="E495"/>
  <c r="E518"/>
  <c r="AN6"/>
  <c r="AI6"/>
  <c r="E578"/>
  <c r="E402"/>
  <c r="E423"/>
  <c r="E350"/>
  <c r="E382"/>
  <c r="E303"/>
  <c r="E263"/>
  <c r="E301"/>
  <c r="E245"/>
  <c r="E159"/>
  <c r="E191"/>
  <c r="E99"/>
  <c r="E188"/>
  <c r="E228"/>
  <c r="E181"/>
  <c r="E157"/>
  <c r="E140"/>
  <c r="E85"/>
  <c r="E223"/>
  <c r="E238"/>
  <c r="E197"/>
  <c r="E116"/>
  <c r="E173"/>
  <c r="E327"/>
  <c r="E379"/>
  <c r="E576"/>
  <c r="E125"/>
  <c r="E217"/>
  <c r="E366"/>
  <c r="E526"/>
  <c r="E553"/>
  <c r="E268"/>
  <c r="E282"/>
  <c r="E322"/>
  <c r="N6"/>
  <c r="AJ6"/>
  <c r="E388"/>
  <c r="O6"/>
  <c r="E555"/>
  <c r="E574"/>
  <c r="E410"/>
  <c r="E359"/>
  <c r="E337"/>
  <c r="E285"/>
  <c r="E143"/>
  <c r="E97"/>
  <c r="E397"/>
  <c r="E314"/>
  <c r="E568"/>
  <c r="E511"/>
  <c r="I6"/>
  <c r="E16"/>
  <c r="E536"/>
  <c r="AK6"/>
  <c r="E549"/>
  <c r="E434"/>
  <c r="E453"/>
  <c r="E306"/>
  <c r="E368"/>
  <c r="E296"/>
  <c r="E244"/>
  <c r="E262"/>
  <c r="E196"/>
  <c r="E136"/>
  <c r="E156"/>
  <c r="E236"/>
  <c r="E148"/>
  <c r="E269"/>
  <c r="E122"/>
  <c r="E89"/>
  <c r="E120"/>
  <c r="E45"/>
  <c r="E277"/>
  <c r="E224"/>
  <c r="E177"/>
  <c r="E193"/>
  <c r="E133"/>
  <c r="E286"/>
  <c r="E312"/>
  <c r="E575"/>
  <c r="AD6"/>
  <c r="E499"/>
  <c r="E542"/>
  <c r="R6"/>
  <c r="E552"/>
  <c r="E502"/>
  <c r="E421"/>
  <c r="E442"/>
  <c r="E464"/>
  <c r="E466"/>
  <c r="E487"/>
  <c r="E541"/>
  <c r="E398"/>
  <c r="E430"/>
  <c r="E416"/>
  <c r="E449"/>
  <c r="E459"/>
  <c r="E255"/>
  <c r="E374"/>
  <c r="I3" i="6"/>
  <c r="E566" i="3"/>
  <c r="AP6"/>
  <c r="E500"/>
  <c r="E554"/>
  <c r="E582"/>
  <c r="E517"/>
  <c r="E413"/>
  <c r="E435"/>
  <c r="E460"/>
  <c r="E491"/>
  <c r="E520"/>
  <c r="E417"/>
  <c r="E436"/>
  <c r="E479"/>
  <c r="E39"/>
  <c r="E56"/>
  <c r="E90"/>
  <c r="E37"/>
  <c r="E57"/>
  <c r="E95"/>
  <c r="E131"/>
  <c r="E152"/>
  <c r="E187"/>
  <c r="E132"/>
  <c r="E155"/>
  <c r="E192"/>
  <c r="E240"/>
  <c r="E258"/>
  <c r="E297"/>
  <c r="E241"/>
  <c r="E259"/>
  <c r="E292"/>
  <c r="E348"/>
  <c r="E363"/>
  <c r="E378"/>
  <c r="E349"/>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585"/>
  <c r="U6"/>
  <c r="E515"/>
  <c r="E411"/>
  <c r="E478"/>
  <c r="E548"/>
  <c r="E414"/>
  <c r="E432"/>
  <c r="E477"/>
  <c r="E367"/>
  <c r="E505"/>
  <c r="E547"/>
  <c r="AS6"/>
  <c r="E403"/>
  <c r="E476"/>
  <c r="E546"/>
  <c r="E447"/>
  <c r="E71"/>
  <c r="E27"/>
  <c r="E92"/>
  <c r="E162"/>
  <c r="E126"/>
  <c r="E186"/>
  <c r="E272"/>
  <c r="E210"/>
  <c r="E291"/>
  <c r="E331"/>
  <c r="E317"/>
  <c r="E362"/>
  <c r="E14"/>
  <c r="E580"/>
  <c r="E31"/>
  <c r="E74"/>
  <c r="E93"/>
  <c r="E32"/>
  <c r="E75"/>
  <c r="E409"/>
  <c r="E473"/>
  <c r="E15"/>
  <c r="E455"/>
  <c r="E79"/>
  <c r="E38"/>
  <c r="E100"/>
  <c r="E170"/>
  <c r="E137"/>
  <c r="E194"/>
  <c r="E234"/>
  <c r="E219"/>
  <c r="E299"/>
  <c r="E339"/>
  <c r="E325"/>
  <c r="E392"/>
  <c r="AQ6"/>
  <c r="E52"/>
  <c r="E36"/>
  <c r="E112"/>
  <c r="E123"/>
  <c r="E147"/>
  <c r="E289"/>
  <c r="E340"/>
  <c r="E364"/>
  <c r="E50"/>
  <c r="E20"/>
  <c r="E62"/>
  <c r="E176"/>
  <c r="E218"/>
  <c r="E265"/>
  <c r="E365"/>
  <c r="E524"/>
  <c r="E101"/>
  <c r="E105"/>
  <c r="Z6"/>
  <c r="AG6"/>
  <c r="AO6"/>
  <c r="E448"/>
  <c r="E485"/>
  <c r="P6"/>
  <c r="E400"/>
  <c r="E443"/>
  <c r="E345"/>
  <c r="E558"/>
  <c r="E557"/>
  <c r="E581"/>
  <c r="E531"/>
  <c r="E444"/>
  <c r="E489"/>
  <c r="E404"/>
  <c r="E28"/>
  <c r="E88"/>
  <c r="E70"/>
  <c r="E121"/>
  <c r="E182"/>
  <c r="E166"/>
  <c r="E211"/>
  <c r="E295"/>
  <c r="E273"/>
  <c r="E316"/>
  <c r="E377"/>
  <c r="E334"/>
  <c r="E372"/>
  <c r="AL6"/>
  <c r="L6"/>
  <c r="E42"/>
  <c r="E60"/>
  <c r="E94"/>
  <c r="E43"/>
  <c r="E488"/>
  <c r="E428"/>
  <c r="E482"/>
  <c r="E412"/>
  <c r="E18"/>
  <c r="E96"/>
  <c r="E78"/>
  <c r="E129"/>
  <c r="E190"/>
  <c r="E174"/>
  <c r="E220"/>
  <c r="E275"/>
  <c r="E235"/>
  <c r="E324"/>
  <c r="E383"/>
  <c r="E342"/>
  <c r="E522"/>
  <c r="E35"/>
  <c r="E86"/>
  <c r="E34"/>
  <c r="E49"/>
  <c r="E206"/>
  <c r="E232"/>
  <c r="E251"/>
  <c r="E370"/>
  <c r="AF6"/>
  <c r="E102"/>
  <c r="E80"/>
  <c r="E113"/>
  <c r="E158"/>
  <c r="E287"/>
  <c r="E308"/>
  <c r="E326"/>
  <c r="E22"/>
  <c r="E83"/>
  <c r="W36" i="35"/>
  <c r="AC36"/>
  <c r="S12"/>
  <c r="AA12"/>
  <c r="AB9" i="33"/>
  <c r="U9"/>
  <c r="E586" i="3"/>
  <c r="BL5"/>
  <c r="D70" i="39"/>
  <c r="E68"/>
  <c r="P22" i="43"/>
  <c r="P23"/>
  <c r="B71" i="39" s="1"/>
  <c r="AZ5" i="3"/>
  <c r="AY6" s="1"/>
  <c r="AY66" s="1"/>
  <c r="C12" i="71"/>
  <c r="T13"/>
  <c r="D13"/>
  <c r="U13" s="1"/>
  <c r="D44"/>
  <c r="C45"/>
  <c r="T37"/>
  <c r="D37"/>
  <c r="AB34" i="35"/>
  <c r="U34"/>
  <c r="AA25" i="37"/>
  <c r="S25"/>
  <c r="AB36" i="35"/>
  <c r="U36"/>
  <c r="AB12" i="34"/>
  <c r="U12"/>
  <c r="AA9" i="33"/>
  <c r="S9"/>
  <c r="E65" i="40"/>
  <c r="F63"/>
  <c r="F27" i="69"/>
  <c r="C47" s="1"/>
  <c r="D45" s="1"/>
  <c r="Q74" i="79"/>
  <c r="E3" i="6"/>
  <c r="C17" i="4" s="1"/>
  <c r="B4" i="52" s="1"/>
  <c r="B43" i="72" s="1"/>
  <c r="M16" i="1"/>
  <c r="N16" s="1"/>
  <c r="M11" i="79"/>
  <c r="F11"/>
  <c r="C48" i="69"/>
  <c r="C30"/>
  <c r="C30" i="11"/>
  <c r="C48"/>
  <c r="C30" i="68"/>
  <c r="C48"/>
  <c r="AG6" i="1"/>
  <c r="L59" i="15"/>
  <c r="Q61" s="1"/>
  <c r="L56"/>
  <c r="Q52"/>
  <c r="C29" i="68"/>
  <c r="D27" s="1"/>
  <c r="C47"/>
  <c r="D45" s="1"/>
  <c r="O7" i="1"/>
  <c r="P7" s="1"/>
  <c r="F27" i="6"/>
  <c r="E51" i="40"/>
  <c r="E56" i="39"/>
  <c r="C47" i="11"/>
  <c r="D45" s="1"/>
  <c r="C29"/>
  <c r="D27" s="1"/>
  <c r="E58" i="40"/>
  <c r="E63" i="39"/>
  <c r="E57" i="40"/>
  <c r="E62" i="39"/>
  <c r="E16" i="6"/>
  <c r="H6" i="3"/>
  <c r="D3" i="33"/>
  <c r="P8" i="1"/>
  <c r="C104" i="43"/>
  <c r="C106"/>
  <c r="C105"/>
  <c r="C102"/>
  <c r="C109"/>
  <c r="C107"/>
  <c r="C103"/>
  <c r="B115"/>
  <c r="D117"/>
  <c r="E117" s="1"/>
  <c r="F117" s="1"/>
  <c r="G117" s="1"/>
  <c r="H117" s="1"/>
  <c r="I118"/>
  <c r="J118" s="1"/>
  <c r="K118" s="1"/>
  <c r="L118" s="1"/>
  <c r="M118" s="1"/>
  <c r="D118"/>
  <c r="E118" s="1"/>
  <c r="F118" s="1"/>
  <c r="D115"/>
  <c r="E115" s="1"/>
  <c r="F115" s="1"/>
  <c r="G115" s="1"/>
  <c r="H115" s="1"/>
  <c r="I115"/>
  <c r="J115" s="1"/>
  <c r="K115" s="1"/>
  <c r="L115" s="1"/>
  <c r="M115" s="1"/>
  <c r="D116"/>
  <c r="E116" s="1"/>
  <c r="F116" s="1"/>
  <c r="G116" s="1"/>
  <c r="H116" s="1"/>
  <c r="G118"/>
  <c r="H118" s="1"/>
  <c r="B116"/>
  <c r="C116" s="1"/>
  <c r="B118"/>
  <c r="C118" s="1"/>
  <c r="I117"/>
  <c r="J117" s="1"/>
  <c r="K117" s="1"/>
  <c r="L117" s="1"/>
  <c r="M117" s="1"/>
  <c r="B117"/>
  <c r="C117" s="1"/>
  <c r="I116"/>
  <c r="J116" s="1"/>
  <c r="K116" s="1"/>
  <c r="L116" s="1"/>
  <c r="M116" s="1"/>
  <c r="E104"/>
  <c r="E107"/>
  <c r="E105"/>
  <c r="E109"/>
  <c r="E102"/>
  <c r="E106"/>
  <c r="E103"/>
  <c r="M104"/>
  <c r="M107"/>
  <c r="M105"/>
  <c r="M109"/>
  <c r="M102"/>
  <c r="M106"/>
  <c r="M103"/>
  <c r="L109"/>
  <c r="L102"/>
  <c r="L105"/>
  <c r="L104"/>
  <c r="L106"/>
  <c r="L107"/>
  <c r="L103"/>
  <c r="J104"/>
  <c r="J105"/>
  <c r="J103"/>
  <c r="J106"/>
  <c r="J107"/>
  <c r="J102"/>
  <c r="J109"/>
  <c r="G105"/>
  <c r="G102"/>
  <c r="G103"/>
  <c r="G109"/>
  <c r="G107"/>
  <c r="G104"/>
  <c r="G106"/>
  <c r="I102"/>
  <c r="I106"/>
  <c r="I103"/>
  <c r="I109"/>
  <c r="I104"/>
  <c r="I107"/>
  <c r="I105"/>
  <c r="D103"/>
  <c r="D104"/>
  <c r="D107"/>
  <c r="D109"/>
  <c r="D105"/>
  <c r="D106"/>
  <c r="D102"/>
  <c r="F107"/>
  <c r="F106"/>
  <c r="F103"/>
  <c r="F104"/>
  <c r="F102"/>
  <c r="F105"/>
  <c r="F109"/>
  <c r="D22"/>
  <c r="H107"/>
  <c r="H106"/>
  <c r="H105"/>
  <c r="H102"/>
  <c r="H103"/>
  <c r="H104"/>
  <c r="H109"/>
  <c r="N103"/>
  <c r="N106"/>
  <c r="N107"/>
  <c r="N102"/>
  <c r="N105"/>
  <c r="N104"/>
  <c r="N109"/>
  <c r="K107"/>
  <c r="K104"/>
  <c r="K106"/>
  <c r="K103"/>
  <c r="K102"/>
  <c r="K105"/>
  <c r="K109"/>
  <c r="H10" i="40"/>
  <c r="AB10" s="1"/>
  <c r="J10"/>
  <c r="AC10" s="1"/>
  <c r="F10"/>
  <c r="S10" s="1"/>
  <c r="F10" i="39"/>
  <c r="AA10" s="1"/>
  <c r="H10"/>
  <c r="AB10" s="1"/>
  <c r="J10"/>
  <c r="AC10" s="1"/>
  <c r="K4" i="4"/>
  <c r="B46" i="48" s="1"/>
  <c r="B4" i="72" s="1"/>
  <c r="B4" i="62"/>
  <c r="B71" i="72" s="1"/>
  <c r="AA10" i="40"/>
  <c r="AC7" i="21"/>
  <c r="V48" s="1"/>
  <c r="I48" s="1"/>
  <c r="W7"/>
  <c r="S7"/>
  <c r="AA7"/>
  <c r="R48" s="1"/>
  <c r="U7" i="34"/>
  <c r="AB7"/>
  <c r="T49" s="1"/>
  <c r="G49" s="1"/>
  <c r="S7" i="33"/>
  <c r="AA7"/>
  <c r="R48" s="1"/>
  <c r="AA7" i="35"/>
  <c r="R38" s="1"/>
  <c r="S7"/>
  <c r="F7" i="36"/>
  <c r="H7" i="37"/>
  <c r="W10" i="39"/>
  <c r="AB7" i="21"/>
  <c r="T48" s="1"/>
  <c r="G48" s="1"/>
  <c r="U7"/>
  <c r="S7" i="34"/>
  <c r="AA7"/>
  <c r="R49" s="1"/>
  <c r="H7" i="36"/>
  <c r="J7"/>
  <c r="J7" i="37"/>
  <c r="F7"/>
  <c r="J7" i="34"/>
  <c r="J7" i="33"/>
  <c r="H7"/>
  <c r="H7" i="35"/>
  <c r="J7"/>
  <c r="P25" i="43"/>
  <c r="C49" i="67"/>
  <c r="C49" i="15"/>
  <c r="B40" i="1"/>
  <c r="F24" i="79" s="1"/>
  <c r="M11" i="15"/>
  <c r="J10" s="1"/>
  <c r="J5" s="1"/>
  <c r="F11" i="67"/>
  <c r="F11" i="15"/>
  <c r="M11" i="67"/>
  <c r="J10" s="1"/>
  <c r="J5" s="1"/>
  <c r="Q73"/>
  <c r="Q60"/>
  <c r="P17" i="43"/>
  <c r="M17"/>
  <c r="N17"/>
  <c r="O17"/>
  <c r="Q60" i="15"/>
  <c r="Q73"/>
  <c r="Q61" i="67"/>
  <c r="Q74"/>
  <c r="F28" i="12"/>
  <c r="F11"/>
  <c r="M27" i="15"/>
  <c r="C16" i="79"/>
  <c r="F41" i="15"/>
  <c r="C29" i="12" l="1"/>
  <c r="D28" s="1"/>
  <c r="C35" i="69"/>
  <c r="D3" i="37"/>
  <c r="AY113" i="3"/>
  <c r="AY421"/>
  <c r="AY74"/>
  <c r="F69" i="15"/>
  <c r="F34" i="68"/>
  <c r="C36" s="1"/>
  <c r="P16" i="1"/>
  <c r="O16"/>
  <c r="Q57" i="79"/>
  <c r="Q60"/>
  <c r="F1"/>
  <c r="AY466" i="3"/>
  <c r="AY29"/>
  <c r="AY290"/>
  <c r="AY474"/>
  <c r="AY323"/>
  <c r="AY522"/>
  <c r="AY419"/>
  <c r="AY52"/>
  <c r="AY369"/>
  <c r="BK6"/>
  <c r="AG7" i="1"/>
  <c r="AY175" i="3"/>
  <c r="AY120"/>
  <c r="AY27"/>
  <c r="AY19"/>
  <c r="AY479"/>
  <c r="AY532"/>
  <c r="AY341"/>
  <c r="AY227"/>
  <c r="AY229"/>
  <c r="AY531"/>
  <c r="BF6"/>
  <c r="AY294"/>
  <c r="AY335"/>
  <c r="M18" i="9"/>
  <c r="B118" s="1"/>
  <c r="B14" i="74" s="1"/>
  <c r="B1" s="1"/>
  <c r="C8" s="1"/>
  <c r="AY583" i="3"/>
  <c r="AY208"/>
  <c r="AY102"/>
  <c r="AY347"/>
  <c r="AY550"/>
  <c r="AY273"/>
  <c r="AY512"/>
  <c r="AY221"/>
  <c r="BP6"/>
  <c r="AY402"/>
  <c r="AY361"/>
  <c r="AY64"/>
  <c r="AY536"/>
  <c r="AY480"/>
  <c r="AY275"/>
  <c r="AY507"/>
  <c r="AY291"/>
  <c r="AY557"/>
  <c r="AY363"/>
  <c r="AY280"/>
  <c r="AY410"/>
  <c r="AY80"/>
  <c r="AY488"/>
  <c r="AY554"/>
  <c r="AY28"/>
  <c r="AY228"/>
  <c r="AY188"/>
  <c r="AY413"/>
  <c r="AY339"/>
  <c r="AY288"/>
  <c r="AY22"/>
  <c r="AY528"/>
  <c r="AY482"/>
  <c r="AY216"/>
  <c r="AY504"/>
  <c r="AY459"/>
  <c r="AY213"/>
  <c r="AY159"/>
  <c r="AY86"/>
  <c r="AY405"/>
  <c r="AY331"/>
  <c r="AY301"/>
  <c r="AY79"/>
  <c r="AY551"/>
  <c r="AY505"/>
  <c r="AY445"/>
  <c r="AY305"/>
  <c r="AY250"/>
  <c r="AY174"/>
  <c r="AY523"/>
  <c r="AY552"/>
  <c r="AY580"/>
  <c r="AY438"/>
  <c r="AY324"/>
  <c r="AY215"/>
  <c r="AY161"/>
  <c r="AY88"/>
  <c r="AY373"/>
  <c r="AY270"/>
  <c r="AY162"/>
  <c r="AY105"/>
  <c r="AY326"/>
  <c r="AY412"/>
  <c r="AY204"/>
  <c r="AY196"/>
  <c r="AY35"/>
  <c r="D3" i="6"/>
  <c r="AY487" i="3"/>
  <c r="AY129"/>
  <c r="AY584"/>
  <c r="AY427"/>
  <c r="AY349"/>
  <c r="AY24"/>
  <c r="AY214"/>
  <c r="AY138"/>
  <c r="AY108"/>
  <c r="AY465"/>
  <c r="AY409"/>
  <c r="AY297"/>
  <c r="AY176"/>
  <c r="D19" i="11"/>
  <c r="C19" s="1"/>
  <c r="E6" i="6"/>
  <c r="D10" i="11" s="1"/>
  <c r="C10" s="1"/>
  <c r="D3" i="34"/>
  <c r="AY567" i="3"/>
  <c r="AY15"/>
  <c r="AY432"/>
  <c r="AY322"/>
  <c r="AY375"/>
  <c r="AY272"/>
  <c r="AY136"/>
  <c r="AY195"/>
  <c r="AY39"/>
  <c r="AY576"/>
  <c r="AY13"/>
  <c r="AY440"/>
  <c r="AY330"/>
  <c r="AY383"/>
  <c r="AY233"/>
  <c r="AY498"/>
  <c r="BC6"/>
  <c r="AY416"/>
  <c r="AY306"/>
  <c r="AY367"/>
  <c r="AY256"/>
  <c r="AY119"/>
  <c r="AY179"/>
  <c r="AY70"/>
  <c r="AY587"/>
  <c r="AY517"/>
  <c r="AY424"/>
  <c r="AY314"/>
  <c r="AY376"/>
  <c r="AY264"/>
  <c r="AY172"/>
  <c r="AY62"/>
  <c r="AY493"/>
  <c r="AY545"/>
  <c r="AY515"/>
  <c r="AY538"/>
  <c r="AY415"/>
  <c r="AY434"/>
  <c r="AY476"/>
  <c r="AY320"/>
  <c r="AY337"/>
  <c r="AY396"/>
  <c r="AY267"/>
  <c r="AY153"/>
  <c r="AY21"/>
  <c r="AY81"/>
  <c r="AY496"/>
  <c r="AY543"/>
  <c r="AY520"/>
  <c r="AY572"/>
  <c r="AY503"/>
  <c r="AY406"/>
  <c r="AY449"/>
  <c r="AY483"/>
  <c r="AY309"/>
  <c r="AY370"/>
  <c r="AY258"/>
  <c r="AY121"/>
  <c r="AY181"/>
  <c r="AY72"/>
  <c r="BB6"/>
  <c r="AY368"/>
  <c r="AY384"/>
  <c r="AY238"/>
  <c r="AY255"/>
  <c r="AY141"/>
  <c r="AY198"/>
  <c r="AY69"/>
  <c r="AY540"/>
  <c r="AY436"/>
  <c r="AY379"/>
  <c r="AY43"/>
  <c r="AY489"/>
  <c r="AY252"/>
  <c r="AY123"/>
  <c r="AY139"/>
  <c r="AY67"/>
  <c r="AY167"/>
  <c r="AY94"/>
  <c r="AY509"/>
  <c r="AY579"/>
  <c r="AY453"/>
  <c r="AY313"/>
  <c r="AY266"/>
  <c r="AY189"/>
  <c r="AY519"/>
  <c r="AY510"/>
  <c r="BM6"/>
  <c r="AY446"/>
  <c r="AY332"/>
  <c r="AY210"/>
  <c r="AY177"/>
  <c r="AY104"/>
  <c r="AY381"/>
  <c r="AY231"/>
  <c r="AY118"/>
  <c r="AY201"/>
  <c r="AY45"/>
  <c r="AY541"/>
  <c r="AY433"/>
  <c r="AY358"/>
  <c r="AY180"/>
  <c r="AY470"/>
  <c r="AY225"/>
  <c r="AY276"/>
  <c r="AY115"/>
  <c r="AY87"/>
  <c r="AY83"/>
  <c r="AY23"/>
  <c r="AY155"/>
  <c r="AY59"/>
  <c r="AY131"/>
  <c r="AY58"/>
  <c r="AY268"/>
  <c r="AY371"/>
  <c r="AY318"/>
  <c r="AY428"/>
  <c r="AY106"/>
  <c r="AY245"/>
  <c r="AY395"/>
  <c r="AY342"/>
  <c r="AY452"/>
  <c r="AY513"/>
  <c r="AY569"/>
  <c r="AY553"/>
  <c r="AY77"/>
  <c r="AY60"/>
  <c r="AY206"/>
  <c r="AY170"/>
  <c r="AY149"/>
  <c r="AY299"/>
  <c r="AY263"/>
  <c r="AY246"/>
  <c r="AY392"/>
  <c r="AY357"/>
  <c r="BJ6"/>
  <c r="AY41"/>
  <c r="AY197"/>
  <c r="AY114"/>
  <c r="AY274"/>
  <c r="AY377"/>
  <c r="AY317"/>
  <c r="AY491"/>
  <c r="AY457"/>
  <c r="AY414"/>
  <c r="AY581"/>
  <c r="AY561"/>
  <c r="AY546"/>
  <c r="AY16"/>
  <c r="AY514"/>
  <c r="AY96"/>
  <c r="AY37"/>
  <c r="AY169"/>
  <c r="AY282"/>
  <c r="AY223"/>
  <c r="AY345"/>
  <c r="AY328"/>
  <c r="AY484"/>
  <c r="AY442"/>
  <c r="AY423"/>
  <c r="AY499"/>
  <c r="AY502"/>
  <c r="BR6"/>
  <c r="BA6"/>
  <c r="AY78"/>
  <c r="AY187"/>
  <c r="AY127"/>
  <c r="AY103"/>
  <c r="AY50"/>
  <c r="AY160"/>
  <c r="AY289"/>
  <c r="AY183"/>
  <c r="AY261"/>
  <c r="AY284"/>
  <c r="AY209"/>
  <c r="AY319"/>
  <c r="AY455"/>
  <c r="AY497"/>
  <c r="AY116"/>
  <c r="AY212"/>
  <c r="AY343"/>
  <c r="AY478"/>
  <c r="AY417"/>
  <c r="AY573"/>
  <c r="AY539"/>
  <c r="AY100"/>
  <c r="AY84"/>
  <c r="AY20"/>
  <c r="AY193"/>
  <c r="AY173"/>
  <c r="AY134"/>
  <c r="AY286"/>
  <c r="AC6"/>
  <c r="E6" s="1"/>
  <c r="J10" i="79"/>
  <c r="J5" s="1"/>
  <c r="J24" s="1"/>
  <c r="C49"/>
  <c r="D37" i="11"/>
  <c r="D3" i="21"/>
  <c r="BT6" i="3"/>
  <c r="AY566"/>
  <c r="AY521"/>
  <c r="AY400"/>
  <c r="AY443"/>
  <c r="AY477"/>
  <c r="AY307"/>
  <c r="AY351"/>
  <c r="AY386"/>
  <c r="AY240"/>
  <c r="AY257"/>
  <c r="AY293"/>
  <c r="AY143"/>
  <c r="AY164"/>
  <c r="AY200"/>
  <c r="AY54"/>
  <c r="AY71"/>
  <c r="AY107"/>
  <c r="AY568"/>
  <c r="AY547"/>
  <c r="AY500"/>
  <c r="AY408"/>
  <c r="AY451"/>
  <c r="AY485"/>
  <c r="AY315"/>
  <c r="AY359"/>
  <c r="AY394"/>
  <c r="AY248"/>
  <c r="AY296"/>
  <c r="AY140"/>
  <c r="AY586"/>
  <c r="AY511"/>
  <c r="BD6"/>
  <c r="AY429"/>
  <c r="AY448"/>
  <c r="AY490"/>
  <c r="AY338"/>
  <c r="AY354"/>
  <c r="AY391"/>
  <c r="AY224"/>
  <c r="AY241"/>
  <c r="AY277"/>
  <c r="AY128"/>
  <c r="AY148"/>
  <c r="AY184"/>
  <c r="AY38"/>
  <c r="AY55"/>
  <c r="AY91"/>
  <c r="BL6"/>
  <c r="AY560"/>
  <c r="AY558"/>
  <c r="AY437"/>
  <c r="AY456"/>
  <c r="AY469"/>
  <c r="AY346"/>
  <c r="AY362"/>
  <c r="AY378"/>
  <c r="AY232"/>
  <c r="AY265"/>
  <c r="AY151"/>
  <c r="AY203"/>
  <c r="AY30"/>
  <c r="AY47"/>
  <c r="AY110"/>
  <c r="AY563"/>
  <c r="AY548"/>
  <c r="AY530"/>
  <c r="AY537"/>
  <c r="AY575"/>
  <c r="AY564"/>
  <c r="AY17"/>
  <c r="AY399"/>
  <c r="AY431"/>
  <c r="AY418"/>
  <c r="AY450"/>
  <c r="AY461"/>
  <c r="AY492"/>
  <c r="AY304"/>
  <c r="AY336"/>
  <c r="AY321"/>
  <c r="AY352"/>
  <c r="AY385"/>
  <c r="AY218"/>
  <c r="AY235"/>
  <c r="AY298"/>
  <c r="AY122"/>
  <c r="AY142"/>
  <c r="AY205"/>
  <c r="AY32"/>
  <c r="AY49"/>
  <c r="AY112"/>
  <c r="AY577"/>
  <c r="AY556"/>
  <c r="AY508"/>
  <c r="AY559"/>
  <c r="AY518"/>
  <c r="AY527"/>
  <c r="BN6"/>
  <c r="AY516"/>
  <c r="AY525"/>
  <c r="AY403"/>
  <c r="AY435"/>
  <c r="AY422"/>
  <c r="AY454"/>
  <c r="AY464"/>
  <c r="AY467"/>
  <c r="AY308"/>
  <c r="AY340"/>
  <c r="AY325"/>
  <c r="AY356"/>
  <c r="AY393"/>
  <c r="AY226"/>
  <c r="AY243"/>
  <c r="AY279"/>
  <c r="AY130"/>
  <c r="AY150"/>
  <c r="AY186"/>
  <c r="AY40"/>
  <c r="AY57"/>
  <c r="AY93"/>
  <c r="BI6"/>
  <c r="BS6"/>
  <c r="AY365"/>
  <c r="AY389"/>
  <c r="AY211"/>
  <c r="AY222"/>
  <c r="AY254"/>
  <c r="AY239"/>
  <c r="AY271"/>
  <c r="AY302"/>
  <c r="AY117"/>
  <c r="AY126"/>
  <c r="AY157"/>
  <c r="AY146"/>
  <c r="AY178"/>
  <c r="AY182"/>
  <c r="AY25"/>
  <c r="AY36"/>
  <c r="AY68"/>
  <c r="AY53"/>
  <c r="AY85"/>
  <c r="AY89"/>
  <c r="AY555"/>
  <c r="BO6"/>
  <c r="AY574"/>
  <c r="AY562"/>
  <c r="AY535"/>
  <c r="AY404"/>
  <c r="AY447"/>
  <c r="AY481"/>
  <c r="AY311"/>
  <c r="AY355"/>
  <c r="AY390"/>
  <c r="AY244"/>
  <c r="AY269"/>
  <c r="AY199"/>
  <c r="AY526"/>
  <c r="AY425"/>
  <c r="AY444"/>
  <c r="AY486"/>
  <c r="AY334"/>
  <c r="AY350"/>
  <c r="AY387"/>
  <c r="AY220"/>
  <c r="AY237"/>
  <c r="AY147"/>
  <c r="AY75"/>
  <c r="AY292"/>
  <c r="AY163"/>
  <c r="AY31"/>
  <c r="AY90"/>
  <c r="AY132"/>
  <c r="AY171"/>
  <c r="AY191"/>
  <c r="AY18"/>
  <c r="AY82"/>
  <c r="AY98"/>
  <c r="AY249"/>
  <c r="AY285"/>
  <c r="AY135"/>
  <c r="AY156"/>
  <c r="AY192"/>
  <c r="AY46"/>
  <c r="AY63"/>
  <c r="AY99"/>
  <c r="AY578"/>
  <c r="AY570"/>
  <c r="AY542"/>
  <c r="AY565"/>
  <c r="AY524"/>
  <c r="AY14"/>
  <c r="AY506"/>
  <c r="AY407"/>
  <c r="AY439"/>
  <c r="AY426"/>
  <c r="AY458"/>
  <c r="AY468"/>
  <c r="AY471"/>
  <c r="AY312"/>
  <c r="AY344"/>
  <c r="AY329"/>
  <c r="AY364"/>
  <c r="AY380"/>
  <c r="AY234"/>
  <c r="AY251"/>
  <c r="AY287"/>
  <c r="AY137"/>
  <c r="AY158"/>
  <c r="AY194"/>
  <c r="AY48"/>
  <c r="AY65"/>
  <c r="AY101"/>
  <c r="AY582"/>
  <c r="AY494"/>
  <c r="AY501"/>
  <c r="BG6"/>
  <c r="AY495"/>
  <c r="AY571"/>
  <c r="AY534"/>
  <c r="AY585"/>
  <c r="BQ6"/>
  <c r="AY411"/>
  <c r="AY398"/>
  <c r="AY430"/>
  <c r="AY462"/>
  <c r="AY472"/>
  <c r="AY475"/>
  <c r="AY316"/>
  <c r="AY348"/>
  <c r="AY333"/>
  <c r="AY353"/>
  <c r="AY388"/>
  <c r="AY242"/>
  <c r="AY259"/>
  <c r="AY295"/>
  <c r="AY145"/>
  <c r="AY166"/>
  <c r="AY202"/>
  <c r="AY56"/>
  <c r="AY73"/>
  <c r="AY109"/>
  <c r="BH6"/>
  <c r="AY360"/>
  <c r="AY374"/>
  <c r="AY397"/>
  <c r="AY219"/>
  <c r="AY230"/>
  <c r="AY262"/>
  <c r="AY247"/>
  <c r="AY278"/>
  <c r="AY283"/>
  <c r="AY125"/>
  <c r="AY133"/>
  <c r="AY165"/>
  <c r="AY154"/>
  <c r="AY185"/>
  <c r="AY190"/>
  <c r="AY33"/>
  <c r="AY44"/>
  <c r="AY76"/>
  <c r="AY61"/>
  <c r="AY92"/>
  <c r="AY97"/>
  <c r="BE6"/>
  <c r="AY533"/>
  <c r="AY544"/>
  <c r="AY549"/>
  <c r="AY401"/>
  <c r="AY420"/>
  <c r="AY463"/>
  <c r="AY310"/>
  <c r="AY327"/>
  <c r="AY372"/>
  <c r="AY217"/>
  <c r="AY260"/>
  <c r="AY300"/>
  <c r="AY26"/>
  <c r="AY529"/>
  <c r="AY441"/>
  <c r="AY460"/>
  <c r="AY473"/>
  <c r="AY303"/>
  <c r="AY366"/>
  <c r="AY382"/>
  <c r="AY236"/>
  <c r="AY253"/>
  <c r="AY168"/>
  <c r="AY111"/>
  <c r="AY281"/>
  <c r="AY152"/>
  <c r="AY42"/>
  <c r="AY95"/>
  <c r="AY124"/>
  <c r="AY144"/>
  <c r="AY207"/>
  <c r="AY34"/>
  <c r="AY51"/>
  <c r="G63" i="40"/>
  <c r="F65"/>
  <c r="T45" i="71"/>
  <c r="D45"/>
  <c r="C11"/>
  <c r="D11" s="1"/>
  <c r="D12"/>
  <c r="C7"/>
  <c r="D8"/>
  <c r="F68" i="39"/>
  <c r="E70"/>
  <c r="N50" i="71"/>
  <c r="N51"/>
  <c r="C29" i="69"/>
  <c r="D27" s="1"/>
  <c r="L16" i="1"/>
  <c r="F34" i="11"/>
  <c r="C37" s="1"/>
  <c r="Q74" i="15"/>
  <c r="C24" i="79"/>
  <c r="C53"/>
  <c r="C10"/>
  <c r="C5" s="1"/>
  <c r="E66" i="39"/>
  <c r="F31" i="6"/>
  <c r="E27"/>
  <c r="U10" i="39"/>
  <c r="U10" i="40"/>
  <c r="F50" i="11"/>
  <c r="F50" i="69"/>
  <c r="F50" i="68"/>
  <c r="S10" i="39"/>
  <c r="W10" i="40"/>
  <c r="C20" i="11"/>
  <c r="C28" s="1"/>
  <c r="C27" s="1"/>
  <c r="C7" i="74"/>
  <c r="D10" i="69"/>
  <c r="D25" i="6"/>
  <c r="D15"/>
  <c r="D22"/>
  <c r="D21"/>
  <c r="D24"/>
  <c r="D20"/>
  <c r="D5"/>
  <c r="D12"/>
  <c r="D11"/>
  <c r="D13"/>
  <c r="D28"/>
  <c r="E61" i="40"/>
  <c r="D19" i="6"/>
  <c r="M19" i="9" s="1"/>
  <c r="C118" s="1"/>
  <c r="C14" i="74" s="1"/>
  <c r="B2" s="1"/>
  <c r="D26" i="6"/>
  <c r="C18" i="4"/>
  <c r="D8" i="6"/>
  <c r="D23"/>
  <c r="D14"/>
  <c r="D9"/>
  <c r="D10"/>
  <c r="D29"/>
  <c r="C115" i="43"/>
  <c r="D113" s="1"/>
  <c r="J22" s="1"/>
  <c r="S2"/>
  <c r="C23"/>
  <c r="C21" s="1"/>
  <c r="S7"/>
  <c r="S3"/>
  <c r="S5"/>
  <c r="S4"/>
  <c r="S6"/>
  <c r="W7" i="35"/>
  <c r="AC7"/>
  <c r="V38" s="1"/>
  <c r="I38" s="1"/>
  <c r="AB7" i="33"/>
  <c r="T48" s="1"/>
  <c r="G48" s="1"/>
  <c r="U7"/>
  <c r="AA7" i="37"/>
  <c r="R42" s="1"/>
  <c r="S7"/>
  <c r="AC7" i="36"/>
  <c r="V36" s="1"/>
  <c r="I36" s="1"/>
  <c r="W7"/>
  <c r="E49" i="34"/>
  <c r="R50"/>
  <c r="AB7" i="37"/>
  <c r="T42" s="1"/>
  <c r="G42" s="1"/>
  <c r="U7"/>
  <c r="E48" i="33"/>
  <c r="G53" i="34"/>
  <c r="H53" s="1"/>
  <c r="R49" i="21"/>
  <c r="E48"/>
  <c r="U7" i="35"/>
  <c r="AB7"/>
  <c r="T38" s="1"/>
  <c r="G38" s="1"/>
  <c r="W7" i="33"/>
  <c r="AC7"/>
  <c r="V48" s="1"/>
  <c r="I48" s="1"/>
  <c r="W7" i="34"/>
  <c r="AC7"/>
  <c r="V49" s="1"/>
  <c r="I49" s="1"/>
  <c r="W7" i="37"/>
  <c r="AC7"/>
  <c r="V42" s="1"/>
  <c r="I42" s="1"/>
  <c r="U7" i="36"/>
  <c r="AB7"/>
  <c r="T36" s="1"/>
  <c r="G36" s="1"/>
  <c r="G52" i="21"/>
  <c r="H52" s="1"/>
  <c r="G53"/>
  <c r="H53" s="1"/>
  <c r="S7" i="36"/>
  <c r="AA7"/>
  <c r="R36" s="1"/>
  <c r="R39" i="35"/>
  <c r="E38"/>
  <c r="I52" i="21"/>
  <c r="J52" s="1"/>
  <c r="I53"/>
  <c r="J53" s="1"/>
  <c r="J24" i="67"/>
  <c r="J26"/>
  <c r="J29" s="1"/>
  <c r="J18"/>
  <c r="C53"/>
  <c r="C48" s="1"/>
  <c r="C10"/>
  <c r="C5" s="1"/>
  <c r="J24" i="15"/>
  <c r="J18"/>
  <c r="J26"/>
  <c r="J29" s="1"/>
  <c r="C53"/>
  <c r="C48" s="1"/>
  <c r="C10"/>
  <c r="C5" s="1"/>
  <c r="F24" i="67"/>
  <c r="C24" s="1"/>
  <c r="F22" i="68"/>
  <c r="F22" i="11"/>
  <c r="F22" i="69"/>
  <c r="F25" i="12"/>
  <c r="F24" i="15"/>
  <c r="C24" s="1"/>
  <c r="M27" i="79"/>
  <c r="AE7" i="1"/>
  <c r="D6" i="6" l="1"/>
  <c r="R49" i="33"/>
  <c r="C49" s="1"/>
  <c r="J26" i="79"/>
  <c r="J18"/>
  <c r="C48"/>
  <c r="C66" s="1"/>
  <c r="G68" i="39"/>
  <c r="F70"/>
  <c r="D7" i="71"/>
  <c r="C6"/>
  <c r="H63" i="40"/>
  <c r="G65"/>
  <c r="C36" i="11"/>
  <c r="C34"/>
  <c r="C38" i="79"/>
  <c r="C32"/>
  <c r="D16" i="6"/>
  <c r="D30"/>
  <c r="K21"/>
  <c r="M21" s="1"/>
  <c r="I21" s="1"/>
  <c r="K22"/>
  <c r="M22" s="1"/>
  <c r="I22" s="1"/>
  <c r="K25"/>
  <c r="M25" s="1"/>
  <c r="I25" s="1"/>
  <c r="E31"/>
  <c r="K23"/>
  <c r="M23" s="1"/>
  <c r="I23" s="1"/>
  <c r="K20"/>
  <c r="K26"/>
  <c r="M26" s="1"/>
  <c r="I26" s="1"/>
  <c r="K24"/>
  <c r="M24" s="1"/>
  <c r="I24" s="1"/>
  <c r="K19"/>
  <c r="S8" i="1" s="1"/>
  <c r="D7" i="74"/>
  <c r="D8"/>
  <c r="A7" i="51"/>
  <c r="B7" i="72" s="1"/>
  <c r="C4" i="52"/>
  <c r="B45" i="72" s="1"/>
  <c r="A10" i="51"/>
  <c r="B9" i="72" s="1"/>
  <c r="D27" i="6"/>
  <c r="C10" i="69"/>
  <c r="C8" s="1"/>
  <c r="C5" s="1"/>
  <c r="C23" s="1"/>
  <c r="D19"/>
  <c r="E43" i="35"/>
  <c r="F43" s="1"/>
  <c r="E42"/>
  <c r="F42" s="1"/>
  <c r="C48" i="21"/>
  <c r="C49"/>
  <c r="B2" s="1"/>
  <c r="B3" s="1"/>
  <c r="E52" i="33"/>
  <c r="F52" s="1"/>
  <c r="E53"/>
  <c r="F53" s="1"/>
  <c r="G47" i="37"/>
  <c r="H47" s="1"/>
  <c r="G46"/>
  <c r="H46" s="1"/>
  <c r="E54" i="34"/>
  <c r="F54" s="1"/>
  <c r="E53"/>
  <c r="F53" s="1"/>
  <c r="I40" i="36"/>
  <c r="J40" s="1"/>
  <c r="R43" i="37"/>
  <c r="E42"/>
  <c r="I47" s="1"/>
  <c r="J47" s="1"/>
  <c r="G52" i="33"/>
  <c r="H52" s="1"/>
  <c r="G53"/>
  <c r="H53" s="1"/>
  <c r="C39" i="35"/>
  <c r="B2" s="1"/>
  <c r="B3" s="1"/>
  <c r="C38"/>
  <c r="R37" i="36"/>
  <c r="E36"/>
  <c r="G40"/>
  <c r="H40" s="1"/>
  <c r="G41"/>
  <c r="H41" s="1"/>
  <c r="I46" i="37"/>
  <c r="J46" s="1"/>
  <c r="I53" i="34"/>
  <c r="J53" s="1"/>
  <c r="I54"/>
  <c r="J54" s="1"/>
  <c r="I52" i="33"/>
  <c r="J52" s="1"/>
  <c r="I53"/>
  <c r="J53" s="1"/>
  <c r="G42" i="35"/>
  <c r="H42" s="1"/>
  <c r="G43"/>
  <c r="H43" s="1"/>
  <c r="E52" i="21"/>
  <c r="F52" s="1"/>
  <c r="E53"/>
  <c r="F53" s="1"/>
  <c r="C49" i="34"/>
  <c r="C50"/>
  <c r="B2" s="1"/>
  <c r="B3" s="1"/>
  <c r="I42" i="35"/>
  <c r="J42" s="1"/>
  <c r="I43"/>
  <c r="J43" s="1"/>
  <c r="G54" i="34"/>
  <c r="H54" s="1"/>
  <c r="C26" i="68"/>
  <c r="D22" s="1"/>
  <c r="C44"/>
  <c r="D41" s="1"/>
  <c r="C38" i="15"/>
  <c r="C32"/>
  <c r="C26" i="12"/>
  <c r="D25" s="1"/>
  <c r="C44" i="11"/>
  <c r="D41" s="1"/>
  <c r="C23"/>
  <c r="C26"/>
  <c r="D22" s="1"/>
  <c r="C24"/>
  <c r="C25"/>
  <c r="C66" i="15"/>
  <c r="C60"/>
  <c r="C60" i="67"/>
  <c r="C66"/>
  <c r="C44" i="69"/>
  <c r="D41" s="1"/>
  <c r="C26"/>
  <c r="D22" s="1"/>
  <c r="C38" i="67"/>
  <c r="C32"/>
  <c r="C14"/>
  <c r="C17"/>
  <c r="F41" i="79"/>
  <c r="C18" i="67" l="1"/>
  <c r="C15"/>
  <c r="C48" i="33"/>
  <c r="AQ8" i="1"/>
  <c r="T8"/>
  <c r="AR8"/>
  <c r="F69" i="79"/>
  <c r="J29"/>
  <c r="B2" i="33"/>
  <c r="B3" s="1"/>
  <c r="C6" i="68"/>
  <c r="C7" s="1"/>
  <c r="C60" i="79"/>
  <c r="C5" i="71"/>
  <c r="D5" s="1"/>
  <c r="M20" i="43" s="1"/>
  <c r="C19" s="1"/>
  <c r="D6" i="71"/>
  <c r="H65" i="40"/>
  <c r="I63"/>
  <c r="H68" i="39"/>
  <c r="G70"/>
  <c r="D31" i="6"/>
  <c r="I6" s="1"/>
  <c r="M20"/>
  <c r="I20" s="1"/>
  <c r="S20" s="1"/>
  <c r="S7" i="1"/>
  <c r="C38" i="11"/>
  <c r="C35"/>
  <c r="S6" i="1"/>
  <c r="M19" i="6"/>
  <c r="K27"/>
  <c r="S26"/>
  <c r="H26"/>
  <c r="R26" s="1"/>
  <c r="S23"/>
  <c r="H23"/>
  <c r="R23" s="1"/>
  <c r="S25"/>
  <c r="H25"/>
  <c r="R25" s="1"/>
  <c r="S21"/>
  <c r="H21"/>
  <c r="R21" s="1"/>
  <c r="S24"/>
  <c r="H24"/>
  <c r="R24" s="1"/>
  <c r="S22"/>
  <c r="H22"/>
  <c r="R22" s="1"/>
  <c r="I5"/>
  <c r="C19" i="69"/>
  <c r="C24" s="1"/>
  <c r="D37"/>
  <c r="C37" s="1"/>
  <c r="C33" s="1"/>
  <c r="C37" i="36"/>
  <c r="B2" s="1"/>
  <c r="B3" s="1"/>
  <c r="C36"/>
  <c r="C43" i="37"/>
  <c r="B2" s="1"/>
  <c r="B3" s="1"/>
  <c r="C42"/>
  <c r="E40" i="36"/>
  <c r="F40" s="1"/>
  <c r="E41"/>
  <c r="F41" s="1"/>
  <c r="E47" i="37"/>
  <c r="F47" s="1"/>
  <c r="E46"/>
  <c r="F46" s="1"/>
  <c r="I41" i="36"/>
  <c r="J41" s="1"/>
  <c r="J59" i="15"/>
  <c r="J60" s="1"/>
  <c r="C22" i="11"/>
  <c r="C31" s="1"/>
  <c r="D10" i="68"/>
  <c r="D20" i="12"/>
  <c r="D14"/>
  <c r="C17" i="15"/>
  <c r="C17" i="79"/>
  <c r="C19" i="67" l="1"/>
  <c r="C20" s="1"/>
  <c r="C26" s="1"/>
  <c r="H20" i="6"/>
  <c r="R20" s="1"/>
  <c r="R7" i="1" s="1"/>
  <c r="I65" i="40"/>
  <c r="J63"/>
  <c r="I68" i="39"/>
  <c r="H70"/>
  <c r="T14" i="43"/>
  <c r="V14" s="1"/>
  <c r="C34"/>
  <c r="T10"/>
  <c r="V10" s="1"/>
  <c r="T7"/>
  <c r="V7" s="1"/>
  <c r="T15"/>
  <c r="V15" s="1"/>
  <c r="C37"/>
  <c r="T13"/>
  <c r="V13" s="1"/>
  <c r="C35"/>
  <c r="T8"/>
  <c r="V8" s="1"/>
  <c r="C36"/>
  <c r="T2"/>
  <c r="V2" s="1"/>
  <c r="C29"/>
  <c r="T5"/>
  <c r="V5" s="1"/>
  <c r="C38"/>
  <c r="T6"/>
  <c r="V6" s="1"/>
  <c r="T3"/>
  <c r="V3" s="1"/>
  <c r="C39"/>
  <c r="T4"/>
  <c r="V4" s="1"/>
  <c r="T11"/>
  <c r="V11" s="1"/>
  <c r="T12"/>
  <c r="V12" s="1"/>
  <c r="T9"/>
  <c r="V9" s="1"/>
  <c r="C33"/>
  <c r="T16"/>
  <c r="V16" s="1"/>
  <c r="C33" i="11"/>
  <c r="C39" s="1"/>
  <c r="AQ7" i="1"/>
  <c r="E7" i="70"/>
  <c r="AR7" i="1"/>
  <c r="T7"/>
  <c r="D17" i="12"/>
  <c r="C17" s="1"/>
  <c r="C14"/>
  <c r="C20"/>
  <c r="D19" i="68"/>
  <c r="C10"/>
  <c r="B29" i="1" s="1"/>
  <c r="H18" i="12" s="1"/>
  <c r="E6" i="70"/>
  <c r="AQ6" i="1"/>
  <c r="AR6"/>
  <c r="T6"/>
  <c r="S16"/>
  <c r="M27" i="6"/>
  <c r="I19"/>
  <c r="L18" i="9" s="1"/>
  <c r="C20" i="69"/>
  <c r="C25" s="1"/>
  <c r="C22" s="1"/>
  <c r="C39"/>
  <c r="C42"/>
  <c r="Q48" i="15"/>
  <c r="C34" i="68"/>
  <c r="C11" i="12"/>
  <c r="C14" i="79"/>
  <c r="C14" i="15"/>
  <c r="C23" i="67" l="1"/>
  <c r="C29" s="1"/>
  <c r="C33" s="1"/>
  <c r="C42" i="11"/>
  <c r="E33" i="43"/>
  <c r="G33"/>
  <c r="I33" s="1"/>
  <c r="G38"/>
  <c r="I38" s="1"/>
  <c r="E38"/>
  <c r="C30"/>
  <c r="E30" s="1"/>
  <c r="E29"/>
  <c r="E36"/>
  <c r="G36"/>
  <c r="I36" s="1"/>
  <c r="E35"/>
  <c r="G35"/>
  <c r="I35" s="1"/>
  <c r="E37"/>
  <c r="G37"/>
  <c r="I37" s="1"/>
  <c r="E34"/>
  <c r="G34"/>
  <c r="I34" s="1"/>
  <c r="K63" i="40"/>
  <c r="J65"/>
  <c r="E39" i="43"/>
  <c r="G39"/>
  <c r="I39" s="1"/>
  <c r="J68" i="39"/>
  <c r="I70"/>
  <c r="C8" i="68"/>
  <c r="C5" s="1"/>
  <c r="C23" s="1"/>
  <c r="C18" i="12"/>
  <c r="E2" i="70"/>
  <c r="C15" i="79"/>
  <c r="C18"/>
  <c r="C46" i="11"/>
  <c r="C45" s="1"/>
  <c r="C43"/>
  <c r="C38" i="68"/>
  <c r="C35"/>
  <c r="C18" i="15"/>
  <c r="C15"/>
  <c r="C15" i="12"/>
  <c r="C12"/>
  <c r="C19" i="68"/>
  <c r="D37"/>
  <c r="C37" s="1"/>
  <c r="T16" i="1"/>
  <c r="H19" i="6"/>
  <c r="L19" i="9" s="1"/>
  <c r="I27" i="6"/>
  <c r="S19"/>
  <c r="S27" s="1"/>
  <c r="C28" i="69"/>
  <c r="C27" s="1"/>
  <c r="C31" s="1"/>
  <c r="C46"/>
  <c r="C45" s="1"/>
  <c r="C43"/>
  <c r="C41" s="1"/>
  <c r="J59" i="67" l="1"/>
  <c r="J60" s="1"/>
  <c r="Q48" s="1"/>
  <c r="C36"/>
  <c r="C13"/>
  <c r="Q70" s="1"/>
  <c r="C57"/>
  <c r="C64" s="1"/>
  <c r="Q49"/>
  <c r="J14"/>
  <c r="J22" s="1"/>
  <c r="J19"/>
  <c r="J13"/>
  <c r="J23" s="1"/>
  <c r="L46"/>
  <c r="C27" i="43"/>
  <c r="C41" i="11"/>
  <c r="C49" s="1"/>
  <c r="C51" s="1"/>
  <c r="C52" s="1"/>
  <c r="B2" s="1"/>
  <c r="B3" s="1"/>
  <c r="C26" i="43"/>
  <c r="K68" i="39"/>
  <c r="J70"/>
  <c r="L63" i="40"/>
  <c r="K65"/>
  <c r="C19" i="79"/>
  <c r="C20" s="1"/>
  <c r="C16" i="12"/>
  <c r="C21" s="1"/>
  <c r="C22" s="1"/>
  <c r="C19" i="15"/>
  <c r="C20" s="1"/>
  <c r="C26" s="1"/>
  <c r="C33" i="68"/>
  <c r="C39" s="1"/>
  <c r="C24"/>
  <c r="C20"/>
  <c r="C49" i="69"/>
  <c r="C51" s="1"/>
  <c r="C52" s="1"/>
  <c r="H27" i="6"/>
  <c r="R19"/>
  <c r="R8" i="1" s="1"/>
  <c r="M21" i="67"/>
  <c r="F35"/>
  <c r="E6" i="76"/>
  <c r="C75" i="67" l="1"/>
  <c r="C56"/>
  <c r="C65" s="1"/>
  <c r="C37"/>
  <c r="C61"/>
  <c r="J20"/>
  <c r="J17" s="1"/>
  <c r="J16" s="1"/>
  <c r="J25" s="1"/>
  <c r="C34"/>
  <c r="C31" s="1"/>
  <c r="F63"/>
  <c r="C62" s="1"/>
  <c r="C56" i="11"/>
  <c r="C57" s="1"/>
  <c r="E2" i="76"/>
  <c r="M63" i="40"/>
  <c r="L65"/>
  <c r="L68" i="39"/>
  <c r="K70"/>
  <c r="B2" i="43"/>
  <c r="C26" i="79"/>
  <c r="C23"/>
  <c r="C42" i="68"/>
  <c r="C23" i="15"/>
  <c r="C29" s="1"/>
  <c r="J19" s="1"/>
  <c r="C28" i="68"/>
  <c r="C27" s="1"/>
  <c r="C25"/>
  <c r="C22" s="1"/>
  <c r="C43"/>
  <c r="C46"/>
  <c r="C45" s="1"/>
  <c r="R27" i="6"/>
  <c r="R6" i="1"/>
  <c r="B2" i="69"/>
  <c r="B3" s="1"/>
  <c r="C57"/>
  <c r="C56" s="1"/>
  <c r="F35" i="79"/>
  <c r="M21"/>
  <c r="M21" i="15"/>
  <c r="B6" i="76"/>
  <c r="F35" i="15"/>
  <c r="C30" i="67" l="1"/>
  <c r="C39" s="1"/>
  <c r="C59"/>
  <c r="C58" s="1"/>
  <c r="C67" s="1"/>
  <c r="C68" s="1"/>
  <c r="C40"/>
  <c r="Q69"/>
  <c r="Q68" s="1"/>
  <c r="C80"/>
  <c r="C79" s="1"/>
  <c r="C71"/>
  <c r="C41" i="68"/>
  <c r="C49" s="1"/>
  <c r="C51" s="1"/>
  <c r="C29" i="79"/>
  <c r="B2" i="76"/>
  <c r="B3" s="1"/>
  <c r="L70" i="39"/>
  <c r="M68"/>
  <c r="M65" i="40"/>
  <c r="N63"/>
  <c r="B3" i="43"/>
  <c r="J20" i="79"/>
  <c r="F63"/>
  <c r="C62" s="1"/>
  <c r="C34"/>
  <c r="C13" i="15"/>
  <c r="Q70" s="1"/>
  <c r="C36"/>
  <c r="C33"/>
  <c r="J14"/>
  <c r="J22" s="1"/>
  <c r="Q49"/>
  <c r="C57"/>
  <c r="C64" s="1"/>
  <c r="C31" i="68"/>
  <c r="J20" i="15"/>
  <c r="J17" s="1"/>
  <c r="C34"/>
  <c r="F63"/>
  <c r="C62" s="1"/>
  <c r="R16" i="1"/>
  <c r="L51" i="67"/>
  <c r="L57" l="1"/>
  <c r="L60" s="1"/>
  <c r="Q57" s="1"/>
  <c r="Q67"/>
  <c r="C45"/>
  <c r="C46" s="1"/>
  <c r="Q47"/>
  <c r="Q53" s="1"/>
  <c r="C43"/>
  <c r="C83"/>
  <c r="C82" s="1"/>
  <c r="Q56"/>
  <c r="Q65"/>
  <c r="D2"/>
  <c r="C57" i="79"/>
  <c r="C64" s="1"/>
  <c r="J59"/>
  <c r="J60" s="1"/>
  <c r="J13" i="15"/>
  <c r="J23" s="1"/>
  <c r="C36" i="79"/>
  <c r="C61"/>
  <c r="C59" s="1"/>
  <c r="J14"/>
  <c r="Q49"/>
  <c r="C13"/>
  <c r="C37" s="1"/>
  <c r="C33"/>
  <c r="C31" s="1"/>
  <c r="J19"/>
  <c r="J17" s="1"/>
  <c r="O63" i="40"/>
  <c r="O65" s="1"/>
  <c r="N65"/>
  <c r="N68" i="39"/>
  <c r="M70"/>
  <c r="J7" i="40"/>
  <c r="H7"/>
  <c r="F7"/>
  <c r="Q70" i="79"/>
  <c r="C75" i="15"/>
  <c r="C37"/>
  <c r="C56"/>
  <c r="C65" s="1"/>
  <c r="C61"/>
  <c r="C59" s="1"/>
  <c r="C31"/>
  <c r="C52" i="68"/>
  <c r="B2" s="1"/>
  <c r="B3" s="1"/>
  <c r="J16" i="15"/>
  <c r="J25" s="1"/>
  <c r="L57"/>
  <c r="L60" s="1"/>
  <c r="C20" i="9"/>
  <c r="C19"/>
  <c r="E2" i="68"/>
  <c r="Q66" i="67" l="1"/>
  <c r="Q75"/>
  <c r="Q62"/>
  <c r="B3"/>
  <c r="B2"/>
  <c r="Q48" i="79"/>
  <c r="L46"/>
  <c r="C30"/>
  <c r="C39" s="1"/>
  <c r="J13"/>
  <c r="J23" s="1"/>
  <c r="J22"/>
  <c r="C56"/>
  <c r="C65" s="1"/>
  <c r="C58" s="1"/>
  <c r="C67" s="1"/>
  <c r="C68" s="1"/>
  <c r="C71" s="1"/>
  <c r="C75"/>
  <c r="U7" i="40"/>
  <c r="AB7"/>
  <c r="T42" s="1"/>
  <c r="G42" s="1"/>
  <c r="J7" i="39"/>
  <c r="S7" i="40"/>
  <c r="AA7"/>
  <c r="R42" s="1"/>
  <c r="W7"/>
  <c r="AC7"/>
  <c r="V42" s="1"/>
  <c r="I42" s="1"/>
  <c r="I46" s="1"/>
  <c r="J46" s="1"/>
  <c r="O68" i="39"/>
  <c r="O70" s="1"/>
  <c r="N70"/>
  <c r="C40" i="79"/>
  <c r="C30" i="15"/>
  <c r="C39" s="1"/>
  <c r="C40" s="1"/>
  <c r="C8" i="12" s="1"/>
  <c r="C58" i="15"/>
  <c r="C67" s="1"/>
  <c r="C68" s="1"/>
  <c r="C71" s="1"/>
  <c r="C57" i="68"/>
  <c r="C56" s="1"/>
  <c r="C102" i="9"/>
  <c r="C21"/>
  <c r="C103"/>
  <c r="L46" i="15"/>
  <c r="Q57"/>
  <c r="Q66"/>
  <c r="L51" i="79"/>
  <c r="Q65" l="1"/>
  <c r="Q75" s="1"/>
  <c r="D8" i="12"/>
  <c r="J16" i="79"/>
  <c r="J25" s="1"/>
  <c r="Q67"/>
  <c r="Q69"/>
  <c r="Q68" s="1"/>
  <c r="C80"/>
  <c r="C79" s="1"/>
  <c r="F7" i="39"/>
  <c r="H7"/>
  <c r="R43" i="40"/>
  <c r="E42"/>
  <c r="G47"/>
  <c r="H47" s="1"/>
  <c r="G46"/>
  <c r="H46" s="1"/>
  <c r="AC7" i="39"/>
  <c r="V47" s="1"/>
  <c r="I47" s="1"/>
  <c r="W7"/>
  <c r="C43" i="79"/>
  <c r="D6" i="12" s="1"/>
  <c r="C80" i="15"/>
  <c r="C79" s="1"/>
  <c r="C46" i="79"/>
  <c r="C83"/>
  <c r="C82" s="1"/>
  <c r="Q56"/>
  <c r="Q62" s="1"/>
  <c r="B2"/>
  <c r="B3" s="1"/>
  <c r="Q47"/>
  <c r="Q53" s="1"/>
  <c r="Q69" i="15"/>
  <c r="Q68" s="1"/>
  <c r="C46"/>
  <c r="Q47"/>
  <c r="Q53" s="1"/>
  <c r="Q56"/>
  <c r="Q62" s="1"/>
  <c r="Q65"/>
  <c r="Q75" s="1"/>
  <c r="B2"/>
  <c r="B3" s="1"/>
  <c r="C43"/>
  <c r="C6" i="12" s="1"/>
  <c r="C83" i="15"/>
  <c r="C82" s="1"/>
  <c r="L51"/>
  <c r="AO7" i="1"/>
  <c r="AO6"/>
  <c r="Q67" i="15" l="1"/>
  <c r="C4" i="12"/>
  <c r="C31" s="1"/>
  <c r="I51" i="39"/>
  <c r="J51" s="1"/>
  <c r="C43" i="40"/>
  <c r="C42"/>
  <c r="I47"/>
  <c r="J47" s="1"/>
  <c r="E47"/>
  <c r="F47" s="1"/>
  <c r="E46"/>
  <c r="F46" s="1"/>
  <c r="U7" i="39"/>
  <c r="AB7"/>
  <c r="T47" s="1"/>
  <c r="G47" s="1"/>
  <c r="S7"/>
  <c r="AA7"/>
  <c r="R47" s="1"/>
  <c r="B7" i="70"/>
  <c r="B6"/>
  <c r="C23" i="12" l="1"/>
  <c r="C30" s="1"/>
  <c r="C28" s="1"/>
  <c r="R48" i="39"/>
  <c r="E47"/>
  <c r="G51"/>
  <c r="H51" s="1"/>
  <c r="G52"/>
  <c r="H52" s="1"/>
  <c r="B55" i="40"/>
  <c r="F55" s="1"/>
  <c r="B57"/>
  <c r="F57" s="1"/>
  <c r="B56"/>
  <c r="F56" s="1"/>
  <c r="B53"/>
  <c r="F53" s="1"/>
  <c r="B58"/>
  <c r="F58" s="1"/>
  <c r="B51"/>
  <c r="F51" s="1"/>
  <c r="B60"/>
  <c r="F60" s="1"/>
  <c r="B59"/>
  <c r="F59" s="1"/>
  <c r="B54"/>
  <c r="F54" s="1"/>
  <c r="F61"/>
  <c r="B2" s="1"/>
  <c r="B3" s="1"/>
  <c r="B52"/>
  <c r="F52" s="1"/>
  <c r="B2" i="70"/>
  <c r="B3" s="1"/>
  <c r="C27" i="12" l="1"/>
  <c r="C25" s="1"/>
  <c r="C32" s="1"/>
  <c r="B2" s="1"/>
  <c r="C47" i="39"/>
  <c r="C48"/>
  <c r="E51"/>
  <c r="F51" s="1"/>
  <c r="E52"/>
  <c r="F52" s="1"/>
  <c r="I52"/>
  <c r="J52" s="1"/>
  <c r="D19" i="9"/>
  <c r="D22" l="1"/>
  <c r="D102"/>
  <c r="G19"/>
  <c r="C32" s="1"/>
  <c r="H118" s="1"/>
  <c r="H119" s="1"/>
  <c r="H5" i="52" s="1"/>
  <c r="D21" i="9"/>
  <c r="B61" i="39"/>
  <c r="F61" s="1"/>
  <c r="B59"/>
  <c r="F59" s="1"/>
  <c r="B63"/>
  <c r="F63" s="1"/>
  <c r="B58"/>
  <c r="F58" s="1"/>
  <c r="B57"/>
  <c r="F57" s="1"/>
  <c r="B56"/>
  <c r="F56" s="1"/>
  <c r="F66" s="1"/>
  <c r="B2" s="1"/>
  <c r="B3" s="1"/>
  <c r="B65"/>
  <c r="F65" s="1"/>
  <c r="B60"/>
  <c r="F60" s="1"/>
  <c r="B64"/>
  <c r="F64" s="1"/>
  <c r="B62"/>
  <c r="F62" s="1"/>
  <c r="B3" i="12"/>
  <c r="D20" i="9"/>
  <c r="C35" l="1"/>
  <c r="F118" s="1"/>
  <c r="G118" s="1"/>
  <c r="G4" i="52" s="1"/>
  <c r="B52" i="72" s="1"/>
  <c r="G21" i="9"/>
  <c r="H4" i="52"/>
  <c r="I118" i="9"/>
  <c r="C105" s="1"/>
  <c r="C104"/>
  <c r="D14" i="74"/>
  <c r="B5" s="1"/>
  <c r="D5" s="1"/>
  <c r="H101" i="9"/>
  <c r="D45" s="1"/>
  <c r="D55" s="1"/>
  <c r="M53" s="1"/>
  <c r="D103"/>
  <c r="G20"/>
  <c r="C64" l="1"/>
  <c r="C63" s="1"/>
  <c r="C67" s="1"/>
  <c r="C68" s="1"/>
  <c r="D54" s="1"/>
  <c r="F4" i="52"/>
  <c r="B51" i="72" s="1"/>
  <c r="C78" i="9"/>
  <c r="C73" s="1"/>
  <c r="C93"/>
  <c r="C86" s="1"/>
  <c r="D52"/>
  <c r="D48" s="1"/>
  <c r="M52" s="1"/>
  <c r="F119"/>
  <c r="F5" i="52" s="1"/>
  <c r="B53" i="72" s="1"/>
  <c r="C34" i="9"/>
  <c r="D118" s="1"/>
  <c r="D119" s="1"/>
  <c r="D5" i="52" s="1"/>
  <c r="B49" i="72" s="1"/>
  <c r="H107" i="9"/>
  <c r="H108" s="1"/>
  <c r="D15" i="53" s="1"/>
  <c r="B31" i="72" s="1"/>
  <c r="E118" i="9"/>
  <c r="E4" i="52" s="1"/>
  <c r="B48" i="72" s="1"/>
  <c r="H102" i="9"/>
  <c r="D7" i="53" s="1"/>
  <c r="B21" i="72" s="1"/>
  <c r="I4" i="52"/>
  <c r="D53" i="9"/>
  <c r="C85"/>
  <c r="C72"/>
  <c r="M48"/>
  <c r="D5" i="53"/>
  <c r="C5" i="74"/>
  <c r="F14"/>
  <c r="E14"/>
  <c r="D13" i="53" l="1"/>
  <c r="D14" s="1"/>
  <c r="B32" i="72" s="1"/>
  <c r="C79" i="9"/>
  <c r="C80" s="1"/>
  <c r="E80" s="1"/>
  <c r="E81" s="1"/>
  <c r="D4" i="52"/>
  <c r="B47" i="72" s="1"/>
  <c r="C95" i="9"/>
  <c r="C96" s="1"/>
  <c r="E96" s="1"/>
  <c r="E97" s="1"/>
  <c r="D122"/>
  <c r="D8" i="52" s="1"/>
  <c r="D6" i="53"/>
  <c r="B22" i="72" s="1"/>
  <c r="B20"/>
  <c r="B30" l="1"/>
  <c r="C81" i="9"/>
  <c r="C97"/>
  <c r="D58" s="1"/>
  <c r="D56" s="1"/>
  <c r="M54" s="1"/>
  <c r="N57" s="1"/>
  <c r="N58" s="1"/>
  <c r="G14" i="74"/>
  <c r="B6" s="1"/>
  <c r="D123" i="9"/>
  <c r="D9" i="52" s="1"/>
  <c r="P57" i="9" l="1"/>
  <c r="N59"/>
  <c r="N61" s="1"/>
  <c r="D6" i="74"/>
  <c r="C6"/>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<sst xmlns="http://schemas.openxmlformats.org/spreadsheetml/2006/main" count="7777" uniqueCount="3114">
  <si>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</si>
  <si>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</si>
  <si>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</si>
  <si>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</si>
  <si>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</si>
  <si>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</si>
  <si>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</si>
  <si>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</si>
  <si>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</si>
  <si>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</si>
  <si>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</si>
  <si>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</si>
  <si>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</si>
  <si>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</si>
  <si>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</si>
  <si>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</si>
  <si>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</si>
  <si>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</si>
  <si>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</si>
  <si>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</si>
  <si>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</si>
  <si>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</si>
  <si>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</si>
  <si>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</si>
  <si>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</si>
  <si>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</si>
  <si>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</si>
  <si>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</si>
  <si>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</si>
  <si>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</si>
  <si>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</si>
  <si>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</si>
  <si>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</si>
  <si>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</si>
  <si>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</si>
  <si>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</si>
  <si>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</si>
  <si>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</si>
  <si>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</si>
  <si>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</si>
  <si>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</si>
  <si>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</si>
  <si>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</si>
  <si>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</si>
  <si>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</si>
  <si>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</si>
  <si>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</si>
  <si>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</si>
  <si>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</si>
  <si>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</si>
  <si>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</si>
  <si>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</si>
  <si>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</si>
  <si>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</si>
  <si>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</si>
  <si>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</si>
  <si>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</si>
  <si>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</si>
  <si>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</si>
  <si>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</si>
  <si>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</si>
  <si>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</si>
  <si>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</si>
  <si>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</si>
  <si>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</si>
  <si>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</si>
  <si>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</si>
  <si>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</si>
  <si>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</si>
  <si>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</si>
  <si>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</si>
  <si>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</si>
  <si>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</si>
  <si>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</si>
  <si>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</si>
  <si>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</si>
  <si>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</si>
  <si>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</si>
  <si>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</si>
  <si>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</si>
  <si>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</si>
  <si>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</si>
  <si>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</si>
  <si>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</si>
  <si>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</si>
  <si>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</si>
  <si>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</si>
  <si>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</si>
  <si>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</si>
  <si>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</si>
  <si>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</si>
  <si>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</si>
  <si>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</si>
  <si>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</si>
  <si>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</si>
  <si>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</si>
  <si>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</si>
  <si>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</si>
  <si>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</si>
  <si>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</si>
  <si>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</si>
  <si>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</si>
  <si>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</si>
  <si>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</si>
  <si>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</si>
  <si>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</si>
  <si>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</si>
  <si>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</si>
  <si>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</si>
  <si>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</si>
  <si>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</si>
  <si>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</si>
  <si>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</si>
  <si>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</si>
  <si>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</si>
  <si>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</si>
  <si>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</si>
  <si>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</si>
  <si>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</si>
  <si>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</si>
  <si>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</si>
  <si>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</si>
  <si>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</si>
  <si>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</si>
  <si>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</si>
  <si>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</si>
  <si>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</si>
  <si>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</si>
  <si>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</si>
  <si>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</si>
  <si>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</si>
  <si>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</si>
  <si>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</si>
  <si>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</si>
  <si>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</si>
  <si>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</si>
  <si>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</si>
  <si>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</si>
  <si>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</si>
  <si>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</si>
  <si>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</si>
  <si>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</si>
  <si>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</si>
  <si>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</si>
  <si>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</si>
  <si>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</si>
  <si>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</si>
  <si>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</si>
  <si>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</si>
  <si>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</si>
  <si>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</si>
  <si>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</si>
  <si>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</si>
  <si>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</si>
  <si>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</si>
  <si>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</si>
  <si>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</si>
  <si>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</si>
  <si>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</si>
  <si>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</si>
  <si>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</si>
  <si>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</si>
  <si>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</si>
  <si>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</si>
  <si>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</si>
  <si>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</si>
  <si>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</si>
  <si>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</si>
  <si>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</si>
  <si>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</si>
  <si>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</si>
  <si>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</si>
  <si>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</si>
  <si>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</si>
  <si>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</si>
  <si>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</si>
  <si>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</si>
  <si>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</si>
  <si>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</si>
  <si>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</si>
  <si>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</si>
  <si>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</si>
  <si>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</si>
  <si>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</si>
  <si>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</si>
  <si>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</si>
  <si>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</si>
  <si>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</si>
  <si>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</si>
  <si>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</si>
  <si>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</si>
  <si>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</si>
  <si>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</si>
  <si>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</si>
  <si>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</si>
  <si>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</si>
  <si>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</si>
  <si>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</si>
  <si>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</si>
  <si>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</si>
  <si>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</si>
  <si>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</si>
  <si>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</si>
  <si>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</si>
  <si>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</si>
  <si>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</si>
  <si>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</si>
  <si>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</si>
  <si>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</si>
  <si>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</si>
  <si>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</si>
  <si>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</si>
  <si>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</si>
  <si>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</si>
  <si>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</si>
  <si>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</si>
  <si>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</si>
  <si>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</si>
  <si>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</si>
  <si>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</si>
  <si>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</si>
  <si>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</si>
  <si>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</si>
  <si>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</si>
  <si>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</si>
  <si>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</si>
  <si>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</si>
  <si>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</si>
  <si>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</si>
  <si>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</si>
  <si>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</si>
  <si>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</si>
  <si>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</si>
  <si>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</si>
  <si>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</si>
  <si>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</si>
  <si>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</si>
  <si>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</si>
  <si>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</si>
  <si>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</si>
  <si>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</si>
  <si>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</si>
  <si>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</si>
  <si>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</si>
  <si>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</si>
  <si>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</si>
  <si>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</si>
  <si>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</si>
  <si>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</si>
  <si>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</si>
  <si>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</si>
  <si>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</si>
  <si>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</si>
  <si>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</si>
  <si>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</si>
  <si>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</si>
  <si>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</si>
  <si>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</si>
  <si>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</si>
  <si>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</si>
  <si>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</si>
  <si>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</si>
  <si>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</si>
  <si>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</si>
  <si>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</si>
  <si>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</si>
  <si>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</si>
  <si>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</si>
  <si>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</si>
  <si>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</si>
  <si>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</si>
  <si>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</si>
  <si>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</si>
  <si>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</si>
  <si>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</si>
  <si>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</si>
  <si>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</si>
  <si>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</si>
  <si>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</si>
  <si>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</si>
  <si>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</si>
  <si>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</si>
  <si>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</si>
  <si>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</si>
  <si>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</si>
  <si>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</si>
  <si>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</si>
  <si>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</si>
  <si>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</si>
  <si>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</si>
  <si>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</si>
  <si>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</si>
  <si>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</si>
  <si>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</si>
  <si>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</si>
  <si>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</si>
  <si>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</si>
  <si>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</si>
  <si>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</si>
  <si>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</si>
  <si>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</si>
  <si>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</si>
  <si>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</si>
  <si>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</si>
  <si>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</si>
  <si>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</si>
  <si>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</si>
  <si>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</si>
  <si>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</si>
  <si>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</si>
  <si>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</si>
  <si>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</si>
  <si>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</si>
  <si>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</si>
  <si>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</si>
  <si>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</si>
  <si>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</si>
  <si>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</si>
  <si>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</si>
  <si>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</si>
  <si>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</si>
  <si>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</si>
  <si>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</si>
  <si>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</si>
  <si>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</si>
  <si>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</si>
  <si>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</si>
  <si>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</si>
  <si>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</si>
  <si>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</si>
  <si>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</si>
  <si>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</si>
  <si>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</si>
  <si>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</si>
  <si>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</si>
  <si>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</si>
  <si>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</si>
  <si>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</si>
  <si>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</si>
  <si>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</si>
  <si>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</si>
  <si>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</si>
  <si>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</si>
  <si>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</si>
  <si>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</si>
  <si>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</si>
  <si>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</si>
  <si>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</si>
  <si>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</si>
  <si>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</si>
  <si>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</si>
  <si>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</si>
  <si>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</si>
  <si>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</si>
  <si>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</si>
  <si>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</si>
  <si>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</si>
  <si>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</si>
  <si>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</si>
  <si>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</si>
  <si>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</si>
  <si>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</si>
  <si>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</si>
  <si>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</si>
  <si>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</si>
  <si>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</si>
  <si>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</si>
  <si>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</si>
  <si>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</si>
  <si>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</si>
  <si>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</si>
  <si>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</si>
  <si>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</si>
  <si>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</si>
  <si>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</si>
  <si>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</si>
  <si>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</si>
  <si>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</si>
  <si>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</si>
  <si>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</si>
  <si>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</si>
  <si>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</si>
  <si>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</si>
  <si>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</si>
  <si>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</si>
  <si>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</si>
  <si>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</si>
  <si>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</si>
  <si>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</si>
  <si>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</si>
  <si>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</si>
  <si>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</si>
  <si>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</si>
  <si>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</si>
  <si>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</si>
  <si>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</si>
  <si>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</si>
  <si>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</si>
  <si>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</si>
  <si>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</si>
  <si>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</si>
  <si>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</si>
  <si>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</si>
  <si>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</si>
  <si>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</si>
  <si>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</si>
  <si>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</si>
  <si>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</si>
  <si>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</si>
  <si>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</si>
  <si>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</si>
  <si>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</si>
  <si>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</si>
  <si>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</si>
  <si>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</si>
  <si>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</si>
  <si>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</si>
  <si>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</si>
  <si>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</si>
  <si>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</si>
  <si>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</si>
  <si>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</si>
  <si>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</si>
  <si>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</si>
  <si>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</si>
  <si>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</si>
  <si>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</si>
  <si>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</si>
  <si>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</si>
  <si>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</si>
  <si>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</si>
  <si>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</si>
  <si>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</si>
  <si>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</si>
  <si>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</si>
  <si>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</si>
  <si>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</si>
  <si>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</si>
  <si>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</si>
  <si>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</si>
  <si>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</si>
  <si>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</si>
  <si>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</si>
  <si>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</si>
  <si>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</si>
  <si>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</si>
  <si>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</si>
  <si>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</si>
  <si>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</si>
  <si>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</si>
  <si>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</si>
  <si>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</si>
  <si>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</si>
  <si>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</si>
  <si>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</si>
  <si>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</si>
  <si>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</si>
  <si>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</si>
  <si>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</si>
  <si>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</si>
  <si>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</si>
  <si>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</si>
  <si>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</si>
  <si>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</si>
  <si>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</si>
  <si>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</si>
  <si>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</si>
  <si>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</si>
  <si>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</si>
  <si>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</si>
  <si>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</si>
  <si>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</si>
  <si>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</si>
  <si>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</si>
  <si>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</si>
  <si>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</si>
  <si>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</si>
  <si>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</si>
  <si>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</si>
  <si>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</si>
  <si>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</si>
  <si>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</si>
  <si>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</si>
  <si>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</si>
  <si>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</si>
  <si>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</si>
  <si>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</si>
  <si>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</si>
  <si>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</si>
  <si>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</si>
  <si>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</si>
  <si>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</si>
  <si>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</si>
  <si>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</si>
  <si>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</si>
  <si>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</si>
  <si>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</si>
  <si>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</si>
  <si>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</si>
  <si>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</si>
  <si>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</si>
  <si>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</si>
  <si>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</si>
  <si>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</si>
  <si>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</si>
  <si>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</si>
  <si>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</si>
  <si>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</si>
  <si>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</si>
  <si>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</si>
  <si>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</si>
  <si>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</si>
  <si>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</si>
  <si>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</si>
  <si>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</si>
  <si>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</si>
  <si>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</si>
  <si>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</si>
  <si>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</si>
  <si>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</si>
  <si>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</si>
  <si>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</si>
  <si>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</si>
  <si>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</si>
  <si>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</si>
  <si>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</si>
  <si>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</si>
  <si>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</si>
  <si>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</si>
  <si>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</si>
  <si>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</si>
  <si>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</si>
  <si>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</si>
  <si>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</si>
  <si>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</si>
  <si>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</si>
  <si>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</si>
  <si>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</si>
  <si>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</si>
  <si>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</si>
  <si>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</si>
  <si>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</si>
  <si>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</si>
  <si>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</si>
  <si>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</si>
  <si>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</si>
  <si>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</si>
  <si>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</si>
  <si>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</si>
  <si>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</si>
  <si>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</si>
  <si>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</si>
  <si>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</si>
  <si>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</si>
  <si>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</si>
  <si>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</si>
  <si>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</si>
  <si>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</si>
  <si>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</si>
  <si>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</si>
  <si>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</si>
  <si>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</si>
  <si>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</si>
  <si>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</si>
  <si>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</si>
  <si>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</si>
  <si>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</si>
  <si>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</si>
  <si>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</si>
  <si>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</si>
  <si>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</si>
  <si>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</si>
  <si>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</si>
  <si>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</si>
  <si>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</si>
  <si>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</si>
  <si>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</si>
  <si>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</si>
  <si>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</si>
  <si>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</si>
  <si>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</si>
  <si>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</si>
  <si>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</si>
  <si>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</si>
  <si>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</si>
  <si>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</si>
  <si>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</si>
  <si>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</si>
  <si>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</si>
  <si>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</si>
  <si>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</si>
  <si>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</si>
  <si>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</si>
  <si>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</si>
  <si>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</si>
  <si>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</si>
  <si>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</si>
  <si>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</si>
  <si>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</si>
  <si>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</si>
  <si>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</si>
  <si>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</si>
  <si>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</si>
  <si>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</si>
  <si>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</si>
  <si>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</si>
  <si>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</si>
  <si>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</si>
  <si>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</si>
  <si>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</si>
  <si>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</si>
  <si>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</si>
  <si>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</si>
  <si>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</si>
  <si>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</si>
  <si>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</si>
  <si>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</si>
  <si>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</si>
  <si>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</si>
  <si>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</si>
  <si>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</si>
  <si>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</si>
  <si>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</si>
  <si>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</si>
  <si>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</si>
  <si>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</si>
  <si>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</si>
  <si>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</si>
  <si>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</si>
  <si>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</si>
  <si>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</si>
  <si>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</si>
  <si>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</si>
  <si>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</si>
  <si>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</si>
  <si>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</si>
  <si>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</si>
  <si>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</si>
  <si>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</si>
  <si>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</si>
  <si>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</si>
  <si>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</si>
  <si>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</si>
  <si>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</si>
  <si>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</si>
  <si>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</si>
  <si>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</si>
  <si>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</si>
  <si>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</si>
  <si>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</si>
  <si>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</si>
  <si>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</si>
  <si>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</si>
  <si>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</si>
  <si>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</si>
  <si>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</si>
  <si>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</si>
  <si>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</si>
  <si>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</si>
  <si>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</si>
  <si>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</si>
  <si>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</si>
  <si>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</si>
  <si>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</si>
  <si>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</si>
  <si>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</si>
  <si>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</si>
  <si>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</si>
  <si>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</si>
  <si>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</si>
  <si>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</si>
  <si>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</si>
  <si>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</si>
  <si>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</si>
  <si>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</si>
  <si>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</si>
  <si>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</si>
  <si>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</si>
  <si>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</si>
  <si>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</si>
  <si>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</si>
  <si>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</si>
  <si>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</si>
  <si>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</si>
  <si>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</si>
  <si>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</si>
  <si>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</si>
  <si>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</si>
  <si>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</si>
  <si>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</si>
  <si>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</si>
  <si>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</si>
  <si>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</si>
  <si>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</si>
  <si>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</si>
  <si>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</si>
  <si>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</si>
  <si>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</si>
  <si>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</si>
  <si>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</si>
  <si>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</si>
  <si>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</si>
  <si>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</si>
  <si>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</si>
  <si>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</si>
  <si>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</si>
  <si>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</si>
  <si>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</si>
  <si>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</si>
  <si>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</si>
  <si>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</si>
  <si>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</si>
  <si>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</si>
  <si>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</si>
  <si>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</si>
  <si>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</si>
  <si>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</si>
  <si>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</si>
  <si>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</si>
  <si>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</si>
  <si>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</si>
  <si>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</si>
  <si>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</si>
  <si>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</si>
  <si>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</si>
  <si>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</si>
  <si>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</si>
  <si>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</si>
  <si>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</si>
  <si>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</si>
  <si>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</si>
  <si>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</si>
  <si>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</si>
  <si>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</si>
  <si>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</si>
  <si>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</si>
  <si>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</si>
  <si>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</si>
  <si>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</si>
  <si>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</si>
  <si>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</si>
  <si>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</si>
  <si>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</si>
  <si>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</si>
  <si>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</si>
  <si>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</si>
  <si>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</si>
  <si>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</si>
  <si>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</si>
  <si>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</si>
  <si>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</si>
  <si>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</si>
  <si>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</si>
  <si>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</si>
  <si>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</si>
  <si>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</si>
  <si>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</si>
  <si>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</si>
  <si>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</si>
  <si>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</si>
  <si>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</si>
  <si>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</si>
  <si>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</si>
  <si>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</si>
  <si>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</si>
  <si>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</si>
  <si>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</si>
  <si>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</si>
  <si>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</si>
  <si>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</si>
  <si>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</si>
  <si>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</si>
  <si>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</si>
  <si>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</si>
  <si>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</si>
  <si>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</si>
  <si>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</si>
  <si>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</si>
  <si>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</si>
  <si>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</si>
  <si>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</si>
  <si>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</si>
  <si>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</si>
  <si>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</si>
  <si>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</si>
  <si>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</si>
  <si>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</si>
  <si>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</si>
  <si>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</si>
  <si>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</si>
  <si>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</si>
  <si>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</si>
  <si>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</si>
  <si>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</si>
  <si>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</si>
  <si>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</si>
  <si>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</si>
  <si>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</si>
  <si>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</si>
  <si>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</si>
  <si>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</si>
  <si>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</si>
  <si>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</si>
  <si>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</si>
  <si>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</si>
  <si>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</si>
  <si>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</si>
  <si>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</si>
  <si>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</si>
  <si>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</si>
  <si>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</si>
  <si>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</si>
  <si>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</si>
  <si>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</si>
  <si>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</si>
  <si>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</si>
  <si>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</si>
  <si>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</si>
  <si>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</si>
  <si>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</si>
  <si>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</si>
  <si>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</si>
  <si>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</si>
  <si>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</si>
  <si>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</si>
  <si>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</si>
  <si>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</si>
  <si>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</si>
  <si>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</si>
  <si>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</si>
  <si>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</si>
  <si>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</si>
  <si>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</si>
  <si>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</si>
  <si>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</si>
  <si>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</si>
  <si>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</si>
  <si>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</si>
  <si>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</si>
  <si>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</si>
  <si>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</si>
  <si>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</si>
  <si>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</si>
  <si>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</si>
  <si>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</si>
  <si>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</si>
  <si>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</si>
  <si>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</si>
  <si>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</si>
  <si>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</si>
  <si>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</si>
  <si>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</si>
  <si>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</si>
  <si>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</si>
  <si>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</si>
  <si>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</si>
  <si>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</si>
  <si>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</si>
  <si>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</si>
  <si>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</si>
  <si>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</si>
  <si>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</si>
  <si>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</si>
  <si>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</si>
  <si>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</si>
  <si>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</si>
  <si>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</si>
  <si>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</si>
  <si>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</si>
  <si>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</si>
  <si>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</si>
  <si>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</si>
  <si>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</si>
  <si>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</si>
  <si>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</si>
  <si>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</si>
  <si>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</si>
  <si>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</si>
  <si>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</si>
  <si>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</si>
  <si>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</si>
  <si>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</si>
  <si>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</si>
  <si>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</si>
  <si>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</si>
  <si>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</si>
  <si>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</si>
  <si>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</si>
  <si>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</si>
  <si>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</si>
  <si>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</si>
  <si>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</si>
  <si>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</si>
  <si>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</si>
  <si>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</si>
  <si>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</si>
  <si>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</si>
  <si>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</si>
  <si>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</si>
  <si>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</si>
  <si>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</si>
  <si>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</si>
  <si>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</si>
  <si>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</si>
  <si>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</si>
  <si>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</si>
  <si>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</si>
  <si>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</si>
  <si>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</si>
  <si>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</si>
  <si>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</si>
  <si>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</si>
  <si>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</si>
  <si>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</si>
  <si>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</si>
  <si>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</si>
  <si>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</si>
  <si>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</si>
  <si>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</si>
  <si>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</si>
  <si>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</si>
  <si>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</si>
  <si>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</si>
  <si>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</si>
  <si>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</si>
  <si>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</si>
  <si>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</si>
  <si>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</si>
  <si>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</si>
  <si>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</si>
  <si>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</si>
  <si>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</si>
  <si>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</si>
  <si>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</si>
  <si>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</si>
  <si>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</si>
  <si>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</si>
  <si>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</si>
  <si>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</si>
  <si>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</si>
  <si>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</si>
  <si>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</si>
  <si>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</si>
  <si>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</si>
  <si>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</si>
  <si>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</si>
  <si>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</si>
  <si>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</si>
  <si>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</si>
  <si>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</si>
  <si>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</si>
  <si>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</si>
  <si>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</si>
  <si>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</si>
  <si>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</si>
  <si>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</si>
  <si>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</si>
  <si>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</si>
  <si>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</si>
  <si>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</si>
  <si>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</si>
  <si>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</si>
  <si>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</si>
  <si>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</si>
  <si>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</si>
  <si>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</si>
  <si>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</si>
  <si>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</si>
  <si>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</si>
  <si>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</si>
  <si>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</si>
  <si>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</si>
  <si>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</si>
  <si>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</si>
  <si>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</si>
  <si>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</si>
  <si>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</si>
  <si>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</si>
  <si>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</si>
  <si>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</si>
  <si>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</si>
  <si>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</si>
  <si>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</si>
  <si>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</si>
  <si>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</si>
  <si>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</si>
  <si>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</si>
  <si>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</si>
  <si>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</si>
  <si>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</si>
  <si>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</si>
  <si>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</si>
  <si>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</si>
  <si>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</si>
  <si>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</si>
  <si>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</si>
  <si>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</si>
  <si>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</si>
  <si>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</si>
  <si>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</si>
  <si>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</si>
  <si>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</si>
  <si>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</si>
  <si>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</si>
  <si>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</si>
  <si>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</si>
  <si>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</si>
  <si>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</si>
  <si>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</si>
  <si>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</si>
  <si>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</si>
  <si>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</si>
  <si>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</si>
  <si>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</si>
  <si>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</si>
  <si>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</si>
  <si>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</si>
  <si>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</si>
  <si>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</si>
  <si>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</si>
  <si>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</si>
  <si>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</si>
  <si>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</si>
  <si>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</si>
  <si>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</si>
  <si>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</si>
  <si>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</si>
  <si>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</si>
  <si>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</si>
  <si>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</si>
  <si>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</si>
  <si>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</si>
  <si>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</si>
  <si>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</si>
  <si>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</si>
  <si>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</si>
  <si>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</si>
  <si>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</si>
  <si>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</si>
  <si>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</si>
  <si>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</si>
  <si>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</si>
  <si>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</si>
  <si>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</si>
  <si>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</si>
  <si>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</si>
  <si>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</si>
  <si>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</si>
  <si>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</si>
  <si>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</si>
  <si>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</si>
  <si>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</si>
  <si>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</si>
  <si>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</si>
  <si>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</si>
  <si>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</si>
  <si>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</si>
  <si>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</si>
  <si>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</si>
  <si>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</si>
  <si>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</si>
  <si>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</si>
  <si>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</si>
  <si>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</si>
  <si>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</si>
  <si>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</si>
  <si>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</si>
  <si>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</si>
  <si>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</si>
  <si>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</si>
  <si>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</si>
  <si>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</si>
  <si>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</si>
  <si>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</si>
  <si>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</si>
  <si>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</si>
  <si>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</si>
  <si>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</si>
  <si>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</si>
  <si>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</si>
  <si>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</si>
  <si>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</si>
  <si>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</si>
  <si>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</si>
  <si>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</si>
  <si>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</si>
  <si>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</si>
  <si>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</si>
  <si>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</si>
  <si>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</si>
  <si>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</si>
  <si>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</si>
  <si>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</si>
  <si>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</si>
  <si>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</si>
  <si>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</si>
  <si>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</si>
  <si>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</si>
  <si>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</si>
  <si>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</si>
  <si>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</si>
  <si>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</si>
  <si>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</si>
  <si>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</si>
  <si>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</si>
  <si>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</si>
  <si>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</si>
  <si>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</si>
  <si>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</si>
  <si>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</si>
  <si>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</si>
  <si>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</si>
  <si>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</si>
  <si>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</si>
  <si>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</si>
  <si>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</si>
  <si>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</si>
  <si>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</si>
  <si>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</si>
  <si>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</si>
  <si>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</si>
  <si>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</si>
  <si>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</si>
  <si>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</si>
  <si>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</si>
  <si>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</si>
  <si>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</si>
  <si>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</si>
  <si>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</si>
  <si>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</si>
  <si>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</si>
  <si>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</si>
  <si>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</si>
  <si>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</si>
  <si>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</si>
  <si>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</si>
  <si>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</si>
  <si>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</si>
  <si>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</si>
  <si>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</si>
  <si>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</si>
  <si>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</si>
  <si>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</si>
  <si>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</si>
  <si>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</si>
  <si>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</si>
  <si>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</si>
  <si>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</si>
  <si>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</si>
  <si>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</si>
  <si>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</si>
  <si>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</si>
  <si>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</si>
  <si>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</si>
  <si>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</si>
  <si>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</si>
  <si>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</si>
  <si>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</si>
  <si>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</si>
  <si>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</si>
  <si>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</si>
  <si>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</si>
  <si>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</si>
  <si>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</si>
  <si>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</si>
  <si>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</si>
  <si>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</si>
  <si>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</si>
  <si>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</si>
  <si>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</si>
  <si>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</si>
  <si>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</si>
  <si>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</si>
  <si>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</si>
  <si>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</si>
  <si>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</si>
  <si>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</si>
  <si>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</si>
  <si>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</si>
  <si>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</si>
  <si>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</si>
  <si>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</si>
  <si>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</si>
  <si>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</si>
  <si>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</si>
  <si>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</si>
  <si>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</si>
  <si>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</si>
  <si>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</si>
  <si>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</si>
  <si>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</si>
  <si>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</si>
  <si>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</si>
  <si>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</si>
  <si>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</si>
  <si>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</si>
  <si>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</si>
  <si>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</si>
  <si>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</si>
  <si>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</si>
  <si>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</si>
  <si>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</si>
  <si>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</si>
  <si>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</si>
  <si>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</si>
  <si>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</si>
  <si>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</si>
  <si>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</si>
  <si>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</si>
  <si>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</si>
  <si>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</si>
  <si>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</si>
  <si>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</si>
  <si>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</si>
  <si>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</si>
  <si>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</si>
  <si>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</si>
  <si>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</si>
  <si>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</si>
  <si>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</si>
  <si>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</si>
  <si>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</si>
  <si>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</si>
  <si>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</si>
  <si>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</si>
  <si>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</si>
  <si>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</si>
  <si>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</si>
  <si>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</si>
  <si>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</si>
  <si>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</si>
  <si>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</si>
  <si>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</si>
  <si>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</si>
  <si>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</si>
  <si>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</si>
  <si>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</si>
  <si>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</si>
  <si>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</si>
  <si>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</si>
  <si>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</si>
  <si>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</si>
  <si>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</si>
  <si>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</si>
  <si>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</si>
  <si>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</si>
  <si>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</si>
  <si>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</si>
  <si>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</si>
  <si>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</si>
  <si>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</si>
  <si>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</si>
  <si>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</si>
  <si>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</si>
  <si>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</si>
  <si>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</si>
  <si>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</si>
  <si>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</si>
  <si>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</si>
  <si>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</si>
  <si>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</si>
  <si>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</si>
  <si>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</si>
  <si>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</si>
  <si>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</si>
  <si>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</si>
  <si>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</si>
  <si>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</si>
  <si>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</si>
  <si>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</si>
  <si>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</si>
  <si>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</si>
  <si>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</si>
  <si>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</si>
  <si>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</si>
  <si>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</si>
  <si>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</si>
  <si>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</si>
  <si>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</si>
  <si>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</si>
  <si>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</si>
  <si>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</si>
  <si>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</si>
  <si>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</si>
  <si>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</si>
  <si>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</si>
  <si>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</si>
  <si>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</si>
  <si>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</si>
  <si>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</si>
  <si>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</si>
  <si>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</si>
  <si>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</si>
  <si>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</si>
  <si>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</si>
  <si>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</si>
  <si>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</si>
  <si>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</si>
  <si>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</si>
  <si>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</si>
  <si>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</si>
  <si>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</si>
  <si>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</si>
  <si>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</si>
  <si>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</si>
  <si>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</si>
  <si>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</si>
  <si>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</si>
  <si>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</si>
  <si>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</si>
  <si>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</si>
  <si>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</si>
  <si>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</si>
  <si>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</si>
  <si>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</si>
  <si>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</si>
  <si>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</si>
  <si>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</si>
  <si>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</si>
  <si>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</si>
  <si>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</si>
  <si>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</si>
  <si>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</si>
  <si>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</si>
  <si>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</si>
  <si>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</si>
  <si>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</si>
  <si>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</si>
  <si>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</si>
  <si>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</si>
  <si>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</si>
  <si>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</si>
  <si>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</si>
  <si>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</si>
  <si>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</si>
  <si>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</si>
  <si>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</si>
  <si>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</si>
  <si>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</si>
  <si>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</si>
  <si>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</si>
  <si>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</si>
  <si>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</si>
  <si>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</si>
  <si>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</si>
  <si>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</si>
  <si>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</si>
  <si>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</si>
  <si>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</si>
  <si>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</si>
  <si>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</si>
  <si>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</si>
  <si>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</si>
  <si>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</si>
  <si>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</si>
  <si>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</si>
  <si>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</si>
  <si>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</si>
  <si>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</si>
  <si>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</si>
  <si>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</si>
  <si>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</si>
  <si>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</si>
  <si>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</si>
  <si>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</si>
  <si>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</si>
  <si>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</si>
  <si>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</si>
  <si>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</si>
  <si>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</si>
  <si>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</si>
  <si>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</si>
  <si>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</si>
  <si>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</si>
  <si>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</si>
  <si>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</si>
  <si>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</si>
  <si>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</si>
  <si>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</si>
  <si>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</si>
  <si>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</si>
  <si>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</si>
  <si>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</si>
  <si>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</si>
  <si>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</si>
  <si>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</si>
  <si>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</si>
  <si>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</si>
  <si>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</si>
  <si>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</si>
  <si>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</si>
  <si>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</si>
  <si>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</si>
  <si>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</si>
  <si>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</si>
  <si>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</si>
  <si>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</si>
  <si>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</si>
  <si>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</si>
  <si>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</si>
  <si>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</si>
  <si>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</si>
  <si>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</si>
  <si>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</si>
  <si>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</si>
  <si>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</si>
  <si>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</si>
  <si>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</si>
  <si>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</si>
  <si>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</si>
  <si>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</si>
  <si>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</si>
  <si>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</si>
  <si>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</si>
  <si>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</si>
  <si>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</si>
  <si>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</si>
  <si>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</si>
  <si>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</si>
  <si>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</si>
  <si>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</si>
  <si>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</si>
  <si>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</si>
  <si>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</si>
  <si>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</si>
  <si>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</si>
  <si>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</si>
  <si>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</si>
  <si>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</si>
  <si>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</si>
  <si>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</si>
  <si>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</si>
  <si>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</si>
  <si>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</si>
  <si>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</si>
  <si>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</si>
  <si>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</si>
  <si>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</si>
  <si>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</si>
  <si>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</si>
  <si>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</si>
  <si>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</si>
  <si>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</si>
  <si>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</si>
  <si>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</si>
  <si>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</si>
  <si>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</si>
  <si>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</si>
  <si>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</si>
  <si>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</si>
  <si>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</si>
  <si>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</si>
  <si>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</si>
  <si>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</si>
  <si>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</si>
  <si>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</si>
  <si>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</si>
  <si>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</si>
  <si>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</si>
  <si>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</si>
  <si>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</si>
  <si>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</si>
  <si>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</si>
  <si>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</si>
  <si>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</si>
  <si>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</si>
  <si>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</si>
  <si>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</si>
  <si>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</si>
  <si>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</si>
  <si>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</si>
  <si>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</si>
  <si>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</si>
  <si>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</si>
  <si>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</si>
  <si>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</si>
  <si>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</si>
  <si>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</si>
  <si>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</si>
  <si>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</si>
  <si>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</si>
  <si>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</si>
  <si>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</si>
  <si>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</si>
  <si>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</si>
  <si>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</si>
  <si>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</si>
  <si>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</si>
  <si>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</si>
  <si>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</si>
  <si>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</si>
  <si>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</si>
  <si>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</si>
  <si>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</si>
  <si>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</si>
  <si>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</si>
  <si>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</si>
  <si>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</si>
  <si>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</si>
  <si>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</si>
  <si>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</si>
  <si>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</si>
  <si>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</si>
  <si>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</si>
  <si>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</si>
  <si>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</si>
  <si>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</si>
  <si>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</si>
  <si>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</si>
  <si>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</si>
  <si>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</si>
  <si>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</si>
  <si>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</si>
  <si>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</si>
  <si>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</si>
  <si>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</si>
  <si>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</si>
  <si>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</si>
  <si>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</si>
  <si>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</si>
  <si>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</si>
  <si>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</si>
  <si>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</si>
  <si>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</si>
  <si>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</si>
  <si>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</si>
  <si>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</si>
  <si>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</si>
  <si>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</si>
  <si>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</si>
  <si>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</si>
  <si>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</si>
  <si>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</si>
  <si>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</si>
  <si>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</si>
  <si>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</si>
  <si>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</si>
  <si>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</si>
  <si>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</si>
  <si>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</si>
  <si>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</si>
  <si>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</si>
  <si>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</si>
  <si>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</si>
  <si>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</si>
  <si>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</si>
  <si>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</si>
  <si>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</si>
  <si>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</si>
  <si>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</si>
  <si>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</si>
  <si>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</si>
  <si>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</si>
  <si>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</si>
  <si>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</si>
  <si>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</si>
  <si>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</si>
  <si>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</si>
  <si>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</si>
  <si>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</si>
  <si>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</si>
  <si>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</si>
  <si>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</si>
  <si>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</si>
  <si>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</si>
  <si>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</si>
  <si>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</si>
  <si>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</si>
  <si>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</si>
  <si>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</si>
  <si>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</si>
  <si>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</si>
  <si>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</si>
  <si>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</si>
  <si>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</si>
  <si>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</si>
  <si>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</si>
  <si>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</si>
  <si>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</si>
  <si>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</si>
  <si>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</si>
  <si>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</si>
  <si>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</si>
  <si>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</si>
  <si>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</si>
  <si>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</si>
  <si>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</si>
  <si>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</si>
  <si>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</si>
  <si>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</si>
  <si>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</si>
  <si>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</si>
  <si>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</si>
  <si>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</si>
  <si>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</si>
  <si>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</si>
  <si>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</si>
  <si>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</si>
  <si>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</si>
  <si>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</si>
  <si>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</si>
  <si>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</si>
  <si>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</si>
  <si>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</si>
  <si>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</si>
  <si>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</si>
  <si>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</si>
  <si>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</si>
  <si>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</si>
  <si>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</si>
  <si>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</si>
  <si>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</si>
  <si>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</si>
  <si>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</si>
  <si>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</si>
  <si>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</si>
  <si>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</si>
  <si>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</si>
  <si>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</si>
  <si>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</si>
  <si>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</si>
  <si>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</si>
  <si>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</si>
  <si>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</si>
  <si>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</si>
  <si>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</si>
  <si>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</si>
  <si>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</si>
  <si>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</si>
  <si>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</si>
  <si>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</si>
  <si>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</si>
  <si>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</si>
  <si>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</si>
  <si>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</si>
  <si>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</si>
  <si>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</si>
  <si>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</si>
  <si>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</si>
  <si>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</si>
  <si>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</si>
  <si>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</si>
  <si>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</si>
  <si>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</si>
  <si>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</si>
  <si>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</si>
  <si>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</si>
  <si>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</si>
  <si>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</si>
  <si>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</si>
  <si>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</si>
  <si>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</si>
  <si>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</si>
  <si>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</si>
  <si>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</si>
  <si>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</si>
  <si>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</si>
  <si>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</si>
  <si>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</si>
  <si>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</si>
  <si>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</si>
  <si>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</si>
  <si>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</si>
  <si>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</si>
  <si>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</si>
  <si>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</si>
  <si>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</si>
  <si>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</si>
  <si>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</si>
  <si>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</si>
  <si>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</si>
  <si>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</si>
  <si>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</si>
  <si>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</si>
  <si>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</si>
  <si>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</si>
  <si>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</si>
  <si>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</si>
  <si>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</si>
  <si>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</si>
  <si>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</si>
  <si>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</si>
  <si>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</si>
  <si>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</si>
  <si>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</si>
  <si>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</si>
  <si>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</si>
  <si>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</si>
  <si>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</si>
  <si>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</si>
  <si>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</si>
  <si>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</si>
  <si>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</si>
  <si>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</si>
  <si>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</si>
  <si>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</si>
  <si>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</si>
  <si>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</si>
  <si>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</si>
  <si>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</si>
  <si>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</si>
  <si>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</si>
  <si>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</si>
  <si>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</si>
  <si>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</si>
  <si>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</si>
  <si>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</si>
  <si>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</si>
  <si>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</si>
  <si>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</si>
  <si>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</si>
  <si>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</si>
  <si>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</si>
  <si>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</si>
  <si>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</si>
  <si>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</si>
  <si>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</si>
  <si>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</si>
  <si>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</si>
  <si>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</si>
  <si>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</si>
  <si>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</si>
  <si>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</si>
  <si>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</si>
  <si>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</si>
  <si>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</si>
  <si>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</si>
  <si>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</si>
  <si>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</si>
  <si>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</si>
  <si>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</si>
  <si>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</si>
  <si>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</si>
  <si>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</si>
  <si>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</si>
  <si>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</si>
  <si>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</si>
  <si>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</si>
  <si>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</si>
  <si>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</si>
  <si>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</si>
  <si>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</si>
  <si>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</si>
  <si>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</si>
  <si>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</si>
  <si>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</si>
  <si>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</si>
  <si>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</si>
  <si>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</si>
  <si>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</si>
  <si>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</si>
  <si>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</si>
  <si>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</si>
  <si>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</si>
  <si>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</si>
  <si>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</si>
  <si>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</si>
  <si>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</si>
  <si>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</si>
  <si>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</si>
  <si>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</si>
  <si>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</si>
  <si>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</si>
  <si>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</si>
  <si>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</si>
  <si>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</si>
  <si>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</si>
  <si>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</si>
  <si>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</si>
  <si>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</si>
  <si>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</si>
  <si>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</si>
  <si>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</si>
  <si>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</si>
  <si>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</si>
  <si>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</si>
  <si>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</si>
  <si>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</si>
  <si>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</si>
  <si>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</si>
  <si>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</si>
  <si>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</si>
  <si>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</si>
  <si>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</si>
  <si>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</si>
  <si>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</si>
  <si>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</si>
  <si>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</si>
  <si>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</si>
  <si>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</si>
  <si>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</si>
  <si>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</si>
  <si>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</si>
  <si>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</si>
  <si>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</si>
  <si>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</si>
  <si>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</si>
  <si>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</si>
  <si>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</si>
  <si>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</si>
  <si>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</si>
  <si>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</si>
  <si>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</si>
  <si>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</si>
  <si>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</si>
  <si>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</si>
  <si>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</si>
  <si>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</si>
  <si>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</si>
  <si>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</si>
  <si>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</si>
  <si>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</si>
  <si>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</si>
  <si>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</si>
  <si>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</si>
  <si>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</si>
  <si>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</si>
  <si>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</si>
  <si>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</si>
  <si>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</si>
  <si>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</si>
  <si>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</si>
  <si>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</si>
  <si>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</si>
  <si>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</si>
  <si>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</si>
  <si>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</si>
  <si>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</si>
  <si>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</si>
  <si>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</si>
  <si>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</si>
  <si>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</si>
  <si>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</si>
  <si>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</si>
  <si>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</si>
  <si>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</si>
  <si>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</si>
  <si>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</si>
  <si>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</si>
  <si>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</si>
  <si>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</si>
  <si>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</si>
  <si>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</si>
  <si>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</si>
  <si>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</si>
  <si>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</si>
  <si>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</si>
  <si>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</si>
  <si>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</si>
  <si>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</si>
  <si>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</si>
  <si>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</si>
  <si>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</si>
  <si>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</si>
  <si>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</si>
  <si>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</si>
  <si>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</si>
  <si>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</si>
  <si>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</si>
  <si>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</si>
  <si>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</si>
  <si>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</si>
  <si>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</si>
  <si>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</si>
  <si>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</si>
  <si>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</si>
  <si>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</si>
  <si>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</si>
  <si>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</si>
  <si>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</si>
  <si>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</si>
  <si>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</si>
  <si>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</si>
  <si>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</si>
  <si>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</si>
  <si>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</si>
  <si>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</si>
  <si>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</si>
  <si>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</si>
  <si>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</si>
  <si>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</si>
  <si>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</si>
  <si>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</si>
  <si>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</si>
  <si>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</si>
  <si>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</si>
  <si>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</si>
  <si>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</si>
  <si>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</si>
  <si>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</si>
  <si>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</si>
  <si>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</si>
  <si>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</si>
  <si>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</si>
  <si>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</si>
  <si>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</si>
  <si>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</si>
  <si>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</si>
  <si>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</si>
  <si>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</si>
  <si>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</si>
  <si>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</si>
  <si>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</si>
  <si>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</si>
  <si>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</si>
  <si>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</si>
  <si>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</si>
  <si>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</si>
  <si>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</si>
  <si>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</si>
  <si>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</si>
  <si>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</si>
  <si>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</si>
  <si>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</si>
  <si>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</si>
  <si>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</si>
  <si>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</si>
  <si>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</si>
  <si>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</si>
  <si>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</si>
  <si>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</si>
  <si>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</si>
  <si>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</si>
  <si>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</si>
  <si>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</si>
  <si>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</si>
  <si>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</si>
  <si>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</si>
  <si>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</si>
  <si>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</si>
  <si>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</si>
  <si>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</si>
  <si>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</si>
  <si>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</si>
  <si>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</si>
  <si>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</si>
  <si>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</si>
  <si>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</si>
  <si>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</si>
  <si>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</si>
  <si>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</si>
  <si>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</si>
  <si>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</si>
  <si>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</si>
  <si>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</si>
  <si>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</si>
  <si>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</si>
  <si>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</si>
  <si>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</si>
  <si>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</si>
  <si>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</si>
  <si>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</si>
  <si>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</si>
  <si>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</si>
  <si>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</si>
  <si>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</si>
  <si>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</si>
  <si>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</si>
  <si>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</si>
  <si>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</si>
  <si>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</si>
  <si>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</si>
  <si>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</si>
  <si>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</si>
  <si>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</si>
  <si>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</si>
  <si>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</si>
  <si>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</si>
  <si>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</si>
  <si>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</si>
  <si>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</si>
  <si>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</si>
  <si>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</si>
  <si>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</si>
  <si>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</si>
  <si>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</si>
  <si>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</si>
  <si>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</si>
  <si>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</si>
  <si>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</si>
  <si>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</si>
  <si>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</si>
  <si>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</si>
  <si>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</si>
  <si>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</si>
  <si>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</si>
  <si>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</si>
  <si>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</si>
  <si>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</si>
  <si>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</si>
  <si>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</si>
  <si>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</si>
  <si>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</si>
  <si>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</si>
  <si>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</si>
  <si>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</si>
  <si>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</si>
  <si>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</si>
  <si>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</si>
  <si>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</si>
  <si>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</si>
  <si>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</si>
  <si>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</si>
  <si>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</si>
  <si>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</si>
  <si>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</si>
  <si>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</si>
  <si>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</si>
  <si>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</si>
  <si>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</si>
  <si>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</si>
  <si>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</si>
  <si>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</si>
  <si>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</si>
  <si>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</si>
  <si>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</si>
  <si>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</si>
  <si>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</si>
  <si>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</si>
  <si>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</si>
  <si>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</si>
  <si>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</si>
  <si>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</si>
  <si>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</si>
  <si>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</si>
  <si>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</si>
  <si>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</si>
  <si>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</si>
  <si>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</si>
  <si>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</si>
  <si>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</si>
  <si>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</si>
  <si>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</si>
  <si>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</si>
  <si>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</si>
  <si>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</si>
  <si>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</si>
  <si>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</si>
  <si>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</si>
  <si>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</si>
  <si>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</si>
  <si>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</si>
  <si>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</si>
  <si>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</si>
  <si>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</si>
  <si>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</si>
  <si>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</si>
  <si>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</si>
  <si>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</si>
  <si>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</si>
  <si>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</si>
  <si>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</si>
  <si>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</si>
  <si>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</si>
  <si>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</si>
  <si>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</si>
  <si>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</si>
  <si>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</si>
  <si>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</si>
  <si>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</si>
  <si>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</si>
  <si>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</si>
  <si>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</si>
  <si>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</si>
  <si>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</si>
  <si>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</si>
  <si>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</si>
  <si>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</si>
  <si>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</si>
  <si>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</si>
  <si>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</si>
  <si>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</si>
  <si>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</si>
  <si>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</si>
  <si>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</si>
  <si>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</si>
  <si>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</si>
  <si>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</si>
  <si>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</si>
  <si>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</si>
  <si>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</si>
  <si>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</si>
  <si>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</si>
  <si>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</si>
  <si>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</si>
  <si>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</si>
  <si>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</si>
  <si>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</si>
  <si>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</si>
  <si>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</si>
  <si>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</si>
  <si>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</si>
  <si>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</si>
  <si>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</si>
  <si>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</si>
  <si>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</si>
  <si>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</si>
  <si>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</si>
  <si>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</si>
  <si>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</si>
  <si>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</si>
  <si>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</si>
  <si>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</si>
  <si>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</si>
  <si>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</si>
  <si>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</si>
  <si>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</si>
  <si>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</si>
  <si>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</si>
  <si>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</si>
  <si>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</si>
  <si>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</si>
  <si>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</si>
  <si>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</si>
  <si>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</si>
  <si>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</si>
  <si>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</si>
  <si>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</si>
  <si>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</si>
  <si>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</si>
  <si>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</si>
  <si>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</si>
  <si>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</si>
  <si>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</si>
  <si>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</si>
  <si>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</si>
  <si>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</si>
  <si>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</si>
  <si>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</si>
  <si>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</si>
  <si>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</si>
  <si>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</si>
  <si>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</si>
  <si>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</si>
  <si>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</si>
  <si>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</si>
  <si>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</si>
  <si>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</si>
  <si>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</si>
  <si>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</si>
  <si>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</si>
  <si>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</si>
  <si>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</si>
  <si>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</si>
  <si>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</si>
  <si>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</si>
  <si>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</si>
  <si>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</si>
  <si>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</si>
  <si>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</si>
  <si>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</si>
  <si>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</si>
  <si>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</si>
  <si>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</si>
  <si>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</si>
  <si>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</si>
  <si>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</si>
  <si>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</si>
  <si>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</si>
  <si>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</si>
  <si>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</si>
  <si>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</si>
  <si>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</si>
  <si>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</si>
  <si>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</si>
  <si>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</si>
  <si>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</si>
  <si>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</si>
  <si>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</si>
  <si>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</si>
  <si>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</si>
  <si>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</si>
  <si>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</si>
  <si>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</si>
  <si>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</si>
  <si>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</si>
  <si>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</si>
  <si>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</si>
  <si>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</si>
  <si>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</si>
  <si>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</si>
  <si>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</si>
  <si>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</si>
  <si>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</si>
  <si>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</si>
  <si>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</si>
  <si>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</si>
  <si>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</si>
  <si>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</si>
  <si>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</si>
  <si>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</si>
  <si>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</si>
  <si>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</si>
  <si>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</si>
  <si>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</si>
  <si>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</si>
  <si>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</si>
  <si>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</si>
  <si>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</si>
  <si>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</si>
  <si>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</si>
  <si>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</si>
  <si>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</si>
  <si>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</si>
  <si>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</si>
  <si>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</si>
  <si>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</si>
  <si>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</si>
  <si>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</si>
  <si>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</si>
  <si>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</si>
  <si>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</si>
  <si>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</si>
  <si>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</si>
  <si>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</si>
  <si>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</si>
  <si>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</si>
  <si>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</si>
  <si>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</si>
  <si>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</si>
  <si>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</si>
  <si>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</si>
  <si>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</si>
  <si>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</si>
  <si>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</si>
  <si>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</si>
  <si>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</si>
  <si>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</si>
  <si>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</si>
  <si>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</si>
  <si>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</si>
  <si>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</si>
  <si>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</si>
  <si>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</si>
  <si>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</si>
  <si>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</si>
  <si>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</si>
  <si>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</si>
  <si>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</si>
  <si>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</si>
  <si>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</si>
  <si>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</si>
  <si>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</si>
  <si>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</si>
  <si>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</si>
  <si>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</si>
  <si>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</si>
  <si>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</si>
  <si>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</si>
  <si>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</si>
  <si>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</si>
  <si>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</si>
  <si>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</si>
  <si>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</si>
  <si>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</si>
  <si>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</si>
  <si>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</si>
  <si>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</si>
  <si>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</si>
  <si>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</si>
  <si>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</si>
  <si>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</si>
  <si>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</si>
  <si>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</si>
  <si>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</si>
  <si>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</si>
  <si>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</si>
  <si>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</si>
  <si>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</si>
  <si>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</si>
  <si>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</si>
  <si>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</si>
  <si>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</si>
  <si>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</si>
  <si>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</si>
  <si>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</si>
  <si>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</si>
  <si>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</si>
  <si>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</si>
  <si>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</si>
  <si>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</si>
  <si>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</si>
  <si>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</si>
  <si>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</si>
  <si>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</si>
  <si>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</si>
  <si>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</si>
  <si>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</si>
  <si>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</si>
  <si>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</si>
  <si>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</si>
  <si>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</si>
  <si>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</si>
  <si>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</si>
  <si>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</si>
  <si>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</si>
  <si>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</si>
  <si>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</si>
  <si>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</si>
  <si>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</si>
  <si>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</si>
  <si>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</si>
  <si>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</si>
  <si>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</si>
  <si>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</si>
  <si>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</si>
  <si>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</si>
  <si>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</si>
  <si>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</si>
  <si>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</si>
  <si>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</si>
  <si>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</si>
  <si>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</si>
  <si>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</si>
  <si>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</si>
  <si>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</si>
  <si>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</si>
  <si>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</si>
  <si>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</si>
  <si>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</si>
  <si>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</si>
  <si>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</si>
  <si>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</si>
  <si>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</si>
  <si>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</si>
  <si>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</si>
  <si>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</si>
  <si>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</si>
  <si>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</si>
  <si>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</si>
  <si>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</si>
  <si>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</si>
  <si>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</si>
  <si>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</si>
  <si>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</si>
  <si>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</si>
  <si>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</si>
  <si>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</si>
  <si>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</si>
  <si>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</si>
  <si>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</si>
  <si>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</si>
  <si>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</si>
  <si>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</si>
  <si>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</si>
  <si>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</si>
  <si>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</si>
  <si>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</si>
  <si>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</si>
  <si>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</si>
  <si>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</si>
  <si>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</si>
  <si>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</si>
  <si>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</si>
  <si>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</si>
  <si>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</si>
  <si>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</si>
  <si>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</si>
  <si>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</si>
  <si>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</si>
  <si>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</si>
  <si>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</si>
  <si>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</si>
  <si>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</si>
  <si>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</si>
  <si>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</si>
  <si>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</si>
  <si>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</si>
  <si>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</si>
  <si>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</si>
  <si>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</si>
  <si>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</si>
  <si>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</si>
  <si>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</si>
  <si>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</si>
  <si>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</si>
  <si>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</si>
  <si>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</si>
  <si>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</si>
  <si>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</si>
  <si>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</si>
  <si>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</si>
  <si>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</si>
  <si>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</si>
  <si>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</si>
  <si>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</si>
  <si>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</si>
  <si>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</si>
  <si>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</si>
  <si>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</si>
  <si>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</si>
  <si>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</si>
  <si>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</si>
  <si>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</si>
  <si>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</si>
  <si>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</si>
  <si>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</si>
  <si>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</si>
  <si>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</si>
  <si>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</si>
  <si>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</si>
  <si>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</si>
  <si>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</si>
  <si>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</si>
  <si>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</si>
  <si>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</si>
  <si>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</si>
  <si>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</si>
  <si>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</si>
  <si>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</si>
  <si>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</si>
  <si>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</si>
  <si>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</si>
  <si>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</si>
  <si>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</si>
  <si>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</si>
  <si>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</si>
  <si>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</si>
  <si>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</si>
  <si>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</si>
  <si>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</si>
  <si>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</si>
  <si>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</si>
  <si>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</si>
  <si>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</si>
  <si>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</si>
  <si>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</si>
  <si>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</si>
  <si>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</si>
  <si>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</si>
  <si>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</si>
  <si>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</si>
  <si>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</si>
  <si>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</si>
  <si>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</si>
  <si>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</si>
  <si>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</si>
  <si>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</si>
  <si>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</si>
  <si>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</si>
  <si>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</si>
  <si>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</si>
  <si>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</si>
  <si>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</si>
  <si>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</si>
  <si>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</si>
  <si>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</si>
  <si>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</si>
  <si>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</si>
  <si>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</si>
  <si>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</si>
  <si>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</si>
  <si>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</si>
  <si>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</si>
  <si>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</si>
  <si>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</si>
  <si>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</si>
  <si>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</si>
  <si>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</si>
  <si>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</si>
  <si>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</si>
  <si>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</si>
  <si>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</si>
  <si>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</si>
  <si>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</si>
  <si>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</si>
  <si>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</si>
  <si>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</si>
  <si>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</si>
  <si>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</si>
  <si>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</si>
  <si>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</si>
  <si>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</si>
  <si>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</si>
  <si>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</si>
  <si>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</si>
  <si>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</si>
  <si>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</si>
  <si>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</si>
  <si>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</si>
  <si>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</si>
  <si>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</si>
  <si>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</si>
  <si>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</si>
  <si>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</si>
  <si>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</si>
  <si>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</si>
  <si>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</si>
  <si>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</si>
  <si>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</si>
  <si>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</si>
  <si>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</si>
  <si>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</si>
  <si>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</si>
  <si>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</si>
  <si>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</si>
  <si>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</si>
  <si>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</si>
  <si>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</si>
  <si>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</si>
  <si>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</si>
  <si>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</si>
  <si>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</si>
  <si>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</si>
  <si>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</si>
  <si>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</si>
  <si>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</si>
  <si>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</si>
  <si>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</si>
  <si>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</si>
  <si>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</si>
  <si>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</si>
  <si>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</si>
  <si>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</si>
  <si>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</si>
  <si>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</si>
  <si>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</si>
  <si>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</si>
  <si>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</si>
  <si>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</si>
  <si>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</si>
  <si>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</si>
  <si>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</si>
  <si>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</si>
  <si>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</si>
  <si>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</si>
  <si>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</si>
  <si>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</si>
  <si>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</si>
  <si>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</si>
  <si>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</si>
  <si>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</si>
  <si>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</si>
  <si>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</si>
  <si>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</si>
  <si>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</si>
  <si>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</si>
  <si>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</si>
  <si>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</si>
  <si>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</si>
  <si>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</si>
  <si>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</si>
  <si>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</si>
  <si>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</si>
  <si>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</si>
  <si>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</si>
  <si>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</si>
  <si>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</si>
  <si>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</si>
  <si>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</si>
  <si>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</si>
  <si>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</si>
  <si>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</si>
  <si>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</si>
  <si>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</si>
  <si>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</si>
  <si>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</si>
  <si>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</si>
  <si>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</si>
  <si>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</si>
  <si>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</si>
  <si>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</si>
  <si>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</si>
  <si>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</si>
  <si>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</si>
  <si>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</si>
  <si>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</si>
  <si>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</si>
  <si>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</si>
  <si>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</si>
  <si>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</si>
  <si>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</si>
  <si>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</si>
  <si>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</si>
  <si>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</si>
  <si>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</si>
  <si>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</si>
  <si>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</si>
  <si>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</si>
  <si>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</si>
  <si>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</si>
  <si>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</si>
  <si>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</si>
  <si>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</si>
  <si>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</si>
  <si>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</si>
  <si>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</si>
  <si>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</si>
  <si>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</si>
  <si>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</si>
  <si>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</si>
  <si>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</si>
  <si>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</si>
  <si>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</si>
  <si>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</si>
  <si>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</si>
  <si>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</si>
  <si>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</si>
  <si>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</si>
  <si>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</si>
  <si>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</si>
  <si>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</si>
  <si>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</si>
  <si>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</si>
  <si>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</si>
  <si>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</si>
  <si>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</si>
  <si>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</si>
  <si>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</si>
  <si>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</si>
  <si>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</si>
  <si>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</si>
  <si>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</si>
  <si>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</si>
  <si>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</si>
  <si>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</si>
  <si>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</si>
  <si>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</si>
  <si>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</si>
  <si>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</si>
  <si>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</si>
  <si>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</si>
  <si>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</si>
  <si>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</si>
  <si>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</si>
  <si>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</si>
  <si>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</si>
  <si>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</si>
  <si>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</si>
  <si>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</si>
  <si>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</si>
  <si>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</si>
  <si>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</si>
  <si>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</si>
  <si>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</si>
  <si>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</si>
  <si>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</si>
  <si>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</si>
  <si>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</si>
  <si>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</si>
  <si>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</si>
  <si>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</si>
  <si>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</si>
  <si>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</si>
  <si>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</si>
  <si>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</si>
  <si>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</si>
  <si>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</si>
  <si>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</si>
  <si>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</si>
  <si>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</si>
  <si>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</si>
  <si>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</si>
  <si>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</si>
  <si>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</si>
  <si>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</si>
  <si>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</si>
  <si>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</si>
  <si>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</si>
  <si>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</si>
  <si>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</si>
  <si>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</si>
  <si>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</si>
  <si>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</si>
  <si>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</si>
  <si>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</si>
  <si>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</si>
  <si>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</si>
  <si>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</si>
  <si>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</si>
  <si>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</si>
  <si>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</si>
  <si>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</si>
  <si>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</si>
  <si>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</si>
  <si>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</si>
  <si>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</si>
  <si>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</si>
  <si>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</si>
  <si>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</si>
  <si>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</si>
  <si>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</si>
  <si>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</si>
  <si>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</si>
  <si>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</si>
  <si>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</si>
  <si>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</si>
  <si>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</si>
  <si>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</si>
  <si>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</si>
  <si>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</si>
  <si>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</si>
  <si>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</si>
  <si>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</si>
  <si>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</si>
  <si>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</si>
  <si>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</si>
  <si>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</si>
  <si>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</si>
  <si>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</si>
  <si>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</si>
  <si>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</si>
  <si>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</si>
  <si>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</si>
  <si>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</si>
  <si>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</si>
  <si>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</si>
  <si>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</si>
  <si>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</si>
  <si>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</si>
  <si>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</si>
  <si>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</si>
  <si>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</si>
  <si>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</si>
  <si>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</si>
  <si>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</si>
  <si>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</si>
  <si>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</si>
  <si>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</si>
  <si>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</si>
  <si>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</si>
  <si>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</si>
  <si>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</si>
  <si>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</si>
  <si>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</si>
  <si>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</si>
  <si>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</si>
  <si>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</si>
  <si>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</si>
  <si>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</si>
  <si>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</si>
  <si>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</si>
  <si>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</si>
  <si>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</si>
  <si>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</si>
  <si>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</si>
  <si>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</si>
  <si>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</si>
  <si>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</si>
  <si>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</si>
  <si>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</si>
  <si>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</si>
  <si>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</si>
  <si>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</si>
  <si>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</si>
  <si>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</si>
  <si>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</si>
  <si>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</si>
  <si>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</si>
  <si>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</si>
  <si>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</si>
  <si>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</si>
  <si>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</si>
  <si>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</si>
  <si>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</si>
  <si>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</si>
  <si>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</si>
  <si>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</si>
  <si>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</si>
  <si>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</si>
  <si>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</si>
  <si>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</si>
  <si>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</si>
  <si>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</si>
  <si>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</si>
  <si>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</si>
  <si>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</si>
  <si>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</si>
  <si>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</si>
  <si>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</si>
  <si>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</si>
  <si>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</si>
  <si>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</si>
  <si>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</si>
  <si>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</si>
  <si>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</si>
  <si>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</si>
  <si>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</si>
  <si>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</si>
  <si>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</si>
  <si>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</si>
  <si>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</si>
  <si>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</si>
  <si>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</si>
  <si>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</si>
  <si>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</si>
  <si>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</si>
  <si>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</si>
  <si>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</si>
  <si>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</si>
  <si>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</si>
  <si>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</si>
  <si>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</si>
  <si>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</si>
  <si>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</si>
  <si>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</si>
  <si>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</si>
  <si>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</si>
  <si>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</si>
  <si>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</si>
  <si>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</si>
  <si>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</si>
  <si>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</si>
  <si>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</si>
  <si>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</si>
  <si>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</si>
  <si>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</si>
  <si>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</si>
  <si>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</si>
  <si>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</si>
  <si>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</si>
  <si>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</si>
  <si>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</si>
  <si>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</si>
  <si>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</si>
  <si>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</si>
  <si>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</si>
  <si>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</si>
  <si>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</si>
  <si>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</si>
  <si>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</si>
  <si>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</si>
  <si>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</si>
  <si>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</si>
  <si>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</si>
  <si>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</si>
  <si>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</si>
  <si>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</si>
  <si>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</si>
  <si>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</si>
  <si>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</si>
  <si>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</si>
  <si>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</si>
  <si>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</si>
  <si>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</si>
  <si>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</si>
  <si>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</si>
  <si>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</si>
  <si>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</si>
  <si>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</si>
  <si>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</si>
  <si>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</si>
  <si>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</si>
  <si>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</si>
  <si>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</si>
  <si>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</si>
  <si>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</si>
  <si>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</si>
  <si>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</si>
  <si>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</si>
  <si>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</si>
  <si>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</si>
  <si>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</si>
  <si>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</si>
  <si>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</si>
  <si>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</si>
  <si>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</si>
  <si>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</si>
  <si>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</si>
  <si>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</si>
  <si>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</si>
  <si>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</si>
  <si>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</si>
  <si>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</si>
  <si>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</si>
  <si>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</si>
  <si>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</si>
  <si>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</si>
  <si>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</si>
  <si>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</si>
  <si>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</si>
  <si>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</si>
  <si>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</si>
  <si>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</si>
  <si>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</si>
  <si>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</si>
  <si>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</si>
  <si>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</si>
  <si>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</si>
  <si>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</si>
  <si>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</si>
  <si>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</si>
  <si>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</si>
  <si>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</si>
  <si>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</si>
  <si>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</si>
  <si>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</si>
  <si>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</si>
  <si>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</si>
  <si>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</si>
  <si>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</si>
  <si>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</si>
  <si>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</si>
  <si>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</si>
  <si>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</si>
  <si>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</si>
  <si>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</si>
  <si>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</si>
  <si>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</si>
  <si>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</si>
  <si>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</si>
  <si>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</si>
  <si>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</si>
  <si>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</si>
  <si>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</si>
  <si>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</si>
  <si>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</si>
  <si>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</si>
  <si>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</si>
  <si>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</si>
  <si>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</si>
  <si>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</si>
  <si>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</si>
  <si>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</si>
  <si>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</si>
  <si>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</si>
  <si>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</si>
  <si>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</si>
  <si>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</si>
  <si>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</si>
  <si>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</si>
  <si>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</si>
  <si>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</si>
  <si>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</si>
  <si>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</si>
  <si>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</si>
  <si>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</si>
  <si>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</si>
  <si>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</si>
  <si>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</si>
  <si>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</si>
  <si>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</si>
  <si>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</si>
  <si>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</si>
  <si>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</si>
  <si>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</si>
  <si>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</si>
  <si>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</si>
  <si>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</si>
  <si>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</si>
  <si>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</si>
  <si>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</si>
  <si>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</si>
  <si>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</si>
  <si>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</si>
  <si>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</si>
  <si>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</si>
  <si>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</si>
  <si>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</si>
  <si>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</si>
  <si>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</si>
  <si>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</si>
  <si>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</si>
  <si>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</si>
  <si>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</si>
  <si>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</si>
  <si>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</si>
  <si>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</si>
  <si>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</si>
  <si>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</si>
  <si>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</si>
  <si>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</si>
  <si>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</si>
  <si>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</si>
  <si>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</si>
  <si>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</si>
  <si>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</si>
  <si>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</si>
  <si>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</si>
  <si>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</si>
  <si>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</si>
  <si>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</si>
  <si>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</si>
  <si>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</si>
  <si>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</si>
  <si>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</si>
  <si>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</si>
  <si>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</si>
  <si>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</si>
  <si>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</si>
  <si>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</si>
  <si>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</si>
  <si>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</si>
  <si>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</si>
  <si>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</si>
  <si>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</si>
  <si>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</si>
  <si>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</si>
  <si>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</si>
  <si>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</si>
  <si>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</si>
  <si>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</si>
  <si>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</si>
  <si>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</si>
  <si>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</si>
  <si>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</si>
  <si>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</si>
  <si>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</si>
  <si>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</si>
  <si>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</si>
  <si>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</si>
  <si>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</si>
  <si>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</si>
  <si>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</si>
  <si>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</si>
  <si>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</si>
  <si>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</si>
  <si>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</si>
  <si>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</si>
  <si>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</si>
  <si>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</si>
  <si>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</si>
  <si>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</si>
  <si>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</si>
  <si>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</si>
  <si>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</si>
  <si>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</si>
  <si>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</si>
  <si>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</si>
  <si>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</si>
  <si>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</si>
  <si>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</si>
  <si>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</si>
  <si>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</si>
  <si>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</si>
  <si>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</si>
  <si>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</si>
  <si>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</si>
  <si>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</si>
  <si>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</si>
  <si>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</si>
  <si>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</si>
  <si>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</si>
  <si>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</si>
  <si>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</si>
  <si>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</si>
  <si>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</si>
  <si>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</si>
  <si>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</si>
  <si>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</si>
  <si>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</si>
  <si>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</si>
  <si>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</si>
  <si>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</si>
  <si>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</si>
  <si>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</si>
  <si>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</si>
  <si>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</si>
  <si>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</si>
  <si>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</si>
  <si>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</si>
  <si>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</si>
  <si>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</si>
  <si>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</si>
  <si>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杨红英</t>
  </si>
  <si>
    <t>抵押</t>
  </si>
  <si>
    <t>房地产抵押价值</t>
  </si>
  <si>
    <t>其他：</t>
  </si>
  <si>
    <t>上海</t>
    <phoneticPr fontId="6" type="noConversion"/>
  </si>
  <si>
    <t>企业</t>
  </si>
  <si>
    <t>出让</t>
  </si>
  <si>
    <t>商业</t>
    <phoneticPr fontId="3" type="noConversion"/>
  </si>
  <si>
    <t>地上</t>
  </si>
  <si>
    <t>商业</t>
    <phoneticPr fontId="7" type="noConversion"/>
  </si>
  <si>
    <t>是</t>
  </si>
  <si>
    <t>工程进度</t>
  </si>
  <si>
    <t>全部缴纳</t>
  </si>
  <si>
    <t>成本法</t>
  </si>
  <si>
    <t>押三</t>
  </si>
  <si>
    <t>钢混</t>
  </si>
  <si>
    <t>非生产用房</t>
  </si>
  <si>
    <t>售价</t>
  </si>
  <si>
    <t>估价方法</t>
  </si>
  <si>
    <t>地下</t>
  </si>
  <si>
    <t>收益法——商业</t>
  </si>
  <si>
    <t>收益法——商业</t>
    <phoneticPr fontId="16" type="noConversion"/>
  </si>
  <si>
    <t>假设开发法</t>
  </si>
  <si>
    <t>情况2</t>
  </si>
  <si>
    <t>已全部缴纳</t>
  </si>
  <si>
    <t>已包含在土地取得成本中</t>
  </si>
  <si>
    <t>正常</t>
  </si>
  <si>
    <t>商业</t>
    <phoneticPr fontId="31" type="noConversion"/>
  </si>
  <si>
    <t>30-40（含）</t>
  </si>
  <si>
    <t>一般</t>
  </si>
  <si>
    <t>较好</t>
  </si>
  <si>
    <t>七通</t>
  </si>
  <si>
    <t>毗邻道路</t>
    <phoneticPr fontId="3" type="noConversion"/>
  </si>
  <si>
    <t>临街宽度及深度</t>
    <phoneticPr fontId="3" type="noConversion"/>
  </si>
  <si>
    <t>宗地开发程度</t>
    <phoneticPr fontId="3" type="noConversion"/>
  </si>
  <si>
    <t>工程地质条件</t>
    <phoneticPr fontId="3" type="noConversion"/>
  </si>
  <si>
    <t>较好</t>
    <phoneticPr fontId="3" type="noConversion"/>
  </si>
  <si>
    <t>餐饮旅游业</t>
    <phoneticPr fontId="3" type="noConversion"/>
  </si>
  <si>
    <t>商办</t>
    <phoneticPr fontId="3" type="noConversion"/>
  </si>
  <si>
    <t>城市主干道——沪青平公路</t>
    <phoneticPr fontId="31" type="noConversion"/>
  </si>
  <si>
    <t>城市次干道——徐乐路</t>
    <phoneticPr fontId="31" type="noConversion"/>
  </si>
  <si>
    <t>城市次干道——盈港东路</t>
    <phoneticPr fontId="31" type="noConversion"/>
  </si>
  <si>
    <t>城市次干道——康欧路</t>
    <phoneticPr fontId="31" type="noConversion"/>
  </si>
  <si>
    <t>按租金收入计税</t>
  </si>
  <si>
    <t>项目位置</t>
    <phoneticPr fontId="31" type="noConversion"/>
  </si>
  <si>
    <t>距市区较远</t>
    <phoneticPr fontId="31" type="noConversion"/>
  </si>
  <si>
    <t>距市区较近</t>
    <phoneticPr fontId="31" type="noConversion"/>
  </si>
  <si>
    <t>距市区较近</t>
    <phoneticPr fontId="31" type="noConversion"/>
  </si>
  <si>
    <t>距市区较远</t>
    <phoneticPr fontId="31" type="noConversion"/>
  </si>
  <si>
    <t>车库</t>
  </si>
  <si>
    <t>车库</t>
    <phoneticPr fontId="3" type="noConversion"/>
  </si>
  <si>
    <t>车库</t>
    <phoneticPr fontId="7" type="noConversion"/>
  </si>
  <si>
    <t>车库</t>
    <phoneticPr fontId="3" type="noConversion"/>
  </si>
  <si>
    <t>收益法——车库</t>
  </si>
  <si>
    <t>收益法——车库</t>
    <phoneticPr fontId="16" type="noConversion"/>
  </si>
  <si>
    <t>收益法——仓储</t>
    <phoneticPr fontId="16" type="noConversion"/>
  </si>
  <si>
    <t>地下</t>
    <phoneticPr fontId="3" type="noConversion"/>
  </si>
  <si>
    <t>青浦区徐泾镇沪青平公路北侧A9-10地块</t>
    <phoneticPr fontId="3" type="noConversion"/>
  </si>
  <si>
    <t>青浦区徐泾镇徐乐路西侧A18-05地块</t>
    <phoneticPr fontId="3" type="noConversion"/>
  </si>
  <si>
    <t>青浦区徐泾镇盈港东路北侧42-03地块</t>
    <phoneticPr fontId="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</si>
</sst>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9" fontId="47" fillId="0" borderId="1" xfId="0" applyNumberFormat="1"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protection locked="0"/>
    </xf>
    <xf numFmtId="179" fontId="50" fillId="9" borderId="1" xfId="0" applyNumberFormat="1" applyFont="1" applyFill="1" applyBorder="1" applyAlignment="1" applyProtection="1">
      <alignment horizontal="center" vertical="center" wrapText="1"/>
      <protection locked="0"/>
    </xf>
    <xf numFmtId="0" fontId="47" fillId="9" borderId="23" xfId="0" applyFont="1" applyFill="1" applyBorder="1" applyAlignment="1" applyProtection="1">
      <alignment vertical="center"/>
      <protection locked="0"/>
    </xf>
    <xf numFmtId="176" fontId="50" fillId="9" borderId="1" xfId="0" applyNumberFormat="1" applyFont="1" applyFill="1" applyBorder="1" applyAlignment="1" applyProtection="1">
      <alignment vertical="center" wrapText="1"/>
      <protection locked="0"/>
    </xf>
    <xf numFmtId="10" fontId="50" fillId="9" borderId="1" xfId="1"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77" fontId="50" fillId="9" borderId="1" xfId="1" applyNumberFormat="1" applyFont="1" applyFill="1" applyBorder="1" applyAlignment="1" applyProtection="1">
      <alignment horizontal="center" vertical="center"/>
      <protection locked="0"/>
    </xf>
    <xf numFmtId="177" fontId="137" fillId="2" borderId="5" xfId="1" applyNumberFormat="1" applyFont="1" applyFill="1" applyBorder="1" applyAlignment="1" applyProtection="1">
      <alignment vertical="center"/>
      <protection locked="0"/>
    </xf>
    <xf numFmtId="0" fontId="80" fillId="2" borderId="4" xfId="0"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552450</xdr:colOff>
      <xdr:row>36</xdr:row>
      <xdr:rowOff>104775</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782050" cy="6276975"/>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12</xdr:col>
      <xdr:colOff>523875</xdr:colOff>
      <xdr:row>72</xdr:row>
      <xdr:rowOff>133350</xdr:rowOff>
    </xdr:to>
    <xdr:pic>
      <xdr:nvPicPr>
        <xdr:cNvPr id="1126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343650"/>
          <a:ext cx="8753475" cy="6134100"/>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485775</xdr:colOff>
      <xdr:row>109</xdr:row>
      <xdr:rowOff>0</xdr:rowOff>
    </xdr:to>
    <xdr:pic>
      <xdr:nvPicPr>
        <xdr:cNvPr id="11264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8715375" cy="61722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47625</xdr:colOff>
      <xdr:row>27</xdr:row>
      <xdr:rowOff>66675</xdr:rowOff>
    </xdr:to>
    <xdr:pic>
      <xdr:nvPicPr>
        <xdr:cNvPr id="2" name="图片 1"/>
        <xdr:cNvPicPr/>
      </xdr:nvPicPr>
      <xdr:blipFill>
        <a:blip xmlns:r="http://schemas.openxmlformats.org/officeDocument/2006/relationships" r:embed="rId1" cstate="print"/>
        <a:stretch>
          <a:fillRect/>
        </a:stretch>
      </xdr:blipFill>
      <xdr:spPr>
        <a:xfrm>
          <a:off x="0" y="0"/>
          <a:ext cx="5534025" cy="4695825"/>
        </a:xfrm>
        <a:prstGeom prst="rect">
          <a:avLst/>
        </a:prstGeom>
      </xdr:spPr>
    </xdr:pic>
    <xdr:clientData/>
  </xdr:twoCellAnchor>
  <xdr:twoCellAnchor editAs="oneCell">
    <xdr:from>
      <xdr:col>8</xdr:col>
      <xdr:colOff>0</xdr:colOff>
      <xdr:row>0</xdr:row>
      <xdr:rowOff>0</xdr:rowOff>
    </xdr:from>
    <xdr:to>
      <xdr:col>15</xdr:col>
      <xdr:colOff>473710</xdr:colOff>
      <xdr:row>27</xdr:row>
      <xdr:rowOff>35318</xdr:rowOff>
    </xdr:to>
    <xdr:pic>
      <xdr:nvPicPr>
        <xdr:cNvPr id="3" name="图片 2"/>
        <xdr:cNvPicPr/>
      </xdr:nvPicPr>
      <xdr:blipFill>
        <a:blip xmlns:r="http://schemas.openxmlformats.org/officeDocument/2006/relationships" r:embed="rId2" cstate="print"/>
        <a:stretch>
          <a:fillRect/>
        </a:stretch>
      </xdr:blipFill>
      <xdr:spPr>
        <a:xfrm>
          <a:off x="5486400" y="0"/>
          <a:ext cx="5274310" cy="4664468"/>
        </a:xfrm>
        <a:prstGeom prst="rect">
          <a:avLst/>
        </a:prstGeom>
      </xdr:spPr>
    </xdr:pic>
    <xdr:clientData/>
  </xdr:twoCellAnchor>
  <xdr:twoCellAnchor editAs="oneCell">
    <xdr:from>
      <xdr:col>16</xdr:col>
      <xdr:colOff>0</xdr:colOff>
      <xdr:row>0</xdr:row>
      <xdr:rowOff>0</xdr:rowOff>
    </xdr:from>
    <xdr:to>
      <xdr:col>23</xdr:col>
      <xdr:colOff>473710</xdr:colOff>
      <xdr:row>25</xdr:row>
      <xdr:rowOff>101072</xdr:rowOff>
    </xdr:to>
    <xdr:pic>
      <xdr:nvPicPr>
        <xdr:cNvPr id="4" name="图片 3"/>
        <xdr:cNvPicPr/>
      </xdr:nvPicPr>
      <xdr:blipFill>
        <a:blip xmlns:r="http://schemas.openxmlformats.org/officeDocument/2006/relationships" r:embed="rId3" cstate="print"/>
        <a:stretch>
          <a:fillRect/>
        </a:stretch>
      </xdr:blipFill>
      <xdr:spPr>
        <a:xfrm>
          <a:off x="10972800" y="0"/>
          <a:ext cx="5274310" cy="4387322"/>
        </a:xfrm>
        <a:prstGeom prst="rect">
          <a:avLst/>
        </a:prstGeom>
      </xdr:spPr>
    </xdr:pic>
    <xdr:clientData/>
  </xdr:twoCellAnchor>
  <xdr:twoCellAnchor editAs="oneCell">
    <xdr:from>
      <xdr:col>0</xdr:col>
      <xdr:colOff>0</xdr:colOff>
      <xdr:row>29</xdr:row>
      <xdr:rowOff>0</xdr:rowOff>
    </xdr:from>
    <xdr:to>
      <xdr:col>7</xdr:col>
      <xdr:colOff>473710</xdr:colOff>
      <xdr:row>52</xdr:row>
      <xdr:rowOff>109444</xdr:rowOff>
    </xdr:to>
    <xdr:pic>
      <xdr:nvPicPr>
        <xdr:cNvPr id="5" name="图片 4"/>
        <xdr:cNvPicPr/>
      </xdr:nvPicPr>
      <xdr:blipFill>
        <a:blip xmlns:r="http://schemas.openxmlformats.org/officeDocument/2006/relationships" r:embed="rId4" cstate="print"/>
        <a:stretch>
          <a:fillRect/>
        </a:stretch>
      </xdr:blipFill>
      <xdr:spPr>
        <a:xfrm>
          <a:off x="0" y="4972050"/>
          <a:ext cx="5274310" cy="4052794"/>
        </a:xfrm>
        <a:prstGeom prst="rect">
          <a:avLst/>
        </a:prstGeom>
      </xdr:spPr>
    </xdr:pic>
    <xdr:clientData/>
  </xdr:twoCellAnchor>
  <xdr:twoCellAnchor editAs="oneCell">
    <xdr:from>
      <xdr:col>7</xdr:col>
      <xdr:colOff>609599</xdr:colOff>
      <xdr:row>27</xdr:row>
      <xdr:rowOff>75682</xdr:rowOff>
    </xdr:from>
    <xdr:to>
      <xdr:col>19</xdr:col>
      <xdr:colOff>352424</xdr:colOff>
      <xdr:row>52</xdr:row>
      <xdr:rowOff>47625</xdr:rowOff>
    </xdr:to>
    <xdr:pic>
      <xdr:nvPicPr>
        <xdr:cNvPr id="126977"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5410199" y="4704832"/>
          <a:ext cx="7972425" cy="4258193"/>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上海出让国有建设用地使用权及在建建筑物房地产抵押价值预评估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叶凌（注册号：1119970111)、杨红英（注册号：1120070085)</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受贵公司委托，我公司对上海出让国有建设用地使用权及在建建筑物房地产抵押价值进行了预评估。</v>
      </c>
    </row>
    <row r="7" spans="1:2" s="1594" customFormat="1">
      <c r="A7" s="1592" t="s">
        <v>1260</v>
      </c>
      <c r="B7" s="1593" t="str">
        <f>'预评函-1'!A7</f>
        <v>估价对象为上海出让国有建设用地使用权及在建建筑物房地产，为所有。根据《国有土地使用证》[]，估价对象（分摊）出让国有建设用地使用权面积为40235平方米，建筑面积为91239.85平方米。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上海出让国有建设用地使用权及在建建筑物房地产,属开发建设的，该项目尚在开发建设中。根据《国有土地使用证》[]，估价对象（分摊）出让国有建设用地使用权面积为40235平方米，规划建筑面积为91239.85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上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2019年3月22日（评估专业人员实地查勘之日）</v>
      </c>
    </row>
    <row r="13" spans="1:2" s="1594" customFormat="1">
      <c r="A13" s="1592" t="s">
        <v>1223</v>
      </c>
      <c r="B13" s="1593" t="str">
        <f>'预评函-1'!A18</f>
        <v>本次估价的“房地产价值”是指在正常市场情况下，在价值时点2019年3月22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82110</v>
      </c>
    </row>
    <row r="21" spans="1:2" s="1594" customFormat="1">
      <c r="A21" s="1592" t="s">
        <v>1231</v>
      </c>
      <c r="B21" s="1593">
        <f ca="1">'预评函-2'!D7</f>
        <v>8999</v>
      </c>
    </row>
    <row r="22" spans="1:2" s="1594" customFormat="1">
      <c r="A22" s="1592" t="s">
        <v>1232</v>
      </c>
      <c r="B22" s="1593" t="str">
        <f ca="1">'预评函-2'!D6</f>
        <v>捌亿贰仟壹佰壹拾万元整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82110</v>
      </c>
    </row>
    <row r="31" spans="1:2" s="1594" customFormat="1">
      <c r="A31" s="1592" t="s">
        <v>1270</v>
      </c>
      <c r="B31" s="1593">
        <f ca="1">'预评函-2'!D15</f>
        <v>8999</v>
      </c>
    </row>
    <row r="32" spans="1:2" s="1594" customFormat="1">
      <c r="A32" s="1592" t="s">
        <v>1237</v>
      </c>
      <c r="B32" s="1593" t="str">
        <f ca="1">'预评函-2'!D14</f>
        <v>捌亿贰仟壹佰壹拾万元整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上海出让国有建设用地使用权及在建建筑物房地产</v>
      </c>
    </row>
    <row r="42" spans="1:2" s="1594" customFormat="1">
      <c r="A42" s="1592" t="s">
        <v>1284</v>
      </c>
      <c r="B42" s="1593" t="str">
        <f>'预评函-3'!B2</f>
        <v>建筑面积</v>
      </c>
    </row>
    <row r="43" spans="1:2" s="1594" customFormat="1">
      <c r="A43" s="1592" t="s">
        <v>1285</v>
      </c>
      <c r="B43" s="1593">
        <f>'预评函-3'!B4</f>
        <v>91239.85</v>
      </c>
    </row>
    <row r="44" spans="1:2" s="1594" customFormat="1">
      <c r="A44" s="1592" t="s">
        <v>1269</v>
      </c>
      <c r="B44" s="1593" t="str">
        <f>'预评函-3'!C2</f>
        <v>(分摊)土地面积</v>
      </c>
    </row>
    <row r="45" spans="1:2" s="1594" customFormat="1">
      <c r="A45" s="1592" t="s">
        <v>1241</v>
      </c>
      <c r="B45" s="1593">
        <f>'预评函-3'!C4</f>
        <v>40235</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叶凌</v>
      </c>
    </row>
    <row r="71" spans="1:2">
      <c r="A71" s="1592" t="s">
        <v>1257</v>
      </c>
      <c r="B71" s="1593">
        <f ca="1">'预评函-4'!B4</f>
        <v>1119970111</v>
      </c>
    </row>
    <row r="72" spans="1:2">
      <c r="A72" s="1592" t="s">
        <v>1258</v>
      </c>
      <c r="B72" s="1601" t="str">
        <f>'预评函-4'!A5</f>
        <v>杨红英</v>
      </c>
    </row>
    <row r="73" spans="1:2" s="1588" customFormat="1" ht="15" thickBot="1">
      <c r="A73" s="1595" t="s">
        <v>1259</v>
      </c>
      <c r="B73" s="1596">
        <f ca="1">'预评函-4'!B5</f>
        <v>1120070085</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F24" sqref="F24"/>
    </sheetView>
  </sheetViews>
  <sheetFormatPr defaultColWidth="9" defaultRowHeight="13.5"/>
  <cols>
    <col min="1" max="1" width="13.5" style="2025" customWidth="1"/>
    <col min="2" max="2" width="23.25" style="1976" customWidth="1"/>
    <col min="3" max="3" width="13" style="2020" customWidth="1"/>
    <col min="4" max="4" width="5.75" style="2017" customWidth="1"/>
    <col min="5" max="5" width="7.125" style="2017" customWidth="1"/>
    <col min="6" max="6" width="10.625" style="2017" customWidth="1"/>
    <col min="7" max="7" width="7.5" style="2017" customWidth="1"/>
    <col min="8" max="8" width="9" style="2020" customWidth="1"/>
    <col min="9" max="9" width="11.625" style="2020" customWidth="1"/>
    <col min="10" max="10" width="9" style="2020" customWidth="1"/>
    <col min="11" max="19" width="9" style="2017" customWidth="1"/>
    <col min="20"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8" t="s">
        <v>3075</v>
      </c>
      <c r="C17" s="2016"/>
    </row>
    <row r="18" spans="1:3">
      <c r="A18" s="2015" t="s">
        <v>1763</v>
      </c>
      <c r="B18" s="2018" t="s">
        <v>3108</v>
      </c>
      <c r="C18" s="2016"/>
    </row>
    <row r="19" spans="1:3">
      <c r="A19" s="2015" t="s">
        <v>1764</v>
      </c>
      <c r="B19" s="2018" t="s">
        <v>3109</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24"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3" t="s">
        <v>861</v>
      </c>
      <c r="C54" s="2020" t="s">
        <v>1277</v>
      </c>
    </row>
    <row r="55" spans="1:4">
      <c r="A55" s="3024"/>
      <c r="B55" s="2023" t="s">
        <v>862</v>
      </c>
      <c r="C55" s="2020" t="s">
        <v>1278</v>
      </c>
    </row>
    <row r="56" spans="1:4">
      <c r="A56" s="3024"/>
      <c r="B56" s="2023" t="s">
        <v>863</v>
      </c>
      <c r="C56" s="2020" t="s">
        <v>1282</v>
      </c>
    </row>
    <row r="57" spans="1:4">
      <c r="A57" s="3024"/>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I9" sqref="I9"/>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1772</v>
      </c>
      <c r="B1" s="3025" t="str">
        <f>IF(B10="北京市","北京市",C10)&amp;F10&amp;IF(结果表!G1="在建","出让国有建设用地使用权及在建建筑物",IF(结果表!G1="土地","出让国有建设用地使用权",))&amp;B9&amp;"预评估"</f>
        <v>上海出让国有建设用地使用权及在建建筑物房地产抵押价值预评估</v>
      </c>
      <c r="C1" s="3026"/>
      <c r="D1" s="3026"/>
      <c r="E1" s="3026"/>
      <c r="F1" s="3026"/>
      <c r="G1" s="3026"/>
      <c r="H1" s="3026"/>
      <c r="I1" s="302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上海出让国有建设用地使用权及在建建筑物房地产抵押价值</v>
      </c>
    </row>
    <row r="2" spans="1:19" ht="18" customHeight="1">
      <c r="A2" s="2027" t="s">
        <v>1773</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上海出让国有建设用地使用权及在建建筑物房地产</v>
      </c>
    </row>
    <row r="3" spans="1:19" ht="18" customHeight="1">
      <c r="A3" s="2036" t="s">
        <v>1774</v>
      </c>
      <c r="B3" s="2037">
        <v>43546</v>
      </c>
      <c r="C3" s="2038" t="s">
        <v>1775</v>
      </c>
      <c r="D3" s="2037">
        <v>43546</v>
      </c>
      <c r="E3" s="2027"/>
      <c r="F3" s="2027"/>
      <c r="G3" s="2027"/>
      <c r="H3" s="2027"/>
      <c r="I3" s="2027"/>
      <c r="J3" s="2027"/>
      <c r="K3" s="2028"/>
      <c r="L3" s="2029"/>
      <c r="M3" s="2029"/>
      <c r="N3" s="2030"/>
      <c r="O3" s="2031"/>
      <c r="P3" s="2030"/>
      <c r="Q3" s="2030"/>
      <c r="R3" s="2030"/>
      <c r="S3" s="2032"/>
    </row>
    <row r="4" spans="1:19" ht="18" customHeight="1" thickBot="1">
      <c r="A4" s="2039" t="s">
        <v>1776</v>
      </c>
      <c r="B4" s="2040" t="s">
        <v>3053</v>
      </c>
      <c r="C4" s="1038">
        <f ca="1">SUMIF(注册房地产估价师,B4,估价师及机构信息!B3:B24)</f>
        <v>1119970111</v>
      </c>
      <c r="D4" s="2040" t="s">
        <v>3054</v>
      </c>
      <c r="E4" s="1039">
        <f ca="1">SUMIF(注册房地产估价师,D4,估价师及机构信息!B3:B24)</f>
        <v>1120070085</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叶凌（注册号：1119970111)、杨红英（注册号：1120070085)</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3055</v>
      </c>
      <c r="C8" s="2057"/>
      <c r="D8" s="3028" t="s">
        <v>1781</v>
      </c>
      <c r="E8" s="2058"/>
      <c r="F8" s="2059"/>
      <c r="G8" s="2027"/>
      <c r="H8" s="2027"/>
      <c r="I8" s="2027"/>
      <c r="J8" s="2043"/>
      <c r="K8" s="2044"/>
      <c r="L8" s="2029"/>
      <c r="M8" s="2029"/>
      <c r="N8" s="2030"/>
      <c r="O8" s="2031"/>
      <c r="P8" s="2030"/>
      <c r="Q8" s="2030"/>
      <c r="R8" s="2030"/>
    </row>
    <row r="9" spans="1:19" ht="18" customHeight="1" thickBot="1">
      <c r="A9" s="2041" t="s">
        <v>1782</v>
      </c>
      <c r="B9" s="2060" t="s">
        <v>3056</v>
      </c>
      <c r="C9" s="2061"/>
      <c r="D9" s="3029"/>
      <c r="E9" s="2060"/>
      <c r="F9" s="2062"/>
      <c r="G9" s="2063"/>
      <c r="H9" s="2063"/>
      <c r="I9" s="2063"/>
      <c r="J9" s="2043"/>
      <c r="K9" s="2055"/>
      <c r="L9" s="2029"/>
      <c r="M9" s="2029"/>
      <c r="N9" s="2030"/>
      <c r="O9" s="2031"/>
      <c r="P9" s="2030"/>
      <c r="Q9" s="2030"/>
      <c r="R9" s="2030"/>
    </row>
    <row r="10" spans="1:19" ht="18" customHeight="1" thickTop="1">
      <c r="A10" s="2064" t="s">
        <v>1783</v>
      </c>
      <c r="B10" s="2065" t="s">
        <v>3057</v>
      </c>
      <c r="C10" s="2954" t="s">
        <v>3058</v>
      </c>
      <c r="D10" s="2048"/>
      <c r="E10" s="2066" t="s">
        <v>1784</v>
      </c>
      <c r="F10" s="2067"/>
      <c r="G10" s="2068"/>
      <c r="H10" s="2069"/>
      <c r="I10" s="2048"/>
      <c r="J10" s="2043"/>
      <c r="K10" s="2055"/>
      <c r="L10" s="2029"/>
      <c r="M10" s="2029"/>
      <c r="N10" s="2030"/>
      <c r="O10" s="2031"/>
      <c r="P10" s="2030"/>
      <c r="Q10" s="2030"/>
      <c r="R10" s="2030"/>
    </row>
    <row r="11" spans="1:19" ht="18" customHeight="1">
      <c r="A11" s="2070" t="s">
        <v>1785</v>
      </c>
      <c r="B11" s="2071" t="s">
        <v>3059</v>
      </c>
      <c r="C11" s="2072"/>
      <c r="D11" s="2073"/>
      <c r="E11" s="2043"/>
      <c r="F11" s="2043"/>
      <c r="G11" s="2043"/>
      <c r="H11" s="2043"/>
      <c r="I11" s="2043"/>
      <c r="J11" s="2043"/>
      <c r="K11" s="2055"/>
      <c r="L11" s="2029"/>
      <c r="M11" s="2029"/>
      <c r="N11" s="2030"/>
      <c r="O11" s="2031"/>
      <c r="P11" s="2030"/>
      <c r="Q11" s="2030"/>
      <c r="R11" s="2030"/>
    </row>
    <row r="12" spans="1:19" ht="18" customHeight="1">
      <c r="A12" s="2074" t="s">
        <v>1786</v>
      </c>
      <c r="B12" s="2071" t="s">
        <v>3060</v>
      </c>
      <c r="C12" s="2075" t="s">
        <v>1787</v>
      </c>
      <c r="D12" s="2076" t="s">
        <v>1788</v>
      </c>
      <c r="E12" s="2076" t="s">
        <v>1789</v>
      </c>
      <c r="F12" s="2076" t="s">
        <v>1790</v>
      </c>
      <c r="G12" s="2076" t="s">
        <v>1791</v>
      </c>
      <c r="H12" s="2076" t="s">
        <v>1792</v>
      </c>
      <c r="I12" s="2076" t="s">
        <v>1793</v>
      </c>
      <c r="J12" s="2043"/>
      <c r="K12" s="2055"/>
      <c r="L12" s="2029"/>
      <c r="M12" s="2029"/>
      <c r="N12" s="2030"/>
      <c r="O12" s="2031"/>
      <c r="P12" s="2030"/>
      <c r="Q12" s="2030"/>
      <c r="R12" s="2030"/>
    </row>
    <row r="13" spans="1:19" ht="18" customHeight="1">
      <c r="A13" s="2077"/>
      <c r="B13" s="2078"/>
      <c r="C13" s="2079" t="s">
        <v>1794</v>
      </c>
      <c r="D13" s="2080"/>
      <c r="E13" s="2080">
        <v>55137</v>
      </c>
      <c r="F13" s="2080"/>
      <c r="G13" s="2080">
        <v>55137</v>
      </c>
      <c r="H13" s="2080">
        <v>55137</v>
      </c>
      <c r="I13" s="1048"/>
      <c r="J13" s="2043"/>
      <c r="K13" s="2055"/>
      <c r="L13" s="2029"/>
      <c r="M13" s="2029"/>
      <c r="N13" s="2030"/>
      <c r="O13" s="2031"/>
      <c r="P13" s="2030"/>
      <c r="Q13" s="2030"/>
      <c r="R13" s="2030"/>
    </row>
    <row r="14" spans="1:19" ht="18" customHeight="1">
      <c r="A14" s="2077"/>
      <c r="B14" s="2078"/>
      <c r="C14" s="2079" t="s">
        <v>1795</v>
      </c>
      <c r="D14" s="1051"/>
      <c r="E14" s="1051">
        <v>40</v>
      </c>
      <c r="F14" s="1051"/>
      <c r="G14" s="1051">
        <v>50</v>
      </c>
      <c r="H14" s="1051">
        <v>50</v>
      </c>
      <c r="I14" s="1051"/>
      <c r="J14" s="2043"/>
      <c r="K14" s="2081"/>
      <c r="L14" s="2029"/>
      <c r="M14" s="2029"/>
      <c r="N14" s="2030"/>
      <c r="O14" s="2031"/>
      <c r="P14" s="2030"/>
      <c r="Q14" s="2030"/>
      <c r="R14" s="2030"/>
    </row>
    <row r="15" spans="1:19" ht="18" customHeight="1">
      <c r="A15" s="2064"/>
      <c r="B15" s="2082"/>
      <c r="C15" s="2079" t="s">
        <v>1796</v>
      </c>
      <c r="D15" s="1050" t="str">
        <f>IF(B12="出让",IF(D13="","",ROUNDDOWN(MIN((D13-$D$3)/365,D14),2)),D14)</f>
        <v/>
      </c>
      <c r="E15" s="1050">
        <f>IF(B12="出让",IF(E13="","",ROUNDDOWN(MIN((E13-$D$3)/365,E14),2)),E14)</f>
        <v>31.75</v>
      </c>
      <c r="F15" s="1050" t="str">
        <f>IF(B12="出让",IF(F13="","",ROUNDDOWN(MIN((F13-$D$3)/365,F14),2)),F14)</f>
        <v/>
      </c>
      <c r="G15" s="1050">
        <f>IF(B12="出让",IF(G13="","",ROUNDDOWN(MIN((G13-$D$3)/365,G14),2)),G14)</f>
        <v>31.75</v>
      </c>
      <c r="H15" s="1050">
        <f>IF(B12="出让",IF(H13="","",ROUNDDOWN(MIN((H13-$D$3)/365,H14),2)),H14)</f>
        <v>31.75</v>
      </c>
      <c r="I15" s="1050" t="str">
        <f>IF(B12="出让",IF(I13="","",ROUNDDOWN(MIN((I13-$D$3)/365,I14),2)),I14)</f>
        <v/>
      </c>
      <c r="J15" s="2043"/>
      <c r="K15" s="2083"/>
      <c r="L15" s="2084"/>
      <c r="M15" s="2084"/>
      <c r="N15" s="2085"/>
      <c r="O15" s="2084"/>
      <c r="P15" s="2085"/>
      <c r="Q15" s="2030"/>
      <c r="R15" s="2030"/>
    </row>
    <row r="16" spans="1:19" ht="30.75" customHeight="1">
      <c r="A16" s="2066" t="s">
        <v>1797</v>
      </c>
      <c r="B16" s="3035"/>
      <c r="C16" s="3036"/>
      <c r="D16" s="3037"/>
      <c r="E16" s="2086" t="s">
        <v>1798</v>
      </c>
      <c r="F16" s="3038"/>
      <c r="G16" s="3039"/>
      <c r="H16" s="3039"/>
      <c r="I16" s="3040"/>
      <c r="J16" s="2030"/>
      <c r="K16" s="2083"/>
      <c r="L16" s="2084"/>
      <c r="M16" s="2084"/>
      <c r="N16" s="2085"/>
      <c r="O16" s="2084"/>
      <c r="P16" s="2085"/>
      <c r="Q16" s="2030"/>
      <c r="R16" s="2030"/>
    </row>
    <row r="17" spans="1:22" ht="18" customHeight="1">
      <c r="A17" s="2087" t="s">
        <v>1799</v>
      </c>
      <c r="B17" s="2036" t="s">
        <v>1800</v>
      </c>
      <c r="C17" s="1055">
        <f>'数据-汇总表'!E3</f>
        <v>91239.85</v>
      </c>
      <c r="D17" s="2088" t="s">
        <v>1801</v>
      </c>
      <c r="E17" s="3041" t="s">
        <v>1802</v>
      </c>
      <c r="F17" s="3042"/>
      <c r="G17" s="3042"/>
      <c r="H17" s="3042"/>
      <c r="I17" s="3043"/>
      <c r="J17" s="2030"/>
      <c r="K17" s="2089"/>
      <c r="L17" s="2084"/>
      <c r="M17" s="2084"/>
      <c r="N17" s="2085"/>
      <c r="O17" s="2084"/>
      <c r="P17" s="2085"/>
      <c r="Q17" s="2030"/>
      <c r="R17" s="2030"/>
      <c r="S17" s="2030"/>
      <c r="T17" s="2030"/>
      <c r="U17" s="2030"/>
      <c r="V17" s="2030"/>
    </row>
    <row r="18" spans="1:22" ht="36" customHeight="1" thickBot="1">
      <c r="A18" s="2090" t="s">
        <v>1803</v>
      </c>
      <c r="B18" s="2039" t="s">
        <v>1804</v>
      </c>
      <c r="C18" s="1445">
        <f>'数据-汇总表'!D3</f>
        <v>40235</v>
      </c>
      <c r="D18" s="2091" t="s">
        <v>1801</v>
      </c>
      <c r="E18" s="3044" t="s">
        <v>1805</v>
      </c>
      <c r="F18" s="3045"/>
      <c r="G18" s="3045"/>
      <c r="H18" s="3045"/>
      <c r="I18" s="3046"/>
      <c r="J18" s="2030"/>
      <c r="K18" s="2089"/>
      <c r="L18" s="2084"/>
      <c r="M18" s="2084"/>
      <c r="N18" s="2085"/>
      <c r="O18" s="2084"/>
      <c r="P18" s="2085"/>
      <c r="Q18" s="2030"/>
      <c r="R18" s="2030"/>
      <c r="S18" s="2030"/>
      <c r="T18" s="2030"/>
      <c r="U18" s="2030"/>
      <c r="V18" s="2030"/>
    </row>
    <row r="19" spans="1:22" ht="37.5" customHeight="1" thickTop="1" thickBot="1">
      <c r="A19" s="372" t="s">
        <v>1806</v>
      </c>
      <c r="B19" s="351" t="s">
        <v>1807</v>
      </c>
      <c r="C19" s="2092"/>
      <c r="D19" s="2093" t="s">
        <v>1808</v>
      </c>
      <c r="E19" s="2094"/>
      <c r="F19" s="2095" t="str">
        <f>IF(AND(C19="是",E19="否"),"是否提供他项权证或相关说明","")</f>
        <v/>
      </c>
      <c r="G19" s="2096"/>
      <c r="H19" s="2043"/>
      <c r="I19" s="2043"/>
      <c r="J19" s="2043"/>
      <c r="K19" s="2055"/>
      <c r="L19" s="2029"/>
      <c r="M19" s="2029"/>
      <c r="N19" s="2085"/>
      <c r="O19" s="2084"/>
      <c r="P19" s="2085"/>
      <c r="Q19" s="2030"/>
      <c r="R19" s="2030"/>
      <c r="S19" s="2030"/>
      <c r="T19" s="2030"/>
      <c r="U19" s="2030"/>
      <c r="V19" s="2030"/>
    </row>
    <row r="20" spans="1:22" ht="18" customHeight="1">
      <c r="A20" s="2097" t="s">
        <v>1809</v>
      </c>
      <c r="B20" s="3031" t="s">
        <v>1810</v>
      </c>
      <c r="C20" s="3032"/>
      <c r="D20" s="3033" t="s">
        <v>1811</v>
      </c>
      <c r="E20" s="3034"/>
      <c r="F20" s="2098" t="s">
        <v>1812</v>
      </c>
      <c r="G20" s="2043"/>
      <c r="H20" s="2043"/>
      <c r="I20" s="2043"/>
      <c r="J20" s="2043"/>
      <c r="K20" s="3030"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1814</v>
      </c>
      <c r="C21" s="2100" t="s">
        <v>1815</v>
      </c>
      <c r="D21" s="2101" t="s">
        <v>1816</v>
      </c>
      <c r="E21" s="2102" t="s">
        <v>1815</v>
      </c>
      <c r="F21" s="2103"/>
      <c r="G21" s="2043"/>
      <c r="H21" s="2043"/>
      <c r="I21" s="2043"/>
      <c r="J21" s="2043"/>
      <c r="K21" s="303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1817</v>
      </c>
      <c r="C22" s="2100" t="s">
        <v>1818</v>
      </c>
      <c r="D22" s="2027"/>
      <c r="E22" s="2027"/>
      <c r="F22" s="2105"/>
      <c r="G22" s="2043"/>
      <c r="H22" s="2043"/>
      <c r="I22" s="2043"/>
      <c r="J22" s="2043"/>
      <c r="K22" s="303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1819</v>
      </c>
      <c r="B23" s="182" t="s">
        <v>1820</v>
      </c>
      <c r="C23" s="2107"/>
      <c r="D23" s="2108" t="s">
        <v>1820</v>
      </c>
      <c r="E23" s="2109"/>
      <c r="F23" s="2105"/>
      <c r="G23" s="2043"/>
      <c r="H23" s="2043"/>
      <c r="I23" s="2043"/>
      <c r="J23" s="2043"/>
      <c r="K23" s="2110"/>
      <c r="L23" s="746"/>
      <c r="M23" s="2029"/>
      <c r="N23" s="2085"/>
      <c r="O23" s="2084"/>
      <c r="P23" s="2085"/>
      <c r="Q23" s="2030"/>
      <c r="R23" s="2030"/>
      <c r="S23" s="2030"/>
      <c r="T23" s="2030"/>
      <c r="U23" s="2030"/>
      <c r="V23" s="2030"/>
    </row>
    <row r="24" spans="1:22" ht="18" customHeight="1">
      <c r="A24" s="2111"/>
      <c r="B24" s="182" t="s">
        <v>1821</v>
      </c>
      <c r="C24" s="2112"/>
      <c r="D24" s="2106" t="s">
        <v>1821</v>
      </c>
      <c r="E24" s="2113"/>
      <c r="F24" s="2105"/>
      <c r="G24" s="2043"/>
      <c r="H24" s="2043"/>
      <c r="I24" s="2043"/>
      <c r="J24" s="2043"/>
      <c r="K24" s="2110"/>
      <c r="L24" s="746"/>
      <c r="M24" s="2029"/>
      <c r="N24" s="2085"/>
      <c r="O24" s="2084"/>
      <c r="P24" s="2085"/>
      <c r="Q24" s="2030"/>
      <c r="R24" s="2030"/>
      <c r="S24" s="2030"/>
      <c r="T24" s="2030"/>
      <c r="U24" s="2030"/>
      <c r="V24" s="2030"/>
    </row>
    <row r="25" spans="1:22" ht="18" customHeight="1">
      <c r="A25" s="2111"/>
      <c r="B25" s="182" t="s">
        <v>1822</v>
      </c>
      <c r="C25" s="2112"/>
      <c r="D25" s="2106" t="s">
        <v>1822</v>
      </c>
      <c r="E25" s="2113"/>
      <c r="F25" s="2105"/>
      <c r="G25" s="2043"/>
      <c r="H25" s="2043"/>
      <c r="I25" s="2043"/>
      <c r="J25" s="2043"/>
      <c r="K25" s="2055"/>
      <c r="L25" s="2029"/>
      <c r="M25" s="2029"/>
      <c r="N25" s="2085"/>
      <c r="O25" s="2084"/>
      <c r="P25" s="2085"/>
      <c r="Q25" s="2030"/>
      <c r="R25" s="2030"/>
      <c r="S25" s="2030"/>
      <c r="T25" s="2030"/>
      <c r="U25" s="2030"/>
      <c r="V25" s="2030"/>
    </row>
    <row r="26" spans="1:22" ht="18" customHeight="1" thickBot="1">
      <c r="A26" s="2114"/>
      <c r="B26" s="2115" t="s">
        <v>1823</v>
      </c>
      <c r="C26" s="2116"/>
      <c r="D26" s="2117" t="s">
        <v>1824</v>
      </c>
      <c r="E26" s="2118"/>
      <c r="F26" s="2119"/>
      <c r="G26" s="2063"/>
      <c r="H26" s="2063"/>
      <c r="I26" s="2063"/>
      <c r="J26" s="2043"/>
      <c r="K26" s="2055"/>
      <c r="L26" s="2029"/>
      <c r="M26" s="2029"/>
      <c r="N26" s="2085"/>
      <c r="O26" s="2084"/>
      <c r="P26" s="2085"/>
      <c r="Q26" s="2030"/>
      <c r="R26" s="2030"/>
      <c r="S26" s="2030"/>
      <c r="T26" s="2030"/>
      <c r="U26" s="2030"/>
      <c r="V26" s="2030"/>
    </row>
    <row r="27" spans="1:22" ht="18" customHeight="1" thickTop="1">
      <c r="A27" s="3048" t="s">
        <v>1825</v>
      </c>
      <c r="B27" s="2064" t="s">
        <v>1826</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48"/>
      <c r="B28" s="2036" t="s">
        <v>1827</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48"/>
      <c r="B29" s="2036" t="s">
        <v>1828</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49"/>
      <c r="B30" s="2036" t="s">
        <v>1829</v>
      </c>
      <c r="C30" s="3050"/>
      <c r="D30" s="3051"/>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52" t="s">
        <v>1830</v>
      </c>
      <c r="B31" s="2127"/>
      <c r="C31" s="2128" t="str">
        <f>IF(B31="现房","成新及维护状况正常否",IF(B31="在建","工程状态是否正常",IF(B31="土地","是否闲置","-")))</f>
        <v>-</v>
      </c>
      <c r="D31" s="2129"/>
      <c r="E31" s="2130"/>
      <c r="F31" s="2043"/>
      <c r="G31" s="2043"/>
      <c r="H31" s="2043"/>
      <c r="I31" s="2043"/>
      <c r="J31" s="2043"/>
      <c r="K31" s="2053"/>
      <c r="L31" s="2029"/>
      <c r="M31" s="2029"/>
      <c r="N31" s="2030"/>
      <c r="O31" s="2031"/>
      <c r="P31" s="2030"/>
      <c r="Q31" s="2030"/>
      <c r="R31" s="2030"/>
      <c r="S31" s="2030"/>
      <c r="T31" s="2030"/>
      <c r="U31" s="2030"/>
      <c r="V31" s="2030"/>
    </row>
    <row r="32" spans="1:22" ht="18" customHeight="1">
      <c r="A32" s="3053"/>
      <c r="B32" s="2127"/>
      <c r="C32" s="2128" t="str">
        <f>IF(B32="现房","成新及维护状况是否正常",IF(B32="在建","工程状态是否正常",IF(B32="土地","是否闲置","-")))</f>
        <v>-</v>
      </c>
      <c r="D32" s="2129"/>
      <c r="E32" s="2130"/>
      <c r="F32" s="2043"/>
      <c r="G32" s="2043"/>
      <c r="H32" s="2043"/>
      <c r="I32" s="2043"/>
      <c r="J32" s="2043"/>
      <c r="K32" s="2055"/>
      <c r="L32" s="2029"/>
      <c r="M32" s="2029"/>
      <c r="N32" s="2030"/>
      <c r="O32" s="2031"/>
      <c r="P32" s="2030"/>
      <c r="Q32" s="2030"/>
      <c r="R32" s="2030"/>
      <c r="S32" s="2030"/>
      <c r="T32" s="2030"/>
      <c r="U32" s="2030"/>
      <c r="V32" s="2030"/>
    </row>
    <row r="33" spans="1:22" ht="18" customHeight="1">
      <c r="A33" s="3053"/>
      <c r="B33" s="2131"/>
      <c r="C33" s="2070" t="str">
        <f>IF(B33="现房","成新及维护状况是否正常",IF(B33="在建","工程状态是否正常",IF(B33="土地","是否闲置","-")))</f>
        <v>-</v>
      </c>
      <c r="D33" s="2132"/>
      <c r="E33" s="2133"/>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4"/>
      <c r="C34" s="2134"/>
      <c r="D34" s="2134"/>
      <c r="E34" s="2134"/>
      <c r="F34" s="2134"/>
      <c r="G34" s="2134"/>
      <c r="H34" s="2134"/>
      <c r="I34" s="2043"/>
      <c r="J34" s="2043"/>
      <c r="K34" s="1796">
        <f>COUNTIF(B34:H34,"——")</f>
        <v>0</v>
      </c>
      <c r="L34" s="2075" t="s">
        <v>1832</v>
      </c>
      <c r="M34" s="2075" t="s">
        <v>1833</v>
      </c>
      <c r="N34" s="2075" t="s">
        <v>1834</v>
      </c>
      <c r="O34" s="2075" t="s">
        <v>1835</v>
      </c>
      <c r="P34" s="2075" t="s">
        <v>1836</v>
      </c>
      <c r="Q34" s="2075" t="s">
        <v>1837</v>
      </c>
      <c r="R34" s="2075" t="s">
        <v>1838</v>
      </c>
      <c r="S34" s="3047" t="s">
        <v>1839</v>
      </c>
      <c r="T34" s="2135" t="str">
        <f>NUMBERSTRING(7-K34,1)&amp;"通"</f>
        <v>七通</v>
      </c>
      <c r="U34" s="2030"/>
      <c r="V34" s="2030"/>
    </row>
    <row r="35" spans="1:22" ht="18" customHeight="1">
      <c r="A35" s="2136"/>
      <c r="B35" s="3054" t="s">
        <v>1840</v>
      </c>
      <c r="C35" s="3054"/>
      <c r="D35" s="3054"/>
      <c r="E35" s="3054"/>
      <c r="F35" s="2137" t="str">
        <f>C10</f>
        <v>上海</v>
      </c>
      <c r="G35" s="2043"/>
      <c r="H35" s="2043"/>
      <c r="I35" s="2043"/>
      <c r="J35" s="2043"/>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7"/>
      <c r="T35" s="47" t="str">
        <f>IF(T34="一通",L35,IF(T34="二通",M35,IF(T34="三通",N35,IF(T34="四通",O35,IF(T34="五通",P35,IF(T34="六通",Q35,R35))))))</f>
        <v>、、、、、、</v>
      </c>
      <c r="U35" s="2030"/>
      <c r="V35" s="2030"/>
    </row>
    <row r="36" spans="1:22" ht="18" customHeight="1">
      <c r="A36" s="2138"/>
      <c r="B36" s="2137" t="s">
        <v>1841</v>
      </c>
      <c r="C36" s="2137" t="s">
        <v>1842</v>
      </c>
      <c r="D36" s="2137" t="s">
        <v>1843</v>
      </c>
      <c r="E36" s="2137" t="s">
        <v>1844</v>
      </c>
      <c r="F36" s="2139"/>
      <c r="G36" s="2043"/>
      <c r="H36" s="2043"/>
      <c r="I36" s="2043"/>
      <c r="J36" s="2043"/>
      <c r="K36" s="2055"/>
      <c r="L36" s="2029"/>
      <c r="M36" s="2029"/>
      <c r="N36" s="2030"/>
      <c r="O36" s="2031"/>
      <c r="P36" s="2030"/>
      <c r="Q36" s="2030"/>
      <c r="R36" s="2030"/>
      <c r="S36" s="2030"/>
      <c r="T36" s="2030"/>
      <c r="U36" s="2030"/>
      <c r="V36" s="2030"/>
    </row>
    <row r="37" spans="1:22" ht="18" customHeight="1">
      <c r="A37" s="2140" t="s">
        <v>1845</v>
      </c>
      <c r="B37" s="2141"/>
      <c r="C37" s="2141"/>
      <c r="D37" s="2141"/>
      <c r="E37" s="2141"/>
      <c r="F37" s="2139"/>
      <c r="G37" s="2043"/>
      <c r="H37" s="2043"/>
      <c r="I37" s="2043"/>
      <c r="J37" s="2043"/>
      <c r="K37" s="2055"/>
      <c r="L37" s="2029"/>
      <c r="M37" s="2029"/>
      <c r="N37" s="2030"/>
      <c r="O37" s="2031"/>
      <c r="P37" s="2030"/>
      <c r="Q37" s="2030"/>
      <c r="R37" s="2030"/>
      <c r="S37" s="2030"/>
      <c r="T37" s="2030"/>
      <c r="U37" s="2030"/>
      <c r="V37" s="2030"/>
    </row>
    <row r="38" spans="1:22" ht="18" customHeight="1" thickBot="1">
      <c r="A38" s="2142" t="s">
        <v>1846</v>
      </c>
      <c r="B38" s="2143"/>
      <c r="C38" s="2143"/>
      <c r="D38" s="2143"/>
      <c r="E38" s="2143"/>
      <c r="F38" s="2144"/>
      <c r="G38" s="2063"/>
      <c r="H38" s="2063"/>
      <c r="I38" s="2063"/>
      <c r="J38" s="2043"/>
      <c r="K38" s="2055"/>
      <c r="L38" s="2029"/>
      <c r="M38" s="2029"/>
      <c r="N38" s="2030"/>
      <c r="O38" s="2031"/>
      <c r="P38" s="2030"/>
      <c r="Q38" s="2030"/>
      <c r="R38" s="2030"/>
      <c r="S38" s="2030"/>
      <c r="T38" s="2030"/>
      <c r="U38" s="2030"/>
      <c r="V38" s="2030"/>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4"/>
      <c r="L40" s="2084"/>
      <c r="M40" s="2084"/>
      <c r="N40" s="2085"/>
      <c r="O40" s="2084"/>
      <c r="P40" s="2030"/>
      <c r="Q40" s="2030"/>
      <c r="R40" s="2030"/>
      <c r="S40" s="2030"/>
      <c r="T40" s="2030"/>
      <c r="U40" s="2030"/>
      <c r="V40" s="2030"/>
    </row>
    <row r="41" spans="1:22" ht="18" customHeight="1">
      <c r="A41" s="8" t="s">
        <v>1848</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1849</v>
      </c>
      <c r="B42" s="1796" t="s">
        <v>1850</v>
      </c>
      <c r="C42" s="1796" t="s">
        <v>1851</v>
      </c>
      <c r="D42" s="1796" t="s">
        <v>1852</v>
      </c>
      <c r="E42" s="1796" t="s">
        <v>1853</v>
      </c>
      <c r="F42" s="1796" t="s">
        <v>1854</v>
      </c>
      <c r="G42" s="1796" t="s">
        <v>1855</v>
      </c>
      <c r="H42" s="1796" t="s">
        <v>1856</v>
      </c>
      <c r="I42" s="1796" t="s">
        <v>1857</v>
      </c>
      <c r="J42" s="2153" t="s">
        <v>1858</v>
      </c>
      <c r="K42" s="2076" t="s">
        <v>1859</v>
      </c>
      <c r="L42" s="2076" t="s">
        <v>1860</v>
      </c>
      <c r="M42" s="2076" t="s">
        <v>1861</v>
      </c>
      <c r="N42" s="1796" t="s">
        <v>1862</v>
      </c>
      <c r="O42" s="1796" t="s">
        <v>1863</v>
      </c>
      <c r="P42" s="1796" t="s">
        <v>1864</v>
      </c>
      <c r="Q42" s="2075" t="s">
        <v>1865</v>
      </c>
      <c r="R42" s="2075" t="s">
        <v>1866</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82" zoomScaleNormal="100" zoomScaleSheetLayoutView="100" zoomScalePageLayoutView="80" workbookViewId="0">
      <selection activeCell="C85" sqref="C85:C97"/>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6" t="s">
        <v>2118</v>
      </c>
      <c r="B1" s="2419"/>
      <c r="C1" s="2420"/>
      <c r="D1" s="2419"/>
      <c r="E1" s="2419"/>
      <c r="F1" s="2421" t="s">
        <v>2119</v>
      </c>
      <c r="G1" s="2071" t="s">
        <v>2120</v>
      </c>
      <c r="H1" s="2422" t="str">
        <f>IF(G1="现房","——","估价对象范围")</f>
        <v>估价对象范围</v>
      </c>
      <c r="I1" s="2423" t="s">
        <v>70</v>
      </c>
    </row>
    <row r="2" spans="1:12" ht="21.75" customHeight="1" thickBot="1">
      <c r="A2" s="3129" t="str">
        <f>项目基本情况!S2</f>
        <v>上海出让国有建设用地使用权及在建建筑物房地产</v>
      </c>
      <c r="B2" s="3130"/>
      <c r="C2" s="3130"/>
      <c r="D2" s="3130"/>
      <c r="E2" s="3130"/>
      <c r="F2" s="3130"/>
      <c r="G2" s="3130"/>
      <c r="H2" s="3130"/>
      <c r="I2" s="3131"/>
    </row>
    <row r="3" spans="1:12" ht="12.75">
      <c r="A3" s="3132" t="s">
        <v>2121</v>
      </c>
      <c r="B3" s="3133"/>
      <c r="C3" s="3133"/>
      <c r="D3" s="3133"/>
      <c r="E3" s="3133"/>
      <c r="F3" s="3133"/>
      <c r="G3" s="3133"/>
      <c r="H3" s="3133"/>
      <c r="I3" s="3133"/>
    </row>
    <row r="4" spans="1:12" ht="14.25">
      <c r="A4" s="2426" t="s">
        <v>2122</v>
      </c>
      <c r="B4" s="2427" t="s">
        <v>2123</v>
      </c>
      <c r="C4" s="2428" t="s">
        <v>3067</v>
      </c>
      <c r="D4" s="2428" t="s">
        <v>3076</v>
      </c>
      <c r="E4" s="3113" t="s">
        <v>2124</v>
      </c>
      <c r="F4" s="3126"/>
      <c r="G4" s="3126"/>
      <c r="H4" s="3126"/>
      <c r="I4" s="311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04" t="s">
        <v>2125</v>
      </c>
      <c r="B5" s="3047">
        <v>25</v>
      </c>
      <c r="C5" s="3134">
        <v>6</v>
      </c>
      <c r="D5" s="3122">
        <f>10-C5</f>
        <v>4</v>
      </c>
      <c r="E5" s="139" t="s">
        <v>2126</v>
      </c>
      <c r="F5" s="2430"/>
      <c r="G5" s="2430"/>
      <c r="H5" s="2430"/>
      <c r="I5" s="1832"/>
    </row>
    <row r="6" spans="1:12" ht="12.75">
      <c r="A6" s="3104"/>
      <c r="B6" s="3047"/>
      <c r="C6" s="3136"/>
      <c r="D6" s="3122"/>
      <c r="E6" s="139" t="s">
        <v>2127</v>
      </c>
      <c r="F6" s="2430"/>
      <c r="G6" s="2430"/>
      <c r="H6" s="2430"/>
      <c r="I6" s="1832"/>
    </row>
    <row r="7" spans="1:12" ht="12.75">
      <c r="A7" s="3104"/>
      <c r="B7" s="3047"/>
      <c r="C7" s="3135"/>
      <c r="D7" s="3122"/>
      <c r="E7" s="139" t="s">
        <v>2128</v>
      </c>
      <c r="F7" s="2430"/>
      <c r="G7" s="2430"/>
      <c r="H7" s="2430"/>
      <c r="I7" s="1832"/>
    </row>
    <row r="8" spans="1:12" ht="12.75">
      <c r="A8" s="3104" t="s">
        <v>2129</v>
      </c>
      <c r="B8" s="3047">
        <v>15</v>
      </c>
      <c r="C8" s="3134"/>
      <c r="D8" s="3122"/>
      <c r="E8" s="139" t="s">
        <v>2130</v>
      </c>
      <c r="F8" s="2430"/>
      <c r="G8" s="2430"/>
      <c r="H8" s="2430"/>
      <c r="I8" s="1832"/>
    </row>
    <row r="9" spans="1:12" ht="12.75">
      <c r="A9" s="3104"/>
      <c r="B9" s="3047"/>
      <c r="C9" s="3135"/>
      <c r="D9" s="3122"/>
      <c r="E9" s="139" t="s">
        <v>2131</v>
      </c>
      <c r="F9" s="2430"/>
      <c r="G9" s="2430"/>
      <c r="H9" s="2430"/>
      <c r="I9" s="1832"/>
    </row>
    <row r="10" spans="1:12" ht="12.75">
      <c r="A10" s="3104" t="s">
        <v>2132</v>
      </c>
      <c r="B10" s="3047">
        <v>15</v>
      </c>
      <c r="C10" s="3134"/>
      <c r="D10" s="3122"/>
      <c r="E10" s="139" t="s">
        <v>2133</v>
      </c>
      <c r="F10" s="2430"/>
      <c r="G10" s="2430"/>
      <c r="H10" s="2430"/>
      <c r="I10" s="1832"/>
    </row>
    <row r="11" spans="1:12" ht="12.75">
      <c r="A11" s="3104"/>
      <c r="B11" s="3047"/>
      <c r="C11" s="3135"/>
      <c r="D11" s="3122"/>
      <c r="E11" s="139" t="s">
        <v>2134</v>
      </c>
      <c r="F11" s="2430"/>
      <c r="G11" s="2430"/>
      <c r="H11" s="2430"/>
      <c r="I11" s="1832"/>
    </row>
    <row r="12" spans="1:12" ht="12.75">
      <c r="A12" s="3104" t="s">
        <v>2135</v>
      </c>
      <c r="B12" s="3047">
        <v>15</v>
      </c>
      <c r="C12" s="3134"/>
      <c r="D12" s="3122"/>
      <c r="E12" s="139" t="s">
        <v>2136</v>
      </c>
      <c r="F12" s="2430"/>
      <c r="G12" s="2430"/>
      <c r="H12" s="2430"/>
      <c r="I12" s="1832"/>
    </row>
    <row r="13" spans="1:12" ht="12.75">
      <c r="A13" s="3104"/>
      <c r="B13" s="3047"/>
      <c r="C13" s="3135"/>
      <c r="D13" s="3122"/>
      <c r="E13" s="139" t="s">
        <v>2137</v>
      </c>
      <c r="F13" s="2430"/>
      <c r="G13" s="2430"/>
      <c r="H13" s="2430"/>
      <c r="I13" s="1832"/>
    </row>
    <row r="14" spans="1:12" ht="12.75">
      <c r="A14" s="3104" t="s">
        <v>2138</v>
      </c>
      <c r="B14" s="3047">
        <v>30</v>
      </c>
      <c r="C14" s="3134"/>
      <c r="D14" s="3122"/>
      <c r="E14" s="139" t="s">
        <v>2139</v>
      </c>
      <c r="F14" s="2430"/>
      <c r="G14" s="2430"/>
      <c r="H14" s="2430"/>
      <c r="I14" s="1832"/>
    </row>
    <row r="15" spans="1:12" ht="12.75">
      <c r="A15" s="3104"/>
      <c r="B15" s="3047"/>
      <c r="C15" s="3136"/>
      <c r="D15" s="3122"/>
      <c r="E15" s="139" t="s">
        <v>2140</v>
      </c>
      <c r="F15" s="2430"/>
      <c r="G15" s="2430"/>
      <c r="H15" s="2430"/>
      <c r="I15" s="1832"/>
    </row>
    <row r="16" spans="1:12" ht="12.75">
      <c r="A16" s="3104"/>
      <c r="B16" s="3047"/>
      <c r="C16" s="3135"/>
      <c r="D16" s="3122"/>
      <c r="E16" s="139" t="s">
        <v>2141</v>
      </c>
      <c r="F16" s="2430"/>
      <c r="G16" s="2430"/>
      <c r="H16" s="2430"/>
      <c r="I16" s="1832"/>
    </row>
    <row r="17" spans="1:35" ht="15">
      <c r="A17" s="2431" t="s">
        <v>2142</v>
      </c>
      <c r="B17" s="63"/>
      <c r="C17" s="140">
        <f>SUM(C5:C16)</f>
        <v>6</v>
      </c>
      <c r="D17" s="140">
        <f>SUM(D5:D16)</f>
        <v>4</v>
      </c>
      <c r="E17" s="137"/>
      <c r="F17" s="137"/>
      <c r="G17" s="137"/>
      <c r="H17" s="137"/>
      <c r="I17" s="137"/>
      <c r="K17" s="2429"/>
      <c r="L17" s="2432" t="s">
        <v>2143</v>
      </c>
      <c r="M17" s="2432" t="s">
        <v>2144</v>
      </c>
    </row>
    <row r="18" spans="1:35" ht="15.75" thickBot="1">
      <c r="A18" s="2433" t="s">
        <v>2145</v>
      </c>
      <c r="B18" s="2434"/>
      <c r="C18" s="141">
        <f>ROUND(C17/SUM(C17:D17),2)</f>
        <v>0.6</v>
      </c>
      <c r="D18" s="141">
        <f>1-C18</f>
        <v>0.4</v>
      </c>
      <c r="E18" s="137"/>
      <c r="F18" s="137"/>
      <c r="G18" s="137"/>
      <c r="H18" s="137"/>
      <c r="I18" s="137"/>
      <c r="K18" s="2429" t="s">
        <v>2146</v>
      </c>
      <c r="L18" s="2429">
        <f>IF(C1="",'数据-汇总表'!E3,SUMIF(项目类型,C1,'数据-汇总表'!E17:E26)+SUMIF(项目类型,C1,'数据-汇总表'!I17:I26))</f>
        <v>91239.85</v>
      </c>
      <c r="M18" s="2429">
        <f>IF(C1="",'数据-汇总表'!E3,SUMIF(项目类型,C1,'数据-汇总表'!E17:E26))</f>
        <v>91239.85</v>
      </c>
    </row>
    <row r="19" spans="1:35" ht="15">
      <c r="A19" s="2435" t="s">
        <v>2147</v>
      </c>
      <c r="B19" s="2436" t="s">
        <v>2148</v>
      </c>
      <c r="C19" s="142">
        <f ca="1">SUMIF(INDIRECT("'"&amp;C4&amp;"'"&amp;"!A:A"),结果表!B19,INDIRECT("'"&amp;C4&amp;"'"&amp;"!B:B"))</f>
        <v>89285</v>
      </c>
      <c r="D19" s="143">
        <f ca="1">SUMIF(INDIRECT("'"&amp;D4&amp;"'"&amp;"!A:A"),结果表!B19,INDIRECT("'"&amp;D4&amp;"'"&amp;"!B:B"))</f>
        <v>71348</v>
      </c>
      <c r="E19" s="2435" t="s">
        <v>2149</v>
      </c>
      <c r="F19" s="2436" t="s">
        <v>2148</v>
      </c>
      <c r="G19" s="144">
        <f ca="1">ROUND(C19*$C$18+D19*$D$18,0)</f>
        <v>82110</v>
      </c>
      <c r="H19" s="2437" t="s">
        <v>2150</v>
      </c>
      <c r="I19" s="137"/>
      <c r="K19" s="2429" t="s">
        <v>2151</v>
      </c>
      <c r="L19" s="2429">
        <f>IF(C1="",'数据-汇总表'!D3,SUMIF(项目类型,C1,'数据-汇总表'!D17:D26)+SUMIF(项目类型,C1,'数据-汇总表'!H17:H27))</f>
        <v>40235</v>
      </c>
      <c r="M19" s="2429">
        <f>IF(C1="",'数据-汇总表'!D3,SUMIF(项目类型,C1,'数据-汇总表'!D17:D26))</f>
        <v>40235</v>
      </c>
    </row>
    <row r="20" spans="1:35" ht="15">
      <c r="A20" s="2438"/>
      <c r="B20" s="1248" t="s">
        <v>2152</v>
      </c>
      <c r="C20" s="145">
        <f ca="1">SUMIF(INDIRECT("'"&amp;C4&amp;"'"&amp;"!A:A"),结果表!B20,INDIRECT("'"&amp;C4&amp;"'"&amp;"!B:B"))</f>
        <v>9786</v>
      </c>
      <c r="D20" s="146">
        <f ca="1">SUMIF(INDIRECT("'"&amp;D4&amp;"'"&amp;"!A:A"),结果表!B20,INDIRECT("'"&amp;D4&amp;"'"&amp;"!B:B"))</f>
        <v>7820</v>
      </c>
      <c r="E20" s="2438"/>
      <c r="F20" s="1248" t="s">
        <v>2152</v>
      </c>
      <c r="G20" s="147">
        <f ca="1">ROUND(C20*$C$18+D20*$D$18,0)</f>
        <v>9000</v>
      </c>
      <c r="H20" s="981" t="s">
        <v>2153</v>
      </c>
      <c r="I20" s="137"/>
    </row>
    <row r="21" spans="1:35" ht="15" customHeight="1" thickBot="1">
      <c r="A21" s="1001"/>
      <c r="B21" s="2439" t="s">
        <v>2154</v>
      </c>
      <c r="C21" s="787">
        <f ca="1">ROUND(C19*10000/L19,0)</f>
        <v>22191</v>
      </c>
      <c r="D21" s="788">
        <f ca="1">ROUND(D19*10000/L19,0)</f>
        <v>17733</v>
      </c>
      <c r="E21" s="1001"/>
      <c r="F21" s="2439" t="s">
        <v>2154</v>
      </c>
      <c r="G21" s="148">
        <f ca="1">ROUND(G19*10000/L19,0)</f>
        <v>20408</v>
      </c>
      <c r="H21" s="2440" t="s">
        <v>2153</v>
      </c>
      <c r="I21" s="137"/>
    </row>
    <row r="22" spans="1:35" ht="15" thickBot="1">
      <c r="A22" s="2281" t="s">
        <v>2155</v>
      </c>
      <c r="B22" s="2441"/>
      <c r="C22" s="2442"/>
      <c r="D22" s="789">
        <f ca="1">IF(C19&lt;D19,D19/C19-1,C19/D19-1)</f>
        <v>0.25140158098334919</v>
      </c>
      <c r="E22" s="137"/>
      <c r="F22" s="137"/>
      <c r="G22" s="137"/>
      <c r="H22" s="137"/>
      <c r="I22" s="137"/>
    </row>
    <row r="23" spans="1:35" ht="13.5" thickBot="1">
      <c r="A23" s="2419"/>
      <c r="B23" s="2419"/>
      <c r="C23" s="2419"/>
      <c r="D23" s="2419"/>
      <c r="E23" s="137"/>
      <c r="F23" s="137"/>
      <c r="G23" s="137"/>
      <c r="H23" s="137"/>
      <c r="I23" s="137"/>
    </row>
    <row r="24" spans="1:35" ht="14.25">
      <c r="A24" s="3143" t="s">
        <v>2156</v>
      </c>
      <c r="B24" s="2436" t="s">
        <v>2148</v>
      </c>
      <c r="C24" s="144">
        <f>IF(B30=0,0,D30)</f>
        <v>0</v>
      </c>
      <c r="D24" s="2443"/>
      <c r="E24" s="137"/>
      <c r="F24" s="137"/>
      <c r="G24" s="137"/>
      <c r="H24" s="137"/>
      <c r="I24" s="137"/>
    </row>
    <row r="25" spans="1:35" ht="14.25">
      <c r="A25" s="3144"/>
      <c r="B25" s="1248" t="s">
        <v>2152</v>
      </c>
      <c r="C25" s="149">
        <f>IF(B30=0,0,C30)</f>
        <v>0</v>
      </c>
      <c r="D25" s="2444"/>
      <c r="E25" s="137"/>
      <c r="F25" s="137"/>
      <c r="G25" s="137"/>
      <c r="H25" s="137"/>
      <c r="I25" s="137"/>
    </row>
    <row r="26" spans="1:35" ht="13.5" customHeight="1">
      <c r="A26" s="2445" t="s">
        <v>2157</v>
      </c>
      <c r="B26" s="150" t="s">
        <v>2158</v>
      </c>
      <c r="C26" s="150" t="s">
        <v>2159</v>
      </c>
      <c r="D26" s="151" t="s">
        <v>2160</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2161</v>
      </c>
      <c r="B30" s="150"/>
      <c r="C30" s="150"/>
      <c r="D30" s="150"/>
      <c r="E30" s="2926" t="s">
        <v>3036</v>
      </c>
      <c r="F30" s="137"/>
      <c r="G30" s="137"/>
      <c r="H30" s="137"/>
      <c r="I30" s="137"/>
    </row>
    <row r="31" spans="1:35" s="2447" customFormat="1" ht="15"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2162</v>
      </c>
      <c r="B32" s="2449"/>
      <c r="C32" s="152">
        <f ca="1">IF(D32="总价",G19-C24,G20-C25)</f>
        <v>82110</v>
      </c>
      <c r="D32" s="2450" t="s">
        <v>2163</v>
      </c>
      <c r="E32" s="137"/>
      <c r="F32" s="137"/>
      <c r="G32" s="137"/>
      <c r="H32" s="137"/>
      <c r="I32" s="137"/>
    </row>
    <row r="33" spans="1:15" ht="15">
      <c r="A33" s="958" t="s">
        <v>2164</v>
      </c>
      <c r="B33" s="2451"/>
      <c r="C33" s="2452"/>
      <c r="D33" s="2453"/>
      <c r="E33" s="2454" t="s">
        <v>2165</v>
      </c>
      <c r="F33" s="2455" t="str">
        <f>IF(D32="楼面单价","取值（单价）","取值（总价）")</f>
        <v>取值（总价）</v>
      </c>
      <c r="G33" s="137"/>
      <c r="H33" s="137"/>
      <c r="I33" s="137"/>
    </row>
    <row r="34" spans="1:15" ht="15">
      <c r="A34" s="2456"/>
      <c r="B34" s="2457" t="s">
        <v>2166</v>
      </c>
      <c r="C34" s="156" t="e">
        <f ca="1">IF(C33="自定义",F34,C32-C35)</f>
        <v>#REF!</v>
      </c>
      <c r="D34" s="1056" t="e">
        <f ca="1">IF(C33="自定义",ROUND(C34/C32,3),IF(C33="收益比率",SUMIF(INDIRECT("'"&amp;D33&amp;"'"&amp;"!b:b"),"土地收益比率",INDIRECT("'"&amp;D33&amp;"'"&amp;"!c:c")),SUMIF(INDIRECT("'"&amp;D33&amp;"'"&amp;"!b:b"),"土地成本比率",INDIRECT("'"&amp;D33&amp;"'"&amp;"!c:c"))))</f>
        <v>#REF!</v>
      </c>
      <c r="E34" s="2458" t="s">
        <v>2167</v>
      </c>
      <c r="F34" s="1737"/>
      <c r="G34" s="137"/>
      <c r="H34" s="137"/>
      <c r="I34" s="137"/>
    </row>
    <row r="35" spans="1:15" ht="15.75" thickBot="1">
      <c r="A35" s="2459"/>
      <c r="B35" s="2460" t="s">
        <v>2168</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1" t="s">
        <v>2169</v>
      </c>
      <c r="F35" s="162"/>
      <c r="G35" s="137"/>
      <c r="H35" s="137"/>
      <c r="I35" s="137"/>
    </row>
    <row r="36" spans="1:15" ht="15.75" thickBot="1">
      <c r="A36" s="3123" t="s">
        <v>2170</v>
      </c>
      <c r="B36" s="2462" t="s">
        <v>2171</v>
      </c>
      <c r="C36" s="153"/>
      <c r="D36" s="2463"/>
      <c r="E36" s="2464"/>
      <c r="F36" s="2465"/>
      <c r="G36" s="137"/>
      <c r="H36" s="137"/>
      <c r="I36" s="137"/>
    </row>
    <row r="37" spans="1:15" ht="15.75" thickBot="1">
      <c r="A37" s="3124"/>
      <c r="B37" s="2267" t="s">
        <v>2172</v>
      </c>
      <c r="C37" s="155"/>
      <c r="D37" s="1393"/>
      <c r="E37" s="1393"/>
      <c r="F37" s="2465"/>
      <c r="G37" s="137"/>
      <c r="H37" s="137"/>
      <c r="I37" s="137"/>
    </row>
    <row r="38" spans="1:15" ht="15.75" thickBot="1">
      <c r="A38" s="3125"/>
      <c r="B38" s="2466" t="s">
        <v>2173</v>
      </c>
      <c r="C38" s="725"/>
      <c r="D38" s="2467" t="s">
        <v>2174</v>
      </c>
      <c r="E38" s="1393"/>
      <c r="F38" s="2465"/>
      <c r="G38" s="137"/>
      <c r="H38" s="137"/>
      <c r="I38" s="137"/>
    </row>
    <row r="39" spans="1:15" ht="15">
      <c r="A39" s="2438" t="s">
        <v>2175</v>
      </c>
      <c r="B39" s="2468" t="s">
        <v>2176</v>
      </c>
      <c r="C39" s="2469" t="s">
        <v>2177</v>
      </c>
      <c r="D39" s="2469" t="s">
        <v>2178</v>
      </c>
      <c r="E39" s="2470" t="s">
        <v>2179</v>
      </c>
      <c r="F39" s="2465"/>
      <c r="G39" s="137"/>
      <c r="H39" s="137"/>
      <c r="I39" s="137"/>
    </row>
    <row r="40" spans="1:15" ht="14.25">
      <c r="A40" s="2471" t="s">
        <v>2180</v>
      </c>
      <c r="B40" s="157"/>
      <c r="C40" s="158"/>
      <c r="D40" s="158"/>
      <c r="E40" s="159"/>
      <c r="F40" s="2465"/>
      <c r="G40" s="137"/>
      <c r="H40" s="137"/>
      <c r="I40" s="137"/>
    </row>
    <row r="41" spans="1:15" ht="14.25">
      <c r="A41" s="2471" t="s">
        <v>2181</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6"/>
      <c r="B43" s="2166"/>
      <c r="C43" s="2166"/>
      <c r="D43" s="2166"/>
      <c r="E43" s="2166"/>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140" t="s">
        <v>2184</v>
      </c>
      <c r="B45" s="3141"/>
      <c r="C45" s="3142"/>
      <c r="D45" s="163">
        <f ca="1">ROUND(H101*F45,0)</f>
        <v>82110</v>
      </c>
      <c r="E45" s="164" t="s">
        <v>2185</v>
      </c>
      <c r="F45" s="165">
        <v>1</v>
      </c>
      <c r="G45" s="166" t="s">
        <v>2186</v>
      </c>
      <c r="H45" s="137"/>
      <c r="I45" s="137"/>
      <c r="J45" s="3057" t="s">
        <v>2187</v>
      </c>
      <c r="K45" s="3057"/>
      <c r="L45" s="3057"/>
      <c r="M45" s="3057"/>
      <c r="N45" s="3057"/>
      <c r="O45" s="3057"/>
    </row>
    <row r="46" spans="1:15" ht="14.25" customHeight="1">
      <c r="A46" s="3137" t="s">
        <v>2188</v>
      </c>
      <c r="B46" s="3138"/>
      <c r="C46" s="3138"/>
      <c r="D46" s="3138"/>
      <c r="E46" s="3138"/>
      <c r="F46" s="3138"/>
      <c r="G46" s="3139"/>
      <c r="H46" s="2481"/>
      <c r="I46" s="167"/>
      <c r="J46" s="1810">
        <v>1</v>
      </c>
      <c r="K46" s="3057" t="s">
        <v>2189</v>
      </c>
      <c r="L46" s="3057"/>
      <c r="M46" s="3058"/>
      <c r="N46" s="3058"/>
      <c r="O46" s="3058"/>
    </row>
    <row r="47" spans="1:15" ht="12" customHeight="1">
      <c r="A47" s="168" t="s">
        <v>2190</v>
      </c>
      <c r="B47" s="169"/>
      <c r="C47" s="170"/>
      <c r="D47" s="171" t="s">
        <v>2191</v>
      </c>
      <c r="E47" s="23" t="s">
        <v>2192</v>
      </c>
      <c r="F47" s="172" t="s">
        <v>2193</v>
      </c>
      <c r="G47" s="173" t="s">
        <v>2194</v>
      </c>
      <c r="H47" s="2481"/>
      <c r="I47" s="167"/>
      <c r="J47" s="1810">
        <v>2</v>
      </c>
      <c r="K47" s="3057" t="s">
        <v>2195</v>
      </c>
      <c r="L47" s="3057"/>
      <c r="M47" s="3059">
        <f>'数据-取费表'!B2</f>
        <v>43546</v>
      </c>
      <c r="N47" s="3059"/>
      <c r="O47" s="3059"/>
    </row>
    <row r="48" spans="1:15" ht="25.5">
      <c r="A48" s="3127" t="s">
        <v>2196</v>
      </c>
      <c r="B48" s="3128"/>
      <c r="C48" s="3128"/>
      <c r="D48" s="139">
        <f ca="1">IF(H48="情况1",0,IF(H48="情况2",D52,IF(H48="情况3",D53,IF(H48="情况4",D54))))</f>
        <v>4379</v>
      </c>
      <c r="E48" s="1799" t="str">
        <f>IF(H48="情况4","(销售额-原购置价)×税（费）率","销售额×税（费）率")</f>
        <v>销售额×税（费）率</v>
      </c>
      <c r="F48" s="174">
        <f>IF(H48="情况1","免征",'数据-取费表'!B41)</f>
        <v>5.6000000000000001E-2</v>
      </c>
      <c r="G48" s="2482" t="s">
        <v>2197</v>
      </c>
      <c r="H48" s="2483" t="s">
        <v>3077</v>
      </c>
      <c r="I48" s="2481"/>
      <c r="J48" s="1810">
        <v>3</v>
      </c>
      <c r="K48" s="3057" t="s">
        <v>2198</v>
      </c>
      <c r="L48" s="3057"/>
      <c r="M48" s="3060">
        <f ca="1">H101</f>
        <v>82110</v>
      </c>
      <c r="N48" s="3060"/>
      <c r="O48" s="3060"/>
    </row>
    <row r="49" spans="1:35" ht="25.5" customHeight="1">
      <c r="A49" s="175" t="s">
        <v>2199</v>
      </c>
      <c r="B49" s="3107" t="s">
        <v>2200</v>
      </c>
      <c r="C49" s="3107"/>
      <c r="D49" s="176">
        <v>0</v>
      </c>
      <c r="E49" s="22" t="s">
        <v>2201</v>
      </c>
      <c r="F49" s="27" t="s">
        <v>34</v>
      </c>
      <c r="G49" s="3088"/>
      <c r="H49" s="137"/>
      <c r="I49" s="2484"/>
      <c r="J49" s="1810">
        <v>4</v>
      </c>
      <c r="K49" s="3057" t="str">
        <f>IF(项目基本情况!E8="房地产抵押价值","房地产抵押价值","抵押担保权已注销时的房地产抵押价值")</f>
        <v>抵押担保权已注销时的房地产抵押价值</v>
      </c>
      <c r="L49" s="3057"/>
      <c r="M49" s="3060" t="str">
        <f>IF(项目基本情况!E8="房地产抵押价值",H107,H109)</f>
        <v>——</v>
      </c>
      <c r="N49" s="3060"/>
      <c r="O49" s="3060"/>
    </row>
    <row r="50" spans="1:35" ht="25.5" customHeight="1">
      <c r="A50" s="177"/>
      <c r="B50" s="3107" t="s">
        <v>2202</v>
      </c>
      <c r="C50" s="3107"/>
      <c r="D50" s="178"/>
      <c r="E50" s="30"/>
      <c r="F50" s="179"/>
      <c r="G50" s="3089"/>
      <c r="H50" s="137"/>
      <c r="I50" s="2484"/>
      <c r="J50" s="3057" t="s">
        <v>2203</v>
      </c>
      <c r="K50" s="3057"/>
      <c r="L50" s="3057"/>
      <c r="M50" s="3057"/>
      <c r="N50" s="3057"/>
      <c r="O50" s="3057"/>
    </row>
    <row r="51" spans="1:35" ht="12" customHeight="1">
      <c r="A51" s="180"/>
      <c r="B51" s="3107" t="s">
        <v>2204</v>
      </c>
      <c r="C51" s="3107"/>
      <c r="D51" s="181"/>
      <c r="E51" s="29"/>
      <c r="F51" s="179"/>
      <c r="G51" s="3090"/>
      <c r="H51" s="137"/>
      <c r="I51" s="2484"/>
      <c r="J51" s="2485" t="s">
        <v>2205</v>
      </c>
      <c r="K51" s="3057" t="s">
        <v>2206</v>
      </c>
      <c r="L51" s="3057"/>
      <c r="M51" s="2485" t="s">
        <v>2207</v>
      </c>
      <c r="N51" s="2485" t="s">
        <v>2208</v>
      </c>
      <c r="O51" s="2485" t="s">
        <v>2209</v>
      </c>
    </row>
    <row r="52" spans="1:35" ht="24" customHeight="1">
      <c r="A52" s="182" t="s">
        <v>2210</v>
      </c>
      <c r="B52" s="3107" t="s">
        <v>2211</v>
      </c>
      <c r="C52" s="3107"/>
      <c r="D52" s="181">
        <f ca="1">ROUND(D45*'数据-取费表'!B41/(1+'数据-取费表'!C42),0)</f>
        <v>4379</v>
      </c>
      <c r="E52" s="11" t="s">
        <v>2212</v>
      </c>
      <c r="F52" s="183">
        <f>'数据-取费表'!B41</f>
        <v>5.6000000000000001E-2</v>
      </c>
      <c r="G52" s="2486"/>
      <c r="H52" s="137"/>
      <c r="I52" s="2484"/>
      <c r="J52" s="1810">
        <v>1</v>
      </c>
      <c r="K52" s="3080" t="s">
        <v>2213</v>
      </c>
      <c r="L52" s="3080"/>
      <c r="M52" s="1752">
        <f ca="1">D48</f>
        <v>4379</v>
      </c>
      <c r="N52" s="1810" t="str">
        <f>E48</f>
        <v>销售额×税（费）率</v>
      </c>
      <c r="O52" s="1753">
        <f>F48</f>
        <v>5.6000000000000001E-2</v>
      </c>
    </row>
    <row r="53" spans="1:35" ht="12" customHeight="1">
      <c r="A53" s="182" t="s">
        <v>2214</v>
      </c>
      <c r="B53" s="3108" t="s">
        <v>2215</v>
      </c>
      <c r="C53" s="3109"/>
      <c r="D53" s="181">
        <f ca="1">ROUND(D45*'数据-取费表'!B41/(1+'数据-取费表'!C42),0)</f>
        <v>4379</v>
      </c>
      <c r="E53" s="11" t="s">
        <v>2212</v>
      </c>
      <c r="F53" s="183">
        <f>'数据-取费表'!B41</f>
        <v>5.6000000000000001E-2</v>
      </c>
      <c r="G53" s="2486"/>
      <c r="H53" s="137"/>
      <c r="I53" s="2484"/>
      <c r="J53" s="1810">
        <v>2</v>
      </c>
      <c r="K53" s="3080" t="s">
        <v>2216</v>
      </c>
      <c r="L53" s="3080"/>
      <c r="M53" s="1752">
        <f t="shared" ref="M53:O54" ca="1" si="0">D55</f>
        <v>41</v>
      </c>
      <c r="N53" s="1810" t="str">
        <f t="shared" si="0"/>
        <v>销售额×税（费）率</v>
      </c>
      <c r="O53" s="1753">
        <f t="shared" si="0"/>
        <v>5.0000000000000001E-4</v>
      </c>
    </row>
    <row r="54" spans="1:35" ht="12" customHeight="1">
      <c r="A54" s="182" t="s">
        <v>2217</v>
      </c>
      <c r="B54" s="3108" t="s">
        <v>2218</v>
      </c>
      <c r="C54" s="3109"/>
      <c r="D54" s="181">
        <f ca="1">C68</f>
        <v>4379</v>
      </c>
      <c r="E54" s="29" t="s">
        <v>2219</v>
      </c>
      <c r="F54" s="183">
        <f>'数据-取费表'!B41</f>
        <v>5.6000000000000001E-2</v>
      </c>
      <c r="G54" s="2486"/>
      <c r="H54" s="2487"/>
      <c r="I54" s="2484"/>
      <c r="J54" s="1810">
        <v>3</v>
      </c>
      <c r="K54" s="3080" t="s">
        <v>2220</v>
      </c>
      <c r="L54" s="3080"/>
      <c r="M54" s="1752">
        <f t="shared" ca="1" si="0"/>
        <v>31949</v>
      </c>
      <c r="N54" s="1810" t="str">
        <f t="shared" si="0"/>
        <v>增值额×税（费）率</v>
      </c>
      <c r="O54" s="1754" t="str">
        <f t="shared" si="0"/>
        <v>——</v>
      </c>
    </row>
    <row r="55" spans="1:35" ht="24" customHeight="1">
      <c r="A55" s="3146" t="s">
        <v>2221</v>
      </c>
      <c r="B55" s="3128"/>
      <c r="C55" s="3128"/>
      <c r="D55" s="184">
        <f ca="1">IF(H55="个人住宅",0,ROUND(D45*I55,0))</f>
        <v>41</v>
      </c>
      <c r="E55" s="11" t="s">
        <v>2222</v>
      </c>
      <c r="F55" s="183">
        <f>IF(H55="正常",I55,"免征")</f>
        <v>5.0000000000000001E-4</v>
      </c>
      <c r="G55" s="2486"/>
      <c r="H55" s="2483" t="s">
        <v>2223</v>
      </c>
      <c r="I55" s="185">
        <f>'数据-取费表'!B49</f>
        <v>5.0000000000000001E-4</v>
      </c>
      <c r="J55" s="1810" t="str">
        <f>IF(H59="非个人房产","",4)</f>
        <v/>
      </c>
      <c r="K55" s="3080" t="str">
        <f>IF(H59="非个人房产","——","个人所得税")</f>
        <v>——</v>
      </c>
      <c r="L55" s="3080"/>
      <c r="M55" s="1755" t="str">
        <f>D59</f>
        <v>——</v>
      </c>
      <c r="N55" s="1808" t="str">
        <f>E59</f>
        <v>——</v>
      </c>
      <c r="O55" s="1756" t="str">
        <f>F59</f>
        <v>——</v>
      </c>
    </row>
    <row r="56" spans="1:35" ht="24.75">
      <c r="A56" s="3146" t="s">
        <v>2224</v>
      </c>
      <c r="B56" s="3128"/>
      <c r="C56" s="3128"/>
      <c r="D56" s="184">
        <f ca="1">IF(H56="个人住宅",D57,D58)</f>
        <v>31949</v>
      </c>
      <c r="E56" s="11" t="s">
        <v>2225</v>
      </c>
      <c r="F56" s="183" t="str">
        <f>IF(H56="正常",F58,"免征")</f>
        <v>——</v>
      </c>
      <c r="G56" s="2488" t="s">
        <v>2226</v>
      </c>
      <c r="H56" s="2489" t="s">
        <v>2223</v>
      </c>
      <c r="I56" s="2490"/>
      <c r="J56" s="1810" t="str">
        <f>IF(项目基本情况!K6="上海银行",IF(J55="",4,J55+1),"")</f>
        <v/>
      </c>
      <c r="K56" s="3063" t="str">
        <f>IF(项目基本情况!K6="上海银行","其他处置费用","")</f>
        <v/>
      </c>
      <c r="L56" s="3064"/>
      <c r="M56" s="1752" t="str">
        <f>IF(项目基本情况!K6="上海银行",M69,"")</f>
        <v/>
      </c>
      <c r="N56" s="3066" t="str">
        <f>IF(项目基本情况!K6="上海银行","包含处置中涉及的律师、诉讼、拍卖、评估等费用","")</f>
        <v/>
      </c>
      <c r="O56" s="3067"/>
    </row>
    <row r="57" spans="1:35" ht="12.75">
      <c r="A57" s="182" t="s">
        <v>2199</v>
      </c>
      <c r="B57" s="3113" t="s">
        <v>2227</v>
      </c>
      <c r="C57" s="3114"/>
      <c r="D57" s="186">
        <v>0</v>
      </c>
      <c r="E57" s="22" t="s">
        <v>2201</v>
      </c>
      <c r="F57" s="154"/>
      <c r="G57" s="2486"/>
      <c r="H57" s="2490"/>
      <c r="I57" s="2490"/>
      <c r="J57" s="3080">
        <f>IF(AND(J55="",J56=""),4,IF(项目基本情况!K6="上海银行",结果表!J56+1,结果表!J55+1))</f>
        <v>4</v>
      </c>
      <c r="K57" s="3080" t="s">
        <v>2228</v>
      </c>
      <c r="L57" s="2491" t="s">
        <v>2229</v>
      </c>
      <c r="M57" s="1757"/>
      <c r="N57" s="1758">
        <f ca="1">SUMIF(M52:M56,"&lt;9e307")</f>
        <v>36369</v>
      </c>
      <c r="O57" s="2492"/>
      <c r="P57" s="1751" t="e">
        <f ca="1">N57/M49</f>
        <v>#VALUE!</v>
      </c>
    </row>
    <row r="58" spans="1:35" ht="24.75">
      <c r="A58" s="182" t="s">
        <v>2210</v>
      </c>
      <c r="B58" s="3113" t="s">
        <v>2230</v>
      </c>
      <c r="C58" s="3126"/>
      <c r="D58" s="184">
        <f ca="1">IF(H58="转让取得",C81,C97)</f>
        <v>31949</v>
      </c>
      <c r="E58" s="11" t="s">
        <v>2225</v>
      </c>
      <c r="F58" s="23" t="s">
        <v>34</v>
      </c>
      <c r="G58" s="2486"/>
      <c r="H58" s="2489" t="s">
        <v>2231</v>
      </c>
      <c r="I58" s="2490"/>
      <c r="J58" s="3080"/>
      <c r="K58" s="3080"/>
      <c r="L58" s="2491" t="s">
        <v>2232</v>
      </c>
      <c r="M58" s="1759"/>
      <c r="N58" s="2493" t="str">
        <f ca="1">NUMBERSTRING(INT(N57*10000),2)&amp;"元整"</f>
        <v>叁亿陆仟叁佰陆拾玖万元整</v>
      </c>
      <c r="O58" s="2494"/>
    </row>
    <row r="59" spans="1:35" ht="24.75" thickBot="1">
      <c r="A59" s="3086" t="s">
        <v>2233</v>
      </c>
      <c r="B59" s="3087"/>
      <c r="C59" s="3087"/>
      <c r="D59" s="187" t="str">
        <f>IF(H59="非个人房产","——",IF(H59="个人住宅",0,ROUND(D45*I59,0)))</f>
        <v>——</v>
      </c>
      <c r="E59" s="188" t="str">
        <f>IF(H59="非个人房产","——","销售额×税（费）率")</f>
        <v>——</v>
      </c>
      <c r="F59" s="189" t="str">
        <f>IF(H59="非个人房产","——",IF(H59="个人住宅","免征",I59))</f>
        <v>——</v>
      </c>
      <c r="G59" s="2495" t="s">
        <v>2226</v>
      </c>
      <c r="H59" s="2489" t="s">
        <v>2234</v>
      </c>
      <c r="I59" s="190">
        <v>0.01</v>
      </c>
      <c r="J59" s="3084">
        <f>J57+1</f>
        <v>5</v>
      </c>
      <c r="K59" s="3080" t="s">
        <v>2235</v>
      </c>
      <c r="L59" s="1810" t="s">
        <v>2229</v>
      </c>
      <c r="M59" s="1760"/>
      <c r="N59" s="1761" t="e">
        <f ca="1">M49-N57</f>
        <v>#VALUE!</v>
      </c>
      <c r="O59" s="2496"/>
    </row>
    <row r="60" spans="1:35" ht="12" customHeight="1">
      <c r="A60" s="2497"/>
      <c r="B60" s="2419"/>
      <c r="C60" s="2419"/>
      <c r="D60" s="2419"/>
      <c r="E60" s="2167"/>
      <c r="F60" s="2490"/>
      <c r="G60" s="2490"/>
      <c r="H60" s="2498"/>
      <c r="I60" s="137"/>
      <c r="J60" s="3085"/>
      <c r="K60" s="3080"/>
      <c r="L60" s="2491" t="s">
        <v>2232</v>
      </c>
      <c r="M60" s="1759"/>
      <c r="N60" s="2493" t="e">
        <f ca="1">NUMBERSTRING(INT(N59*10000),2)&amp;"元整"</f>
        <v>#VALUE!</v>
      </c>
      <c r="O60" s="2494"/>
    </row>
    <row r="61" spans="1:35" ht="13.5" thickBot="1">
      <c r="A61" s="3145" t="s">
        <v>2236</v>
      </c>
      <c r="B61" s="3145"/>
      <c r="C61" s="3145"/>
      <c r="D61" s="3145"/>
      <c r="E61" s="3145"/>
      <c r="F61" s="2490"/>
      <c r="G61" s="2490"/>
      <c r="H61" s="2498"/>
      <c r="I61" s="137"/>
      <c r="J61" s="1810">
        <f>J59+1</f>
        <v>6</v>
      </c>
      <c r="K61" s="3080" t="s">
        <v>2237</v>
      </c>
      <c r="L61" s="3080"/>
      <c r="M61" s="1762"/>
      <c r="N61" s="1763" t="e">
        <f ca="1">ROUND(N59*10000/'数据-汇总表'!E3,0)</f>
        <v>#VALUE!</v>
      </c>
      <c r="O61" s="2499"/>
    </row>
    <row r="62" spans="1:35" ht="12.75">
      <c r="A62" s="3102" t="s">
        <v>2238</v>
      </c>
      <c r="B62" s="3103"/>
      <c r="C62" s="1802"/>
      <c r="D62" s="1802" t="s">
        <v>2239</v>
      </c>
      <c r="E62" s="191" t="s">
        <v>2240</v>
      </c>
      <c r="F62" s="2490"/>
      <c r="G62" s="2490"/>
      <c r="H62" s="2498"/>
      <c r="I62" s="137"/>
    </row>
    <row r="63" spans="1:35" ht="12.75">
      <c r="A63" s="202" t="s">
        <v>775</v>
      </c>
      <c r="B63" s="192" t="s">
        <v>2241</v>
      </c>
      <c r="C63" s="193">
        <f ca="1">ROUND((C64+C65)/(1+'数据-取费表'!C42),0)</f>
        <v>78200</v>
      </c>
      <c r="D63" s="194"/>
      <c r="E63" s="195"/>
      <c r="F63" s="2490"/>
      <c r="G63" s="2490"/>
      <c r="H63" s="2498"/>
      <c r="I63" s="137"/>
      <c r="J63" s="3065" t="s">
        <v>2242</v>
      </c>
      <c r="K63" s="2500" t="s">
        <v>2243</v>
      </c>
      <c r="L63" s="1750" t="e">
        <f>IF(M49&gt;10000,M49*0.5%,IF(AND(M49&gt;1000,M49&lt;=10000),M49*1%,IF(AND(M49&gt;100,M49&lt;=1000),M49*3%,IF(AND(M49&gt;10,M49&lt;=100),M49*5%,M49*8%))))</f>
        <v>#VALUE!</v>
      </c>
      <c r="M63" s="23" t="e">
        <f>ROUND(L63,1)</f>
        <v>#VALUE!</v>
      </c>
      <c r="Z63" s="2424"/>
      <c r="AI63" s="2425"/>
    </row>
    <row r="64" spans="1:35" ht="14.25" customHeight="1">
      <c r="A64" s="196" t="s">
        <v>770</v>
      </c>
      <c r="B64" s="197" t="s">
        <v>2244</v>
      </c>
      <c r="C64" s="198">
        <f ca="1">D45</f>
        <v>82110</v>
      </c>
      <c r="D64" s="199" t="s">
        <v>32</v>
      </c>
      <c r="E64" s="200"/>
      <c r="F64" s="2490"/>
      <c r="G64" s="2490"/>
      <c r="H64" s="2498"/>
      <c r="I64" s="137"/>
      <c r="J64" s="3065"/>
      <c r="K64" s="2500" t="s">
        <v>2245</v>
      </c>
      <c r="L64" s="1750"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24"/>
      <c r="AI64" s="2425"/>
    </row>
    <row r="65" spans="1:35" ht="14.25" customHeight="1">
      <c r="A65" s="196" t="s">
        <v>771</v>
      </c>
      <c r="B65" s="197" t="s">
        <v>2247</v>
      </c>
      <c r="C65" s="201"/>
      <c r="D65" s="199"/>
      <c r="E65" s="200"/>
      <c r="F65" s="2490"/>
      <c r="G65" s="2490"/>
      <c r="H65" s="2498"/>
      <c r="I65" s="137"/>
      <c r="J65" s="3065"/>
      <c r="K65" s="2500" t="s">
        <v>2248</v>
      </c>
      <c r="L65" s="1750" t="e">
        <f>IF(M49&gt;1000,M49*0.1%,IF(AND(M49&gt;500,M49&lt;=1000),M49*0.5%,IF(AND(M49&gt;50,M49&lt;=500),M49*1%,IF(AND(M49&gt;1,M49&lt;=50),M49*1.5%))))</f>
        <v>#VALUE!</v>
      </c>
      <c r="M65" s="23" t="e">
        <f t="shared" si="1"/>
        <v>#VALUE!</v>
      </c>
      <c r="N65" s="137" t="s">
        <v>2246</v>
      </c>
      <c r="Z65" s="2424"/>
      <c r="AI65" s="2425"/>
    </row>
    <row r="66" spans="1:35" ht="14.25" customHeight="1">
      <c r="A66" s="202" t="s">
        <v>772</v>
      </c>
      <c r="B66" s="203" t="s">
        <v>2249</v>
      </c>
      <c r="C66" s="204"/>
      <c r="D66" s="205" t="s">
        <v>32</v>
      </c>
      <c r="E66" s="1774" t="s">
        <v>1367</v>
      </c>
      <c r="F66" s="2490"/>
      <c r="G66" s="2490"/>
      <c r="H66" s="2498"/>
      <c r="I66" s="137"/>
      <c r="J66" s="3065"/>
      <c r="K66" s="2500" t="s">
        <v>2250</v>
      </c>
      <c r="L66" s="1750" t="e">
        <f>M49*0.5%</f>
        <v>#VALUE!</v>
      </c>
      <c r="M66" s="23" t="e">
        <f>IF(L66&gt;0.5,0.5,ROUND(L66,0))</f>
        <v>#VALUE!</v>
      </c>
      <c r="N66" s="137" t="s">
        <v>2251</v>
      </c>
      <c r="Z66" s="2424"/>
      <c r="AI66" s="2425"/>
    </row>
    <row r="67" spans="1:35" ht="14.25" customHeight="1">
      <c r="A67" s="202" t="s">
        <v>773</v>
      </c>
      <c r="B67" s="203" t="s">
        <v>2252</v>
      </c>
      <c r="C67" s="206">
        <f ca="1">C63-C66</f>
        <v>78200</v>
      </c>
      <c r="D67" s="199" t="s">
        <v>32</v>
      </c>
      <c r="E67" s="200"/>
      <c r="F67" s="2490"/>
      <c r="G67" s="2490"/>
      <c r="H67" s="2498"/>
      <c r="I67" s="137"/>
      <c r="J67" s="3065"/>
      <c r="K67" s="2500" t="s">
        <v>2253</v>
      </c>
      <c r="L67" s="1750"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4"/>
      <c r="AI67" s="2425"/>
    </row>
    <row r="68" spans="1:35" ht="14.25" customHeight="1" thickBot="1">
      <c r="A68" s="207" t="s">
        <v>774</v>
      </c>
      <c r="B68" s="208" t="s">
        <v>2254</v>
      </c>
      <c r="C68" s="209">
        <f ca="1">IF(C67&lt;=0,0,ROUND(C67*D68,0))</f>
        <v>4379</v>
      </c>
      <c r="D68" s="210">
        <f>'数据-取费表'!B41</f>
        <v>5.6000000000000001E-2</v>
      </c>
      <c r="E68" s="211"/>
      <c r="F68" s="2490"/>
      <c r="G68" s="2490"/>
      <c r="H68" s="2498"/>
      <c r="I68" s="137"/>
      <c r="J68" s="3065"/>
      <c r="K68" s="2500" t="s">
        <v>2255</v>
      </c>
      <c r="L68" s="1750" t="e">
        <f>IF(M49&gt;10000,M49*0.5%,IF(AND(M49&gt;5000,M49&lt;=10000),M49*1%,IF(AND(M49&gt;1000,M49&lt;=5000),M49*2%,IF(AND(M49&gt;200,M49&lt;=1000),M49*3%,M49*5%))))</f>
        <v>#VALUE!</v>
      </c>
      <c r="M68" s="23" t="e">
        <f>ROUND(L68,1)</f>
        <v>#VALUE!</v>
      </c>
      <c r="Z68" s="2424"/>
      <c r="AI68" s="2425"/>
    </row>
    <row r="69" spans="1:35" s="2447" customFormat="1" ht="16.5" customHeight="1">
      <c r="A69" s="2501"/>
      <c r="B69" s="2502"/>
      <c r="C69" s="2503"/>
      <c r="D69" s="2504"/>
      <c r="E69" s="2505"/>
      <c r="F69" s="2167"/>
      <c r="G69" s="2167"/>
      <c r="H69" s="2166"/>
      <c r="I69" s="2419"/>
      <c r="J69" s="3065"/>
      <c r="K69" s="2500" t="s">
        <v>2256</v>
      </c>
      <c r="L69" s="2506"/>
      <c r="M69" s="23" t="e">
        <f>ROUND(SUM(M63:M68),0)</f>
        <v>#VALUE!</v>
      </c>
      <c r="N69" s="1751" t="e">
        <f>M69/M49</f>
        <v>#VALUE!</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11" t="s">
        <v>2257</v>
      </c>
      <c r="B70" s="3112"/>
      <c r="C70" s="3112"/>
      <c r="D70" s="3112"/>
      <c r="E70" s="3112"/>
      <c r="F70" s="3112"/>
      <c r="G70" s="3112"/>
      <c r="H70" s="311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2" t="s">
        <v>2238</v>
      </c>
      <c r="B71" s="3103"/>
      <c r="C71" s="1802"/>
      <c r="D71" s="1802" t="s">
        <v>2239</v>
      </c>
      <c r="E71" s="212" t="s">
        <v>2240</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2258</v>
      </c>
      <c r="C72" s="206">
        <f ca="1">ROUND(D45/(1+'数据-取费表'!C42),0)</f>
        <v>78200</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2259</v>
      </c>
      <c r="C73" s="206">
        <f ca="1">C74+C78</f>
        <v>469</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2260</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2261</v>
      </c>
      <c r="C75" s="217"/>
      <c r="D75" s="199" t="s">
        <v>32</v>
      </c>
      <c r="E75" s="218" t="s">
        <v>2262</v>
      </c>
      <c r="F75" s="2512" t="s">
        <v>2263</v>
      </c>
      <c r="G75" s="218" t="s">
        <v>2264</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2265</v>
      </c>
      <c r="C76" s="199">
        <f>IF(F75="购房发票",ROUND(C75*H75*D76,0),0)</f>
        <v>0</v>
      </c>
      <c r="D76" s="221">
        <v>0.05</v>
      </c>
      <c r="E76" s="3108" t="s">
        <v>2266</v>
      </c>
      <c r="F76" s="3107"/>
      <c r="G76" s="3107"/>
      <c r="H76" s="311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4" t="s">
        <v>2269</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2270</v>
      </c>
      <c r="C78" s="224">
        <f ca="1">ROUND(D45*D78/(1+'数据-取费表'!C42),0)</f>
        <v>469</v>
      </c>
      <c r="D78" s="225">
        <f>'数据-取费表'!B43</f>
        <v>6.000000000000001E-3</v>
      </c>
      <c r="E78" s="3099" t="s">
        <v>2271</v>
      </c>
      <c r="F78" s="3100"/>
      <c r="G78" s="3100"/>
      <c r="H78" s="310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2272</v>
      </c>
      <c r="C79" s="206">
        <f ca="1">C72-C73</f>
        <v>77731</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2273</v>
      </c>
      <c r="C80" s="226">
        <f ca="1">IF(C79&lt;=0,0,C79/C73)</f>
        <v>165.73773987206823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2274</v>
      </c>
      <c r="C81" s="227">
        <f ca="1">ROUND(IF(C79&lt;=0,0,IF(C80&gt;=200%,C79*60%-C73*35%,IF(C80&gt;=100%,C79*50%-C73*15%,IF(C80&gt;=50%,C79*40%-C73*5%,IF(C80&lt;50%,C79*30%,0))))),0)</f>
        <v>46474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1" t="s">
        <v>2275</v>
      </c>
      <c r="B83" s="3112"/>
      <c r="C83" s="3112"/>
      <c r="D83" s="3112"/>
      <c r="E83" s="3112"/>
      <c r="F83" s="3112"/>
      <c r="G83" s="3112"/>
      <c r="H83" s="311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2" t="s">
        <v>2238</v>
      </c>
      <c r="B84" s="3103"/>
      <c r="C84" s="1802"/>
      <c r="D84" s="1802" t="s">
        <v>2239</v>
      </c>
      <c r="E84" s="212" t="s">
        <v>2240</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2258</v>
      </c>
      <c r="C85" s="206">
        <f ca="1">ROUND(D45/(1+'数据-取费表'!C42),0)</f>
        <v>78200</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2259</v>
      </c>
      <c r="C86" s="206">
        <f ca="1">IF(H88="仅含出让金",C87+C90+C91+C92+C93+C94,C87+C91+C92+C93+C94)</f>
        <v>15759.283444762474</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2276</v>
      </c>
      <c r="C87" s="224">
        <f>C88+C89</f>
        <v>11762.283444762474</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2277</v>
      </c>
      <c r="C88" s="235">
        <f>42500/149811.2*'数据-基础表'!A3</f>
        <v>11414.283444762474</v>
      </c>
      <c r="D88" s="225"/>
      <c r="E88" s="236" t="s">
        <v>2278</v>
      </c>
      <c r="F88" s="1798"/>
      <c r="G88" s="237"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2267</v>
      </c>
      <c r="C89" s="224">
        <f>ROUND(C88*D89,0)</f>
        <v>348</v>
      </c>
      <c r="D89" s="225">
        <f>'数据-取费表'!B48+'数据-取费表'!B49</f>
        <v>3.0499999999999999E-2</v>
      </c>
      <c r="E89" s="236" t="s">
        <v>2280</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2281</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2282</v>
      </c>
      <c r="B91" s="197" t="s">
        <v>2283</v>
      </c>
      <c r="C91" s="224">
        <f>IF(H91="——",成本法!C33,I91)</f>
        <v>0</v>
      </c>
      <c r="D91" s="225"/>
      <c r="E91" s="3099" t="s">
        <v>2284</v>
      </c>
      <c r="F91" s="3100"/>
      <c r="G91" s="3100"/>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2286</v>
      </c>
      <c r="B92" s="197" t="s">
        <v>2287</v>
      </c>
      <c r="C92" s="224">
        <f>ROUND((C87+C90+C91)*D92,0)</f>
        <v>1176</v>
      </c>
      <c r="D92" s="225">
        <v>0.1</v>
      </c>
      <c r="E92" s="3099" t="s">
        <v>2288</v>
      </c>
      <c r="F92" s="3100"/>
      <c r="G92" s="3100"/>
      <c r="H92" s="310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2289</v>
      </c>
      <c r="B93" s="197" t="s">
        <v>2270</v>
      </c>
      <c r="C93" s="224">
        <f ca="1">ROUND(D45*D93/(1+'数据-取费表'!C42),0)</f>
        <v>469</v>
      </c>
      <c r="D93" s="225">
        <f>'数据-取费表'!B43</f>
        <v>6.000000000000001E-3</v>
      </c>
      <c r="E93" s="3099" t="s">
        <v>2271</v>
      </c>
      <c r="F93" s="3100"/>
      <c r="G93" s="3100"/>
      <c r="H93" s="310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2290</v>
      </c>
      <c r="B94" s="197" t="s">
        <v>2291</v>
      </c>
      <c r="C94" s="235">
        <f>ROUND((C87+C90+C91)*D94,0)</f>
        <v>2352</v>
      </c>
      <c r="D94" s="225">
        <v>0.2</v>
      </c>
      <c r="E94" s="3147" t="s">
        <v>2292</v>
      </c>
      <c r="F94" s="3148"/>
      <c r="G94" s="3148"/>
      <c r="H94" s="314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2272</v>
      </c>
      <c r="C95" s="206">
        <f ca="1">ROUND(C85-C86,0)</f>
        <v>62441</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2273</v>
      </c>
      <c r="C96" s="226">
        <f ca="1">IF(C95&lt;=0,0,C95/C86)</f>
        <v>3.9621725327081405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2274</v>
      </c>
      <c r="C97" s="227">
        <f ca="1">ROUND(IF(C95&lt;=0,0,IF(C96&gt;=200%,C95*60%-C86*35%,IF(C96&gt;=100%,C95*50%-C86*15%,IF(C96&gt;=50%,C95*40%-C86*5%,IF(C96&lt;50%,C95*30%,0))))),0)</f>
        <v>31949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7"/>
    </row>
    <row r="99" spans="1:35" ht="21.75" customHeight="1" thickBot="1">
      <c r="A99" s="2475" t="s">
        <v>2293</v>
      </c>
      <c r="B99" s="2419"/>
      <c r="C99" s="2419"/>
      <c r="D99" s="2419"/>
      <c r="E99" s="2167"/>
      <c r="F99" s="2167"/>
      <c r="G99" s="2167"/>
      <c r="H99" s="2166"/>
      <c r="I99" s="137"/>
    </row>
    <row r="100" spans="1:35" ht="18.75" customHeight="1">
      <c r="A100" s="3081" t="s">
        <v>2294</v>
      </c>
      <c r="B100" s="3082"/>
      <c r="C100" s="3082"/>
      <c r="D100" s="3083"/>
      <c r="E100" s="3082" t="s">
        <v>2295</v>
      </c>
      <c r="F100" s="3082"/>
      <c r="G100" s="3082"/>
      <c r="H100" s="3083"/>
      <c r="I100" s="137"/>
    </row>
    <row r="101" spans="1:35" ht="18.75" customHeight="1">
      <c r="A101" s="3091" t="s">
        <v>2296</v>
      </c>
      <c r="B101" s="3092"/>
      <c r="C101" s="734" t="str">
        <f>C4</f>
        <v>成本法</v>
      </c>
      <c r="D101" s="735" t="str">
        <f>D4</f>
        <v>假设开发法</v>
      </c>
      <c r="E101" s="3061" t="s">
        <v>2297</v>
      </c>
      <c r="F101" s="3062"/>
      <c r="G101" s="2521" t="s">
        <v>2298</v>
      </c>
      <c r="H101" s="1046">
        <f ca="1">H118</f>
        <v>82110</v>
      </c>
      <c r="I101" s="137"/>
    </row>
    <row r="102" spans="1:35" ht="18.75" customHeight="1">
      <c r="A102" s="3093" t="s">
        <v>2299</v>
      </c>
      <c r="B102" s="2521" t="s">
        <v>2298</v>
      </c>
      <c r="C102" s="734">
        <f ca="1">C19</f>
        <v>89285</v>
      </c>
      <c r="D102" s="735">
        <f ca="1">D19</f>
        <v>71348</v>
      </c>
      <c r="E102" s="3061"/>
      <c r="F102" s="3062"/>
      <c r="G102" s="2521" t="s">
        <v>2300</v>
      </c>
      <c r="H102" s="370">
        <f ca="1">I118</f>
        <v>8999</v>
      </c>
      <c r="I102" s="137"/>
    </row>
    <row r="103" spans="1:35" ht="42.75" customHeight="1">
      <c r="A103" s="3093"/>
      <c r="B103" s="2521" t="s">
        <v>2300</v>
      </c>
      <c r="C103" s="736">
        <f ca="1">C20</f>
        <v>9786</v>
      </c>
      <c r="D103" s="737">
        <f ca="1">D20</f>
        <v>7820</v>
      </c>
      <c r="E103" s="3055" t="s">
        <v>2301</v>
      </c>
      <c r="F103" s="3056"/>
      <c r="G103" s="2522" t="s">
        <v>2302</v>
      </c>
      <c r="H103" s="1046">
        <f>IF(D36="正常操作",H104+H105+H106,H105+H106)</f>
        <v>0</v>
      </c>
      <c r="I103" s="137"/>
    </row>
    <row r="104" spans="1:35" ht="18.75" customHeight="1">
      <c r="A104" s="3093" t="s">
        <v>2303</v>
      </c>
      <c r="B104" s="2523" t="s">
        <v>2298</v>
      </c>
      <c r="C104" s="738">
        <f ca="1">H118</f>
        <v>82110</v>
      </c>
      <c r="D104" s="739"/>
      <c r="E104" s="2267" t="s">
        <v>2304</v>
      </c>
      <c r="F104" s="2259"/>
      <c r="G104" s="2522" t="s">
        <v>2302</v>
      </c>
      <c r="H104" s="1047">
        <f>IF(D36="同一抵押权人同一抵押物续贷",C36&amp;"（未扣减，详见特别提示）",C36)</f>
        <v>0</v>
      </c>
      <c r="I104" s="137"/>
    </row>
    <row r="105" spans="1:35" ht="18.75" customHeight="1" thickBot="1">
      <c r="A105" s="3105"/>
      <c r="B105" s="2524" t="s">
        <v>2300</v>
      </c>
      <c r="C105" s="740">
        <f ca="1">I118</f>
        <v>8999</v>
      </c>
      <c r="D105" s="741"/>
      <c r="E105" s="2267" t="s">
        <v>2305</v>
      </c>
      <c r="F105" s="2259"/>
      <c r="G105" s="2522" t="s">
        <v>2302</v>
      </c>
      <c r="H105" s="1047">
        <f>C37</f>
        <v>0</v>
      </c>
      <c r="I105" s="137"/>
    </row>
    <row r="106" spans="1:35" ht="18.75" customHeight="1">
      <c r="A106" s="2419" t="s">
        <v>2306</v>
      </c>
      <c r="B106" s="2419"/>
      <c r="C106" s="2419"/>
      <c r="D106" s="2419"/>
      <c r="E106" s="2525" t="s">
        <v>2307</v>
      </c>
      <c r="F106" s="2259"/>
      <c r="G106" s="2522" t="s">
        <v>2302</v>
      </c>
      <c r="H106" s="1047">
        <f>C38</f>
        <v>0</v>
      </c>
      <c r="I106" s="137"/>
    </row>
    <row r="107" spans="1:35" ht="18.75" customHeight="1">
      <c r="A107" s="137"/>
      <c r="B107" s="137"/>
      <c r="C107" s="137"/>
      <c r="D107" s="137"/>
      <c r="E107" s="3094" t="str">
        <f>IF(项目基本情况!E8="已注销","——","3.房地产抵押价值")</f>
        <v>3.房地产抵押价值</v>
      </c>
      <c r="F107" s="3062"/>
      <c r="G107" s="2521" t="s">
        <v>2298</v>
      </c>
      <c r="H107" s="1046">
        <f ca="1">IF(E107="——","——",H101-H103)</f>
        <v>82110</v>
      </c>
      <c r="I107" s="137"/>
    </row>
    <row r="108" spans="1:35" ht="18.75" customHeight="1">
      <c r="A108" s="137"/>
      <c r="B108" s="137"/>
      <c r="C108" s="137"/>
      <c r="D108" s="137"/>
      <c r="E108" s="3094"/>
      <c r="F108" s="3062"/>
      <c r="G108" s="2521" t="s">
        <v>2300</v>
      </c>
      <c r="H108" s="370">
        <f ca="1">ROUND(H107*10000/'数据-汇总表'!E3,0)</f>
        <v>8999</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62"/>
      <c r="G109" s="2521" t="s">
        <v>2298</v>
      </c>
      <c r="H109" s="347" t="str">
        <f>IF(E109="——","——",H101-H105-H106)</f>
        <v>——</v>
      </c>
      <c r="I109" s="137"/>
    </row>
    <row r="110" spans="1:35" ht="18.75" customHeight="1">
      <c r="A110" s="137"/>
      <c r="B110" s="137"/>
      <c r="C110" s="137"/>
      <c r="D110" s="137"/>
      <c r="E110" s="3094"/>
      <c r="F110" s="3062"/>
      <c r="G110" s="2521" t="s">
        <v>2300</v>
      </c>
      <c r="H110" s="370" t="str">
        <f>IF(H109="——","——",ROUND(H109*10000/'数据-汇总表'!E3,0))</f>
        <v>——</v>
      </c>
      <c r="I110" s="137"/>
    </row>
    <row r="111" spans="1:35" ht="18.75" customHeight="1">
      <c r="A111" s="137"/>
      <c r="B111" s="137"/>
      <c r="C111" s="137"/>
      <c r="D111" s="137"/>
      <c r="E111" s="3095" t="str">
        <f>IF(项目基本情况!E9="抵押净值",IF(OR(项目基本情况!E8="已注销",项目基本情况!E8="房地产抵押价值"),"4.抵押净值","5.抵押净值"),"——")</f>
        <v>——</v>
      </c>
      <c r="F111" s="3096"/>
      <c r="G111" s="2521" t="s">
        <v>2298</v>
      </c>
      <c r="H111" s="1046" t="str">
        <f>IF(E111="——","——",N59)</f>
        <v>——</v>
      </c>
      <c r="I111" s="137"/>
    </row>
    <row r="112" spans="1:35" ht="18.75" customHeight="1" thickBot="1">
      <c r="A112" s="137"/>
      <c r="B112" s="137"/>
      <c r="C112" s="137"/>
      <c r="D112" s="137"/>
      <c r="E112" s="3097"/>
      <c r="F112" s="3098"/>
      <c r="G112" s="2526" t="s">
        <v>2300</v>
      </c>
      <c r="H112" s="788" t="str">
        <f>IF(E111="——","——",N61)</f>
        <v>——</v>
      </c>
      <c r="I112" s="137"/>
    </row>
    <row r="113" spans="1:11" ht="18.75" customHeight="1">
      <c r="A113" s="137"/>
      <c r="B113" s="137"/>
      <c r="C113" s="137"/>
      <c r="D113" s="137"/>
      <c r="E113" s="3106" t="s">
        <v>2306</v>
      </c>
      <c r="F113" s="3106"/>
      <c r="G113" s="3106"/>
      <c r="H113" s="3106"/>
      <c r="I113" s="137"/>
    </row>
    <row r="114" spans="1:11" ht="3.75" customHeight="1">
      <c r="A114" s="2419"/>
      <c r="B114" s="2419"/>
      <c r="C114" s="2419"/>
      <c r="D114" s="2419"/>
      <c r="E114" s="2497"/>
      <c r="F114" s="2497"/>
      <c r="G114" s="2497"/>
      <c r="H114" s="2497"/>
      <c r="I114" s="2419"/>
    </row>
    <row r="115" spans="1:11" ht="18.75" customHeight="1">
      <c r="A115" s="3119" t="s">
        <v>2308</v>
      </c>
      <c r="B115" s="3120"/>
      <c r="C115" s="3120"/>
      <c r="D115" s="3120"/>
      <c r="E115" s="3120"/>
      <c r="F115" s="3120"/>
      <c r="G115" s="3120"/>
      <c r="H115" s="3120"/>
      <c r="I115" s="3121"/>
    </row>
    <row r="116" spans="1:11" ht="27" customHeight="1">
      <c r="A116" s="3047" t="s">
        <v>2309</v>
      </c>
      <c r="B116" s="3071" t="s">
        <v>2310</v>
      </c>
      <c r="C116" s="3071" t="s">
        <v>2311</v>
      </c>
      <c r="D116" s="3077" t="s">
        <v>2312</v>
      </c>
      <c r="E116" s="3078"/>
      <c r="F116" s="3115" t="s">
        <v>2313</v>
      </c>
      <c r="G116" s="3115"/>
      <c r="H116" s="3047" t="s">
        <v>2314</v>
      </c>
      <c r="I116" s="3047"/>
    </row>
    <row r="117" spans="1:11" ht="18.75" customHeight="1">
      <c r="A117" s="3047"/>
      <c r="B117" s="3072"/>
      <c r="C117" s="3072"/>
      <c r="D117" s="1796" t="s">
        <v>2315</v>
      </c>
      <c r="E117" s="1796" t="s">
        <v>2316</v>
      </c>
      <c r="F117" s="1796" t="s">
        <v>2315</v>
      </c>
      <c r="G117" s="1796" t="s">
        <v>2317</v>
      </c>
      <c r="H117" s="1796" t="s">
        <v>2315</v>
      </c>
      <c r="I117" s="1796" t="s">
        <v>2317</v>
      </c>
    </row>
    <row r="118" spans="1:11" ht="24.75" customHeight="1">
      <c r="A118" s="2527" t="str">
        <f>项目基本情况!S2</f>
        <v>上海出让国有建设用地使用权及在建建筑物房地产</v>
      </c>
      <c r="B118" s="1796">
        <f>M18</f>
        <v>91239.85</v>
      </c>
      <c r="C118" s="1796">
        <f>M19</f>
        <v>40235</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82110</v>
      </c>
      <c r="I118" s="1796">
        <f ca="1">ROUND(IF(D32="楼面单价",C32,H118*10000/B118),0)</f>
        <v>8999</v>
      </c>
    </row>
    <row r="119" spans="1:11" ht="18.75" customHeight="1">
      <c r="A119" s="3047" t="s">
        <v>2318</v>
      </c>
      <c r="B119" s="3047"/>
      <c r="C119" s="3047"/>
      <c r="D119" s="3073" t="e">
        <f ca="1">NUMBERSTRING(INT(D118*10000),2)&amp;"元整"</f>
        <v>#REF!</v>
      </c>
      <c r="E119" s="3074"/>
      <c r="F119" s="3073" t="e">
        <f ca="1">NUMBERSTRING(INT(F118*10000),2)&amp;"元整"</f>
        <v>#REF!</v>
      </c>
      <c r="G119" s="3074"/>
      <c r="H119" s="3073" t="str">
        <f ca="1">NUMBERSTRING(INT(H118*10000),2)&amp;"元整"</f>
        <v>捌亿贰仟壹佰壹拾万元整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4" t="str">
        <f>IF(D120=0,"故，本次评估不存在"&amp;A120,"故，本次评估"&amp;A120&amp;"为人民币"&amp;D120&amp;"万元整。")</f>
        <v>故，本次评估不存在估价师知悉的法定优先受偿款</v>
      </c>
    </row>
    <row r="121" spans="1:11" ht="18.75" customHeight="1">
      <c r="A121" s="3116" t="s">
        <v>2318</v>
      </c>
      <c r="B121" s="3117"/>
      <c r="C121" s="3118"/>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82110</v>
      </c>
      <c r="E122" s="3069"/>
      <c r="F122" s="3069"/>
      <c r="G122" s="3069"/>
      <c r="H122" s="3069"/>
      <c r="I122" s="3070"/>
    </row>
    <row r="123" spans="1:11" ht="18.75" customHeight="1">
      <c r="A123" s="3047" t="s">
        <v>2318</v>
      </c>
      <c r="B123" s="3047"/>
      <c r="C123" s="3047"/>
      <c r="D123" s="3073" t="str">
        <f ca="1">NUMBERSTRING(INT(D122*10000),2)&amp;"元整"</f>
        <v>捌亿贰仟壹佰壹拾万元整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47" t="s">
        <v>2318</v>
      </c>
      <c r="B125" s="3047"/>
      <c r="C125" s="3047"/>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47" t="s">
        <v>2318</v>
      </c>
      <c r="B127" s="3047"/>
      <c r="C127" s="3047"/>
      <c r="D127" s="3073" t="e">
        <f>NUMBERSTRING(INT(D126*10000),2)&amp;"元整"</f>
        <v>#VALUE!</v>
      </c>
      <c r="E127" s="3075"/>
      <c r="F127" s="3075"/>
      <c r="G127" s="3075"/>
      <c r="H127" s="3075"/>
      <c r="I127" s="3074"/>
    </row>
    <row r="128" spans="1:11" ht="21.75" customHeight="1">
      <c r="A128" s="3076" t="s">
        <v>2319</v>
      </c>
      <c r="B128" s="3076"/>
      <c r="C128" s="3076"/>
      <c r="D128" s="3076"/>
      <c r="E128" s="3076"/>
      <c r="F128" s="3076"/>
      <c r="G128" s="3076"/>
      <c r="H128" s="3076"/>
      <c r="I128" s="3076"/>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2322</v>
      </c>
      <c r="G135" s="2545"/>
      <c r="H135" s="2545"/>
      <c r="I135" s="2546" t="s">
        <v>2323</v>
      </c>
    </row>
    <row r="136" spans="1:35" ht="21.75" customHeight="1">
      <c r="A136" s="793"/>
      <c r="B136" s="2547"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2325</v>
      </c>
    </row>
    <row r="139" spans="1:35" ht="21.75" customHeight="1">
      <c r="A139" s="793"/>
      <c r="B139" s="2547" t="s">
        <v>2326</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2325</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6" sqref="D2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2970">
        <f>42748-2513</f>
        <v>40235</v>
      </c>
      <c r="B3" s="13">
        <f>IF(C3="否",G5-AT5,G5)</f>
        <v>91239.85</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v>84448.34</v>
      </c>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1876</v>
      </c>
      <c r="B5" s="1804"/>
      <c r="C5" s="1804"/>
      <c r="D5" s="1807"/>
      <c r="E5" s="15" t="s">
        <v>1</v>
      </c>
      <c r="F5" s="15">
        <f>SUM(F13:F587)</f>
        <v>0</v>
      </c>
      <c r="G5" s="15">
        <f>SUM(G13:G587)</f>
        <v>91239.85</v>
      </c>
      <c r="H5" s="15">
        <f t="shared" ref="H5:AT5" si="0">SUM(H13:H656)</f>
        <v>91239.85</v>
      </c>
      <c r="I5" s="15">
        <f t="shared" si="0"/>
        <v>77026.790000000008</v>
      </c>
      <c r="J5" s="15">
        <f t="shared" si="0"/>
        <v>0</v>
      </c>
      <c r="K5" s="15">
        <f t="shared" si="0"/>
        <v>14213.06</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1876</v>
      </c>
      <c r="AW5" s="1804"/>
      <c r="AX5" s="1804"/>
      <c r="AY5" s="16" t="s">
        <v>3</v>
      </c>
      <c r="AZ5" s="17">
        <f t="shared" ref="AZ5:BT5" si="1">SUM(AZ13:AZ656)</f>
        <v>91239.85</v>
      </c>
      <c r="BA5" s="17">
        <f t="shared" si="1"/>
        <v>91239.85</v>
      </c>
      <c r="BB5" s="17">
        <f t="shared" si="1"/>
        <v>77026.790000000008</v>
      </c>
      <c r="BC5" s="17">
        <f t="shared" si="1"/>
        <v>14213.06</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1877</v>
      </c>
      <c r="B6" s="2175"/>
      <c r="C6" s="2175"/>
      <c r="D6" s="2176"/>
      <c r="E6" s="15">
        <f>H6+AC6+AT6</f>
        <v>40235</v>
      </c>
      <c r="F6" s="15" t="s">
        <v>1</v>
      </c>
      <c r="G6" s="15" t="s">
        <v>2</v>
      </c>
      <c r="H6" s="19">
        <f>SUMIF(I$12:AB$12,"总值",I6:AB6)</f>
        <v>40235</v>
      </c>
      <c r="I6" s="15">
        <f t="shared" ref="I6:AB6" si="2">ROUND($A$3*I5/$B$3,2)</f>
        <v>33967.32</v>
      </c>
      <c r="J6" s="15">
        <f t="shared" si="2"/>
        <v>0</v>
      </c>
      <c r="K6" s="15">
        <f t="shared" si="2"/>
        <v>6267.68</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1877</v>
      </c>
      <c r="AW6" s="2175"/>
      <c r="AX6" s="2175"/>
      <c r="AY6" s="20">
        <f>IF(AY3&gt;0,AY3,ROUND($A$3*AZ5/$B$3,2))</f>
        <v>40235</v>
      </c>
      <c r="AZ6" s="15" t="s">
        <v>3</v>
      </c>
      <c r="BA6" s="15">
        <f>ROUND($AY$6*BA5/$AZ$5,2)</f>
        <v>40235</v>
      </c>
      <c r="BB6" s="15">
        <f>ROUND($AY$6*BB5/$AZ$5,2)</f>
        <v>33967.32</v>
      </c>
      <c r="BC6" s="15">
        <f t="shared" ref="BC6:BH6" si="4">ROUND($AY$6*BC5/$AZ$5,2)</f>
        <v>6267.68</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1885</v>
      </c>
      <c r="AV7" s="22" t="s">
        <v>1886</v>
      </c>
      <c r="AW7" s="2167" t="s">
        <v>1887</v>
      </c>
      <c r="AX7" s="22" t="s">
        <v>1880</v>
      </c>
      <c r="AY7" s="1804"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9"/>
      <c r="K8" s="1819"/>
      <c r="L8" s="1819"/>
      <c r="M8" s="1819"/>
      <c r="N8" s="1819"/>
      <c r="O8" s="1819"/>
      <c r="P8" s="1819"/>
      <c r="Q8" s="1819"/>
      <c r="R8" s="1819"/>
      <c r="S8" s="1819"/>
      <c r="T8" s="1819"/>
      <c r="U8" s="1819"/>
      <c r="V8" s="2187"/>
      <c r="W8" s="1819"/>
      <c r="X8" s="1819"/>
      <c r="Y8" s="1819"/>
      <c r="Z8" s="1819"/>
      <c r="AA8" s="2187"/>
      <c r="AB8" s="2188"/>
      <c r="AC8" s="982" t="s">
        <v>1891</v>
      </c>
      <c r="AD8" s="2189"/>
      <c r="AE8" s="2181"/>
      <c r="AF8" s="1819"/>
      <c r="AG8" s="1819"/>
      <c r="AH8" s="1819"/>
      <c r="AI8" s="1819"/>
      <c r="AJ8" s="1819"/>
      <c r="AK8" s="1819"/>
      <c r="AL8" s="1819"/>
      <c r="AM8" s="1819"/>
      <c r="AN8" s="1819"/>
      <c r="AO8" s="1819"/>
      <c r="AP8" s="1819"/>
      <c r="AQ8" s="1819"/>
      <c r="AR8" s="1819"/>
      <c r="AS8" s="1819"/>
      <c r="AT8" s="1293" t="s">
        <v>1892</v>
      </c>
      <c r="AU8" s="2183" t="s">
        <v>1893</v>
      </c>
      <c r="AV8" s="1293"/>
      <c r="AW8" s="2166"/>
      <c r="AX8" s="1293"/>
      <c r="AY8" s="2167"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0" customFormat="1" ht="12.75">
      <c r="A9" s="2183"/>
      <c r="B9" s="2183"/>
      <c r="C9" s="2183"/>
      <c r="D9" s="2183"/>
      <c r="E9" s="2183"/>
      <c r="F9" s="2183"/>
      <c r="G9" s="1293"/>
      <c r="H9" s="2191" t="s">
        <v>1896</v>
      </c>
      <c r="I9" s="2192" t="s">
        <v>3062</v>
      </c>
      <c r="J9" s="982"/>
      <c r="K9" s="2192" t="s">
        <v>3073</v>
      </c>
      <c r="L9" s="982"/>
      <c r="M9" s="2980" t="s">
        <v>3110</v>
      </c>
      <c r="N9" s="982"/>
      <c r="O9" s="2192"/>
      <c r="P9" s="982"/>
      <c r="Q9" s="2192"/>
      <c r="R9" s="982"/>
      <c r="S9" s="2192"/>
      <c r="T9" s="982"/>
      <c r="U9" s="2192"/>
      <c r="V9" s="982"/>
      <c r="W9" s="2192"/>
      <c r="X9" s="2193"/>
      <c r="Y9" s="2192"/>
      <c r="Z9" s="982"/>
      <c r="AA9" s="2192"/>
      <c r="AB9" s="982"/>
      <c r="AC9" s="2184" t="s">
        <v>1896</v>
      </c>
      <c r="AD9" s="14" t="s">
        <v>1897</v>
      </c>
      <c r="AE9" s="1299"/>
      <c r="AF9" s="14" t="s">
        <v>1898</v>
      </c>
      <c r="AG9" s="1299"/>
      <c r="AH9" s="14" t="s">
        <v>1897</v>
      </c>
      <c r="AI9" s="1299"/>
      <c r="AJ9" s="14" t="s">
        <v>1898</v>
      </c>
      <c r="AK9" s="1299"/>
      <c r="AL9" s="14" t="s">
        <v>1897</v>
      </c>
      <c r="AM9" s="1299"/>
      <c r="AN9" s="14" t="s">
        <v>1898</v>
      </c>
      <c r="AO9" s="1299"/>
      <c r="AP9" s="14" t="s">
        <v>1897</v>
      </c>
      <c r="AQ9" s="1299"/>
      <c r="AR9" s="14" t="s">
        <v>1898</v>
      </c>
      <c r="AS9" s="2194"/>
      <c r="AT9" s="2183"/>
      <c r="AU9" s="2183" t="s">
        <v>1899</v>
      </c>
      <c r="AV9" s="1293"/>
      <c r="AW9" s="2166"/>
      <c r="AX9" s="1293"/>
      <c r="AY9" s="27"/>
      <c r="AZ9" s="27" t="s">
        <v>1889</v>
      </c>
      <c r="BA9" s="2195" t="s">
        <v>1900</v>
      </c>
      <c r="BB9" s="2196"/>
      <c r="BC9" s="1339"/>
      <c r="BD9" s="1339"/>
      <c r="BE9" s="1339"/>
      <c r="BF9" s="1339"/>
      <c r="BG9" s="1339"/>
      <c r="BH9" s="1339"/>
      <c r="BI9" s="1339"/>
      <c r="BJ9" s="1339"/>
      <c r="BK9" s="2197"/>
      <c r="BL9" s="14" t="s">
        <v>1901</v>
      </c>
      <c r="BM9" s="1819"/>
      <c r="BN9" s="2186"/>
      <c r="BO9" s="1819"/>
      <c r="BP9" s="1819"/>
      <c r="BQ9" s="1819"/>
      <c r="BR9" s="1819"/>
      <c r="BS9" s="1819"/>
      <c r="BT9" s="25"/>
    </row>
    <row r="10" spans="1:72" s="2190" customFormat="1" ht="12.75">
      <c r="A10" s="2183"/>
      <c r="B10" s="2183"/>
      <c r="C10" s="2183"/>
      <c r="D10" s="2183"/>
      <c r="E10" s="2183"/>
      <c r="F10" s="2183"/>
      <c r="G10" s="1293"/>
      <c r="H10" s="27"/>
      <c r="I10" s="2192" t="s">
        <v>1373</v>
      </c>
      <c r="J10" s="982"/>
      <c r="K10" s="2198" t="s">
        <v>3103</v>
      </c>
      <c r="L10" s="982"/>
      <c r="M10" s="2198" t="s">
        <v>1373</v>
      </c>
      <c r="N10" s="982"/>
      <c r="O10" s="2198"/>
      <c r="P10" s="982"/>
      <c r="Q10" s="2198"/>
      <c r="R10" s="982"/>
      <c r="S10" s="2198"/>
      <c r="T10" s="982"/>
      <c r="U10" s="2198"/>
      <c r="V10" s="982"/>
      <c r="W10" s="2198"/>
      <c r="X10" s="982"/>
      <c r="Y10" s="2198"/>
      <c r="Z10" s="982"/>
      <c r="AA10" s="2198"/>
      <c r="AB10" s="982"/>
      <c r="AC10" s="1293"/>
      <c r="AD10" s="14" t="s">
        <v>1902</v>
      </c>
      <c r="AE10" s="2199"/>
      <c r="AF10" s="14" t="s">
        <v>1902</v>
      </c>
      <c r="AG10" s="2199"/>
      <c r="AH10" s="14" t="s">
        <v>1903</v>
      </c>
      <c r="AI10" s="2199"/>
      <c r="AJ10" s="14" t="s">
        <v>1903</v>
      </c>
      <c r="AK10" s="2199"/>
      <c r="AL10" s="14" t="s">
        <v>1904</v>
      </c>
      <c r="AM10" s="1299"/>
      <c r="AN10" s="14" t="s">
        <v>1904</v>
      </c>
      <c r="AO10" s="1299"/>
      <c r="AP10" s="14" t="s">
        <v>1905</v>
      </c>
      <c r="AQ10" s="1299"/>
      <c r="AR10" s="14" t="s">
        <v>1905</v>
      </c>
      <c r="AS10" s="1299"/>
      <c r="AT10" s="2183"/>
      <c r="AU10" s="2183"/>
      <c r="AV10" s="1293"/>
      <c r="AW10" s="2166"/>
      <c r="AX10" s="1293"/>
      <c r="AY10" s="27"/>
      <c r="AZ10" s="27"/>
      <c r="BA10" s="2200" t="s">
        <v>1896</v>
      </c>
      <c r="BB10" s="2201"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8" t="str">
        <f>AD9</f>
        <v>地上</v>
      </c>
      <c r="BN10" s="28" t="str">
        <f>AF9</f>
        <v>地下</v>
      </c>
      <c r="BO10" s="1818" t="str">
        <f>AH9</f>
        <v>地上</v>
      </c>
      <c r="BP10" s="28" t="str">
        <f>AJ9</f>
        <v>地下</v>
      </c>
      <c r="BQ10" s="1818" t="str">
        <f>AL9</f>
        <v>地上</v>
      </c>
      <c r="BR10" s="28"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20"/>
      <c r="AF11" s="2205" t="s">
        <v>1906</v>
      </c>
      <c r="AG11" s="1820"/>
      <c r="AH11" s="2205" t="s">
        <v>1907</v>
      </c>
      <c r="AI11" s="2206"/>
      <c r="AJ11" s="2205" t="s">
        <v>1907</v>
      </c>
      <c r="AK11" s="1820"/>
      <c r="AL11" s="1818"/>
      <c r="AM11" s="1820"/>
      <c r="AN11" s="1818"/>
      <c r="AO11" s="1820"/>
      <c r="AP11" s="1818"/>
      <c r="AQ11" s="1820"/>
      <c r="AR11" s="1818"/>
      <c r="AS11" s="1820"/>
      <c r="AT11" s="2166"/>
      <c r="AU11" s="2183"/>
      <c r="AV11" s="1293"/>
      <c r="AW11" s="2166"/>
      <c r="AX11" s="1293"/>
      <c r="AY11" s="27"/>
      <c r="AZ11" s="27"/>
      <c r="BA11" s="27"/>
      <c r="BB11" s="2188" t="str">
        <f>I10</f>
        <v>商业</v>
      </c>
      <c r="BC11" s="2188" t="str">
        <f>K10</f>
        <v>车库</v>
      </c>
      <c r="BD11" s="2188" t="str">
        <f>M10</f>
        <v>商业</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0"/>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8" t="s">
        <v>1909</v>
      </c>
      <c r="AT12" s="2211"/>
      <c r="AU12" s="2208"/>
      <c r="AV12" s="30"/>
      <c r="AW12" s="2167"/>
      <c r="AX12" s="30"/>
      <c r="AY12" s="2212"/>
      <c r="AZ12" s="27"/>
      <c r="BA12" s="2200"/>
      <c r="BB12" s="23">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7">
        <f>AR11</f>
        <v>0</v>
      </c>
    </row>
    <row r="13" spans="1:72" s="2168" customFormat="1" ht="12.75">
      <c r="A13" s="1273"/>
      <c r="B13" s="1273"/>
      <c r="C13" s="2955" t="s">
        <v>3061</v>
      </c>
      <c r="D13" s="2214" t="s">
        <v>3064</v>
      </c>
      <c r="E13" s="15">
        <f>IF($C$3="是",ROUND($A$3*G13/$B$3,2),ROUND($A$3*(G13-AT13)/$B$3,2))</f>
        <v>33967.32</v>
      </c>
      <c r="F13" s="31"/>
      <c r="G13" s="32">
        <f>H13+AC13+AT13</f>
        <v>77026.790000000008</v>
      </c>
      <c r="H13" s="19">
        <f>SUMIF(I$12:AB$12,"总值",I13:AB13)</f>
        <v>77026.790000000008</v>
      </c>
      <c r="I13" s="2972">
        <f>81991.08-4964.29</f>
        <v>77026.790000000008</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商业</v>
      </c>
      <c r="AY13" s="1807">
        <f>ROUND($AY$6*AZ13/$AZ$5,2)</f>
        <v>33967.32</v>
      </c>
      <c r="AZ13" s="15">
        <f>BA13+BL13</f>
        <v>77026.790000000008</v>
      </c>
      <c r="BA13" s="15">
        <f>SUM(BB13:BK13)</f>
        <v>77026.790000000008</v>
      </c>
      <c r="BB13" s="15">
        <f>IF($D13="是",I13-J13,0)</f>
        <v>77026.790000000008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12.75">
      <c r="A14" s="1273"/>
      <c r="B14" s="1273"/>
      <c r="C14" s="2956" t="s">
        <v>3104</v>
      </c>
      <c r="D14" s="2214" t="s">
        <v>3064</v>
      </c>
      <c r="E14" s="15">
        <f>IF($C$3="是",ROUND($A$3*G14/$B$3,2),ROUND($A$3*(G14-AT14)/$B$3,2))</f>
        <v>6267.68</v>
      </c>
      <c r="F14" s="31"/>
      <c r="G14" s="32">
        <f>H14+AC14+AT14</f>
        <v>14213.06</v>
      </c>
      <c r="H14" s="19">
        <f>SUMIF(I$12:AB$12,"总值",I14:AB14)</f>
        <v>14213.06</v>
      </c>
      <c r="I14" s="2215"/>
      <c r="J14" s="2215"/>
      <c r="K14" s="2972">
        <f>12900+1313.06</f>
        <v>14213.06</v>
      </c>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车库</v>
      </c>
      <c r="AY14" s="1807">
        <f>ROUND($AY$6*AZ14/$AZ$5,2)</f>
        <v>6267.68</v>
      </c>
      <c r="AZ14" s="15">
        <f>BA14+BL14</f>
        <v>14213.06</v>
      </c>
      <c r="BA14" s="15">
        <f>SUM(BB14:BK14)</f>
        <v>14213.06</v>
      </c>
      <c r="BB14" s="15">
        <f>IF($D14="是",I14-J14,0)</f>
        <v>0</v>
      </c>
      <c r="BC14" s="15">
        <f>IF($D14="是",K14-L14,0)</f>
        <v>14213.06</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12.75">
      <c r="A15" s="1273"/>
      <c r="B15" s="1273"/>
      <c r="C15" s="2956"/>
      <c r="D15" s="2214" t="s">
        <v>3064</v>
      </c>
      <c r="E15" s="15">
        <f>IF($C$3="是",ROUND($A$3*G15/$B$3,2),ROUND($A$3*(G15-AT15)/$B$3,2))</f>
        <v>0</v>
      </c>
      <c r="F15" s="31"/>
      <c r="G15" s="32">
        <f>H15+AC15+AT15</f>
        <v>0</v>
      </c>
      <c r="H15" s="19">
        <f>SUMIF(I$12:AB$12,"总值",I15:AB15)</f>
        <v>0</v>
      </c>
      <c r="I15" s="2215"/>
      <c r="J15" s="2215"/>
      <c r="K15" s="2215"/>
      <c r="L15" s="2215"/>
      <c r="M15" s="2972"/>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12.75">
      <c r="A16" s="1273"/>
      <c r="B16" s="1273"/>
      <c r="C16" s="2154"/>
      <c r="D16" s="2214"/>
      <c r="E16" s="15">
        <f>IF($C$3="是",ROUND($A$3*G16/$B$3,2),ROUND($A$3*(G16-AT16)/$B$3,2))</f>
        <v>0</v>
      </c>
      <c r="F16" s="31"/>
      <c r="G16" s="32">
        <f>H16+AC16+AT16</f>
        <v>0</v>
      </c>
      <c r="H16" s="19">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12.75">
      <c r="A17" s="1273"/>
      <c r="B17" s="1273"/>
      <c r="C17" s="2154"/>
      <c r="D17" s="2214"/>
      <c r="E17" s="15">
        <f>IF($C$3="是",ROUND($A$3*G17/$B$3,2),ROUND($A$3*(G17-AT17)/$B$3,2))</f>
        <v>0</v>
      </c>
      <c r="F17" s="31"/>
      <c r="G17" s="32">
        <f>H17+AC17+AT17</f>
        <v>0</v>
      </c>
      <c r="H17" s="19">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0"/>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0"/>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0"/>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0"/>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0"/>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0"/>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0"/>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0"/>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0"/>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0"/>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0"/>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0"/>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0"/>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0"/>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0"/>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0"/>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0"/>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0"/>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0"/>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0"/>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0"/>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0"/>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0"/>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0"/>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0"/>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0"/>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0"/>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0"/>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0"/>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0"/>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0"/>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0"/>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0"/>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0"/>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0"/>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0"/>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0"/>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0"/>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0"/>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0"/>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0"/>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0"/>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0"/>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0"/>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0"/>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0"/>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0"/>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0"/>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0"/>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0"/>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0"/>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0"/>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0"/>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0"/>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0"/>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0"/>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0"/>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0"/>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0"/>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0"/>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0"/>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0"/>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0"/>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0"/>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0"/>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0"/>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0"/>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0"/>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0"/>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0"/>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0"/>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0"/>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0"/>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0"/>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0"/>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0"/>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0"/>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0"/>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0"/>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0"/>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0"/>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0"/>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0"/>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0"/>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0"/>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0"/>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0"/>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0"/>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0"/>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0"/>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0"/>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0"/>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0"/>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0"/>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0"/>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0"/>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0"/>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0"/>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0"/>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0"/>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0"/>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0"/>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0"/>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0"/>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0"/>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0"/>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0"/>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0"/>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0"/>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0"/>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0"/>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0"/>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0"/>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0"/>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0"/>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0"/>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0"/>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0"/>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0"/>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0"/>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0"/>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0"/>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0"/>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0"/>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0"/>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0"/>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0"/>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0"/>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0"/>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0"/>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0"/>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0"/>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0"/>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0"/>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0"/>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0"/>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0"/>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0"/>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0"/>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0"/>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0"/>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0"/>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0"/>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0"/>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0"/>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0"/>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0"/>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0"/>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0"/>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0"/>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0"/>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0"/>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0"/>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0"/>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0"/>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0"/>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0"/>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0"/>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0"/>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0"/>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0"/>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0"/>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0"/>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0"/>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0"/>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0"/>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0"/>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0"/>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0"/>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0"/>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0"/>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0"/>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0"/>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0"/>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0"/>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0"/>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0"/>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0"/>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0"/>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0"/>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0"/>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0"/>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0"/>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0"/>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0"/>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0"/>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0"/>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0"/>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0"/>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0"/>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0"/>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0"/>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0"/>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0"/>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0"/>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0"/>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0"/>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0"/>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0"/>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0"/>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0"/>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0"/>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0"/>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0"/>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0"/>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0"/>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0"/>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0"/>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0"/>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0"/>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0"/>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0"/>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0"/>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0"/>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0"/>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0"/>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0"/>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0"/>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0"/>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0"/>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0"/>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0"/>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0"/>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0"/>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0"/>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0"/>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0"/>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0"/>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0"/>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0"/>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0"/>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0"/>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0"/>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0"/>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0"/>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0"/>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0"/>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0"/>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0"/>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0"/>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0"/>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0"/>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0"/>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0"/>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0"/>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0"/>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0"/>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0"/>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0"/>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0"/>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0"/>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0"/>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0"/>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0"/>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0"/>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0"/>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0"/>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0"/>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0"/>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0"/>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0"/>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0"/>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0"/>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0"/>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0"/>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0"/>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0"/>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0"/>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0"/>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0"/>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0"/>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0"/>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0"/>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0"/>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0"/>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0"/>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0"/>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0"/>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0"/>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0"/>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0"/>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0"/>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0"/>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0"/>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0"/>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0"/>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0"/>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0"/>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0"/>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0"/>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0"/>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0"/>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0"/>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0"/>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0"/>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0"/>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0"/>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0"/>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0"/>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0"/>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0"/>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0"/>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0"/>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0"/>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0"/>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0"/>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0"/>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0"/>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0"/>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0"/>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0"/>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0"/>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0"/>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0"/>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0"/>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0"/>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0"/>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0"/>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0"/>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0"/>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0"/>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0"/>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0"/>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0"/>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0"/>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0"/>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0"/>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0"/>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0"/>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0"/>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0"/>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0"/>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0"/>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0"/>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0"/>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0"/>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0"/>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0"/>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0"/>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0"/>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0"/>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0"/>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0"/>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0"/>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0"/>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0"/>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0"/>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0"/>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0"/>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0"/>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0"/>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0"/>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0"/>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0"/>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0"/>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0"/>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0"/>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0"/>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0"/>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0"/>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0"/>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0"/>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0"/>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0"/>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0"/>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0"/>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0"/>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0"/>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0"/>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0"/>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0"/>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0"/>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0"/>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0"/>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0"/>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0"/>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0"/>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0"/>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0"/>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0"/>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0"/>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0"/>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0"/>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0"/>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0"/>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0"/>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0"/>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0"/>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0"/>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0"/>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0"/>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0"/>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0"/>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0"/>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0"/>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0"/>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0"/>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0"/>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0"/>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0"/>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0"/>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0"/>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0"/>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0"/>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0"/>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0"/>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0"/>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0"/>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0"/>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0"/>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0"/>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0"/>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0"/>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0"/>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0"/>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0"/>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0"/>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0"/>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0"/>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0"/>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0"/>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0"/>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0"/>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0"/>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0"/>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0"/>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0"/>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0"/>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0"/>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0"/>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0"/>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0"/>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0"/>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0"/>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0"/>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0"/>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0"/>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0"/>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0"/>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0"/>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0"/>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0"/>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0"/>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0"/>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0"/>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0"/>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0"/>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0"/>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0"/>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0"/>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0"/>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0"/>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0"/>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0"/>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0"/>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0"/>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0"/>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0"/>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0"/>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0"/>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0"/>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0"/>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0"/>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0"/>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0"/>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0"/>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0"/>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0"/>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0"/>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0"/>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0"/>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0"/>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0"/>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0"/>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0"/>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0"/>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0"/>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0"/>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0"/>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0"/>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0"/>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0"/>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0"/>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0"/>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0"/>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0"/>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0"/>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0"/>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0"/>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0"/>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0"/>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0"/>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0"/>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0"/>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0"/>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0"/>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0"/>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0"/>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0"/>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0"/>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0"/>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0"/>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0"/>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0"/>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0"/>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0"/>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0"/>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0"/>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0"/>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0"/>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0"/>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0"/>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0"/>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0"/>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0"/>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0"/>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0"/>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0"/>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0"/>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0"/>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0"/>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0"/>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0"/>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0"/>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0"/>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0"/>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0"/>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0"/>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0"/>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0"/>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0"/>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0"/>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0"/>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0"/>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0"/>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H25" sqref="H2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161" t="s">
        <v>1936</v>
      </c>
      <c r="B2" s="3161"/>
      <c r="C2" s="3161"/>
      <c r="D2" s="968" t="s">
        <v>1912</v>
      </c>
      <c r="E2" s="2228" t="s">
        <v>1913</v>
      </c>
      <c r="F2" s="1393"/>
      <c r="G2" s="2229"/>
      <c r="H2" s="2230"/>
      <c r="I2" s="2231" t="s">
        <v>1937</v>
      </c>
      <c r="J2" s="1393"/>
      <c r="K2" s="1393"/>
      <c r="L2" s="1393"/>
      <c r="M2" s="1393"/>
      <c r="N2" s="1428"/>
      <c r="O2" s="1393"/>
      <c r="P2" s="1393"/>
    </row>
    <row r="3" spans="1:16" ht="15.75" thickBot="1">
      <c r="A3" s="3162" t="s">
        <v>1910</v>
      </c>
      <c r="B3" s="3162"/>
      <c r="C3" s="3162"/>
      <c r="D3" s="45">
        <f>'数据-基础表'!AY6</f>
        <v>40235</v>
      </c>
      <c r="E3" s="45">
        <f>'数据-基础表'!AZ5</f>
        <v>91239.85</v>
      </c>
      <c r="F3" s="1393"/>
      <c r="G3" s="1400"/>
      <c r="H3" s="1248" t="s">
        <v>1911</v>
      </c>
      <c r="I3" s="54">
        <f>ROUND('数据-基础表'!B3/'数据-基础表'!A3,2)</f>
        <v>2.27</v>
      </c>
      <c r="J3" s="1393"/>
      <c r="K3" s="1393"/>
      <c r="L3" s="1393"/>
      <c r="M3" s="1393"/>
      <c r="N3" s="1428"/>
      <c r="O3" s="1393"/>
      <c r="P3" s="1393"/>
    </row>
    <row r="4" spans="1:16" ht="15">
      <c r="A4" s="3081"/>
      <c r="B4" s="3082"/>
      <c r="C4" s="3163"/>
      <c r="D4" s="2232" t="s">
        <v>1912</v>
      </c>
      <c r="E4" s="2233" t="s">
        <v>1913</v>
      </c>
      <c r="F4" s="1393"/>
      <c r="G4" s="2234" t="s">
        <v>1938</v>
      </c>
      <c r="H4" s="1248" t="s">
        <v>1918</v>
      </c>
      <c r="I4" s="54">
        <f>ROUND(SUMIF('数据-基础表'!I9:AS9,"地上",'数据-基础表'!I5:AS5)/'数据-基础表'!A3,2)</f>
        <v>1.91</v>
      </c>
      <c r="J4" s="1393"/>
      <c r="K4" s="1393"/>
      <c r="L4" s="1393"/>
      <c r="M4" s="1393"/>
      <c r="N4" s="1428"/>
      <c r="O4" s="1393"/>
      <c r="P4" s="1393"/>
    </row>
    <row r="5" spans="1:16">
      <c r="A5" s="46" t="s">
        <v>1914</v>
      </c>
      <c r="B5" s="3164" t="s">
        <v>1915</v>
      </c>
      <c r="C5" s="3164"/>
      <c r="D5" s="47">
        <f>ROUND($D$3*E5/$E$3,2)</f>
        <v>0</v>
      </c>
      <c r="E5" s="48">
        <f>SUMIF('数据-基础表'!$11:$11,"住宅",'数据-基础表'!$5:$5)</f>
        <v>0</v>
      </c>
      <c r="F5" s="1393"/>
      <c r="G5" s="1400"/>
      <c r="H5" s="1248" t="s">
        <v>1911</v>
      </c>
      <c r="I5" s="54">
        <f>ROUND(E31/D31,2)</f>
        <v>2.27</v>
      </c>
      <c r="J5" s="1393"/>
      <c r="K5" s="1393"/>
      <c r="L5" s="1393"/>
      <c r="M5" s="1393"/>
      <c r="N5" s="1393"/>
      <c r="O5" s="1393"/>
      <c r="P5" s="1393"/>
    </row>
    <row r="6" spans="1:16" ht="15" thickBot="1">
      <c r="A6" s="2235"/>
      <c r="B6" s="3164" t="s">
        <v>1916</v>
      </c>
      <c r="C6" s="3164"/>
      <c r="D6" s="47">
        <f>ROUND($D$3*E6/$E$3,2)</f>
        <v>40235</v>
      </c>
      <c r="E6" s="48">
        <f>E3-E5</f>
        <v>91239.85</v>
      </c>
      <c r="F6" s="1393"/>
      <c r="G6" s="2236" t="s">
        <v>1917</v>
      </c>
      <c r="H6" s="1400" t="s">
        <v>1918</v>
      </c>
      <c r="I6" s="940">
        <f>ROUND(F31/D31,2)</f>
        <v>1.91</v>
      </c>
      <c r="J6" s="1393"/>
      <c r="K6" s="1393"/>
      <c r="L6" s="1393"/>
      <c r="M6" s="1393"/>
      <c r="N6" s="1393"/>
      <c r="O6" s="1393"/>
      <c r="P6" s="1393"/>
    </row>
    <row r="7" spans="1:16" ht="15">
      <c r="A7" s="3158"/>
      <c r="B7" s="3159"/>
      <c r="C7" s="3160"/>
      <c r="D7" s="2232" t="s">
        <v>1912</v>
      </c>
      <c r="E7" s="2237" t="s">
        <v>1919</v>
      </c>
      <c r="F7" s="1393"/>
      <c r="G7" s="2229" t="s">
        <v>1920</v>
      </c>
      <c r="H7" s="63"/>
      <c r="I7" s="2969">
        <v>1.98</v>
      </c>
      <c r="J7" s="1393"/>
      <c r="K7" s="1393"/>
      <c r="L7" s="1393"/>
      <c r="M7" s="1393"/>
      <c r="N7" s="1393"/>
      <c r="O7" s="1393"/>
      <c r="P7" s="1393"/>
    </row>
    <row r="8" spans="1:16">
      <c r="A8" s="46" t="s">
        <v>1921</v>
      </c>
      <c r="B8" s="49" t="s">
        <v>1922</v>
      </c>
      <c r="C8" s="47" t="s">
        <v>1923</v>
      </c>
      <c r="D8" s="47">
        <f t="shared" ref="D8:D15" si="0">ROUND($D$3*E8/$E$3,2)</f>
        <v>33967.32</v>
      </c>
      <c r="E8" s="50">
        <f>SUMIF('数据-基础表'!BB10:BK10,"地上",'数据-基础表'!BB5:BK5)</f>
        <v>77026.790000000008</v>
      </c>
      <c r="F8" s="1393"/>
      <c r="G8" s="2238"/>
      <c r="H8" s="2238"/>
      <c r="I8" s="1393"/>
      <c r="J8" s="1393"/>
      <c r="K8" s="1393"/>
      <c r="L8" s="1393"/>
      <c r="M8" s="1393"/>
      <c r="N8" s="1393"/>
      <c r="O8" s="1393"/>
      <c r="P8" s="1393"/>
    </row>
    <row r="9" spans="1:16">
      <c r="A9" s="2239"/>
      <c r="B9" s="2240"/>
      <c r="C9" s="47" t="s">
        <v>1924</v>
      </c>
      <c r="D9" s="47">
        <f t="shared" si="0"/>
        <v>0</v>
      </c>
      <c r="E9" s="51">
        <v>0</v>
      </c>
      <c r="F9" s="1393"/>
      <c r="G9" s="2238"/>
      <c r="H9" s="2238"/>
      <c r="I9" s="1393"/>
      <c r="J9" s="1393"/>
      <c r="K9" s="1393"/>
      <c r="L9" s="1393"/>
      <c r="M9" s="1393"/>
      <c r="N9" s="1393"/>
      <c r="O9" s="1393"/>
      <c r="P9" s="1393"/>
    </row>
    <row r="10" spans="1:16">
      <c r="A10" s="2239"/>
      <c r="B10" s="2240"/>
      <c r="C10" s="47" t="s">
        <v>1933</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1925</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1926</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1927</v>
      </c>
      <c r="D13" s="47">
        <f t="shared" si="0"/>
        <v>6267.68</v>
      </c>
      <c r="E13" s="50">
        <f>SUMPRODUCT(('数据-基础表'!BB10:BK10="地下")*('数据-基础表'!BB11:BK11="车库")*('数据-基础表'!BB5:BK5))</f>
        <v>14213.06</v>
      </c>
      <c r="F13" s="1393"/>
      <c r="G13" s="2238"/>
      <c r="H13" s="2238"/>
      <c r="I13" s="1393"/>
      <c r="J13" s="1393"/>
      <c r="K13" s="1393"/>
      <c r="L13" s="1393"/>
      <c r="M13" s="1393"/>
      <c r="N13" s="1393"/>
      <c r="O13" s="1393"/>
      <c r="P13" s="1393"/>
    </row>
    <row r="14" spans="1:16">
      <c r="A14" s="2239"/>
      <c r="B14" s="2240"/>
      <c r="C14" s="47" t="s">
        <v>1939</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1934</v>
      </c>
      <c r="D15" s="47">
        <f t="shared" si="0"/>
        <v>0</v>
      </c>
      <c r="E15" s="50">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49" t="s">
        <v>1928</v>
      </c>
      <c r="D16" s="49">
        <f>SUM(D8:D15)</f>
        <v>40235</v>
      </c>
      <c r="E16" s="52">
        <f>SUM(E8:E15)</f>
        <v>91239.85</v>
      </c>
      <c r="F16" s="1393"/>
      <c r="G16" s="2238"/>
      <c r="H16" s="2241" t="s">
        <v>1940</v>
      </c>
      <c r="I16" s="2242"/>
      <c r="J16" s="1393"/>
      <c r="K16" s="3155" t="s">
        <v>1940</v>
      </c>
      <c r="L16" s="3156"/>
      <c r="M16" s="3156"/>
      <c r="N16" s="3156"/>
      <c r="O16" s="3156"/>
      <c r="P16" s="3157"/>
    </row>
    <row r="17" spans="1:19" ht="15">
      <c r="A17" s="2243" t="s">
        <v>1941</v>
      </c>
      <c r="B17" s="2244" t="s">
        <v>1942</v>
      </c>
      <c r="C17" s="2245" t="s">
        <v>1943</v>
      </c>
      <c r="D17" s="2246" t="s">
        <v>1931</v>
      </c>
      <c r="E17" s="2247" t="s">
        <v>1932</v>
      </c>
      <c r="F17" s="2248"/>
      <c r="G17" s="2249"/>
      <c r="H17" s="2250" t="s">
        <v>1944</v>
      </c>
      <c r="I17" s="2251" t="s">
        <v>1929</v>
      </c>
      <c r="J17" s="1393"/>
      <c r="K17" s="3152" t="s">
        <v>1945</v>
      </c>
      <c r="L17" s="3153"/>
      <c r="M17" s="3154"/>
      <c r="N17" s="3152" t="s">
        <v>1946</v>
      </c>
      <c r="O17" s="3153"/>
      <c r="P17" s="3154"/>
      <c r="R17" s="2229" t="s">
        <v>1947</v>
      </c>
      <c r="S17" s="63"/>
    </row>
    <row r="18" spans="1:19" ht="15">
      <c r="A18" s="2239"/>
      <c r="B18" s="2252"/>
      <c r="C18" s="2253"/>
      <c r="D18" s="2254"/>
      <c r="E18" s="2255" t="s">
        <v>1948</v>
      </c>
      <c r="F18" s="2256" t="s">
        <v>1949</v>
      </c>
      <c r="G18" s="2257" t="s">
        <v>1950</v>
      </c>
      <c r="H18" s="1263" t="s">
        <v>1951</v>
      </c>
      <c r="I18" s="2258" t="s">
        <v>1952</v>
      </c>
      <c r="J18" s="1393"/>
      <c r="K18" s="1263" t="s">
        <v>1953</v>
      </c>
      <c r="L18" s="2259" t="s">
        <v>1954</v>
      </c>
      <c r="M18" s="1047" t="s">
        <v>1955</v>
      </c>
      <c r="N18" s="1263" t="s">
        <v>1953</v>
      </c>
      <c r="O18" s="2259" t="s">
        <v>1954</v>
      </c>
      <c r="P18" s="1047" t="s">
        <v>1955</v>
      </c>
      <c r="R18" s="1248" t="s">
        <v>1956</v>
      </c>
      <c r="S18" s="1248" t="s">
        <v>1957</v>
      </c>
    </row>
    <row r="19" spans="1:19">
      <c r="A19" s="2260"/>
      <c r="B19" s="49" t="s">
        <v>1930</v>
      </c>
      <c r="C19" s="2957" t="s">
        <v>3063</v>
      </c>
      <c r="D19" s="47">
        <f>ROUND($D$3*E19/$E$3,2)</f>
        <v>33967.32</v>
      </c>
      <c r="E19" s="55">
        <f t="shared" ref="E19:E26" si="1">SUM(F19:G19)</f>
        <v>77026.790000000008</v>
      </c>
      <c r="F19" s="56">
        <f>'数据-基础表'!I13</f>
        <v>77026.790000000008</v>
      </c>
      <c r="G19" s="57"/>
      <c r="H19" s="721">
        <f>ROUND($D$3*I19/$E$3,2)</f>
        <v>0</v>
      </c>
      <c r="I19" s="50">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33967.32</v>
      </c>
      <c r="S19" s="1249">
        <f t="shared" si="5"/>
        <v>77026.790000000008</v>
      </c>
    </row>
    <row r="20" spans="1:19">
      <c r="A20" s="2263"/>
      <c r="B20" s="49" t="s">
        <v>1958</v>
      </c>
      <c r="C20" s="2957" t="s">
        <v>3105</v>
      </c>
      <c r="D20" s="47">
        <f t="shared" ref="D20:D26" si="6">ROUND($D$3*E20/$E$3,2)</f>
        <v>6267.68</v>
      </c>
      <c r="E20" s="55">
        <f t="shared" si="1"/>
        <v>14213.06</v>
      </c>
      <c r="F20" s="56"/>
      <c r="G20" s="57">
        <f>'数据-基础表'!K14</f>
        <v>14213.06</v>
      </c>
      <c r="H20" s="721">
        <f t="shared" ref="H20:H26" si="7">ROUND($D$3*I20/$E$3,2)</f>
        <v>0</v>
      </c>
      <c r="I20" s="50">
        <f t="shared" si="2"/>
        <v>0</v>
      </c>
      <c r="J20" s="1393"/>
      <c r="K20" s="1392">
        <f t="shared" si="3"/>
        <v>0</v>
      </c>
      <c r="L20" s="1248">
        <f t="shared" si="4"/>
        <v>0</v>
      </c>
      <c r="M20" s="1404">
        <f t="shared" ref="M20:M26" si="8">K20+L20</f>
        <v>0</v>
      </c>
      <c r="N20" s="2261"/>
      <c r="O20" s="2262"/>
      <c r="P20" s="1404">
        <f t="shared" ref="P20:P26" si="9">N20+O20</f>
        <v>0</v>
      </c>
      <c r="R20" s="1248">
        <f t="shared" si="5"/>
        <v>6267.68</v>
      </c>
      <c r="S20" s="1249">
        <f t="shared" si="5"/>
        <v>14213.06</v>
      </c>
    </row>
    <row r="21" spans="1:19">
      <c r="A21" s="2263"/>
      <c r="B21" s="49" t="s">
        <v>1958</v>
      </c>
      <c r="C21" s="2957"/>
      <c r="D21" s="47">
        <f t="shared" si="6"/>
        <v>0</v>
      </c>
      <c r="E21" s="55">
        <f t="shared" si="1"/>
        <v>0</v>
      </c>
      <c r="F21" s="56"/>
      <c r="G21" s="57"/>
      <c r="H21" s="721">
        <f t="shared" si="7"/>
        <v>0</v>
      </c>
      <c r="I21" s="50">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49" t="s">
        <v>1958</v>
      </c>
      <c r="C22" s="59"/>
      <c r="D22" s="47">
        <f t="shared" si="6"/>
        <v>0</v>
      </c>
      <c r="E22" s="55">
        <f t="shared" si="1"/>
        <v>0</v>
      </c>
      <c r="F22" s="60"/>
      <c r="G22" s="61"/>
      <c r="H22" s="721">
        <f t="shared" si="7"/>
        <v>0</v>
      </c>
      <c r="I22" s="50">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49" t="s">
        <v>1958</v>
      </c>
      <c r="C23" s="59"/>
      <c r="D23" s="47">
        <f>ROUND($D$3*E23/$E$3,2)</f>
        <v>0</v>
      </c>
      <c r="E23" s="55">
        <f>SUM(F23:G23)</f>
        <v>0</v>
      </c>
      <c r="F23" s="60"/>
      <c r="G23" s="61"/>
      <c r="H23" s="721">
        <f>ROUND($D$3*I23/$E$3,2)</f>
        <v>0</v>
      </c>
      <c r="I23" s="50">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49" t="s">
        <v>1958</v>
      </c>
      <c r="C24" s="59"/>
      <c r="D24" s="47">
        <f>ROUND($D$3*E24/$E$3,2)</f>
        <v>0</v>
      </c>
      <c r="E24" s="55">
        <f>SUM(F24:G24)</f>
        <v>0</v>
      </c>
      <c r="F24" s="60"/>
      <c r="G24" s="61"/>
      <c r="H24" s="721">
        <f>ROUND($D$3*I24/$E$3,2)</f>
        <v>0</v>
      </c>
      <c r="I24" s="50">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49" t="s">
        <v>1958</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49" t="s">
        <v>1958</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4"/>
      <c r="O26" s="2265"/>
      <c r="P26" s="66">
        <f t="shared" si="9"/>
        <v>0</v>
      </c>
      <c r="R26" s="1248">
        <f t="shared" si="5"/>
        <v>0</v>
      </c>
      <c r="S26" s="1249">
        <f t="shared" si="5"/>
        <v>0</v>
      </c>
    </row>
    <row r="27" spans="1:19" ht="15.75" thickBot="1">
      <c r="A27" s="2263"/>
      <c r="B27" s="47"/>
      <c r="C27" s="2266" t="s">
        <v>1959</v>
      </c>
      <c r="D27" s="1394">
        <f>SUM(D19:D26)</f>
        <v>40235</v>
      </c>
      <c r="E27" s="1395">
        <f>IF(SUM(E19:E26)='数据-基础表'!BA5,SUM(E19:E26),IF(F27="地上面积有误","面积有误","地下面积有误"))</f>
        <v>91239.85</v>
      </c>
      <c r="F27" s="1394">
        <f>IF(SUM(F19:F26)=E8,SUM(F19:F26),"地上面积有误")</f>
        <v>77026.790000000008</v>
      </c>
      <c r="G27" s="1396">
        <f>SUM(G19:G26)</f>
        <v>14213.06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40235</v>
      </c>
      <c r="S27" s="1248">
        <f>IF(SUM(S19:S26)=$E$3,SUM(S19:S26),SUM(S19:S26)&amp;"误差"&amp;ROUND(SUM(S19:S26)-E3,2))</f>
        <v>91239.85</v>
      </c>
    </row>
    <row r="28" spans="1:19">
      <c r="A28" s="2263"/>
      <c r="B28" s="49" t="s">
        <v>1960</v>
      </c>
      <c r="C28" s="1260" t="s">
        <v>1961</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3"/>
      <c r="B29" s="49" t="s">
        <v>1960</v>
      </c>
      <c r="C29" s="2267" t="s">
        <v>1962</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3"/>
      <c r="B30" s="49"/>
      <c r="C30" s="2268"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1963</v>
      </c>
      <c r="D31" s="727">
        <f>D27+D30</f>
        <v>40235</v>
      </c>
      <c r="E31" s="727">
        <f>E27+E30</f>
        <v>91239.85</v>
      </c>
      <c r="F31" s="728">
        <f>F27+F30</f>
        <v>77026.790000000008</v>
      </c>
      <c r="G31" s="729">
        <f>G27+G30</f>
        <v>14213.06</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J42" activePane="bottomRight" state="frozen"/>
      <selection activeCell="C50" sqref="C50"/>
      <selection pane="topRight" activeCell="C50" sqref="C50"/>
      <selection pane="bottomLeft" activeCell="C50" sqref="C50"/>
      <selection pane="bottomRight" activeCell="K58" sqref="K5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0"/>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1966</v>
      </c>
      <c r="B2" s="1267">
        <f>项目基本情况!D3</f>
        <v>43546</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1973</v>
      </c>
      <c r="B5" s="2290" t="s">
        <v>1974</v>
      </c>
      <c r="C5" s="2291" t="s">
        <v>1975</v>
      </c>
      <c r="D5" s="2292" t="s">
        <v>1976</v>
      </c>
      <c r="E5" s="1269" t="s">
        <v>1977</v>
      </c>
      <c r="F5" s="2293" t="s">
        <v>1978</v>
      </c>
      <c r="G5" s="1269" t="s">
        <v>1979</v>
      </c>
      <c r="H5" s="1269" t="s">
        <v>1980</v>
      </c>
      <c r="I5" s="1269" t="s">
        <v>1981</v>
      </c>
      <c r="J5" s="2294" t="s">
        <v>1982</v>
      </c>
      <c r="K5" s="2295" t="s">
        <v>1983</v>
      </c>
      <c r="L5" s="2296" t="s">
        <v>1984</v>
      </c>
      <c r="M5" s="2297" t="s">
        <v>1985</v>
      </c>
      <c r="N5" s="2298" t="s">
        <v>3065</v>
      </c>
      <c r="O5" s="2296" t="s">
        <v>1986</v>
      </c>
      <c r="P5" s="2299" t="s">
        <v>1987</v>
      </c>
      <c r="Q5" s="68" t="s">
        <v>1988</v>
      </c>
      <c r="R5" s="2300" t="s">
        <v>1989</v>
      </c>
      <c r="S5" s="2301" t="s">
        <v>1990</v>
      </c>
      <c r="T5" s="2302" t="s">
        <v>1991</v>
      </c>
      <c r="U5" s="1268" t="s">
        <v>1992</v>
      </c>
      <c r="V5" s="1269" t="s">
        <v>1993</v>
      </c>
      <c r="W5" s="1269" t="s">
        <v>1994</v>
      </c>
      <c r="X5" s="70"/>
      <c r="Y5" s="69" t="s">
        <v>1995</v>
      </c>
      <c r="Z5" s="2303" t="s">
        <v>1992</v>
      </c>
      <c r="AA5" s="1269" t="s">
        <v>1993</v>
      </c>
      <c r="AB5" s="1269" t="s">
        <v>1994</v>
      </c>
      <c r="AC5" s="70"/>
      <c r="AD5" s="70" t="s">
        <v>1995</v>
      </c>
      <c r="AE5" s="1268" t="s">
        <v>1996</v>
      </c>
      <c r="AF5" s="1269" t="s">
        <v>1997</v>
      </c>
      <c r="AG5" s="69" t="s">
        <v>1998</v>
      </c>
      <c r="AH5" s="1268" t="s">
        <v>1999</v>
      </c>
      <c r="AI5" s="2303" t="s">
        <v>2000</v>
      </c>
      <c r="AJ5" s="2303" t="s">
        <v>2001</v>
      </c>
      <c r="AK5" s="1269" t="s">
        <v>2002</v>
      </c>
      <c r="AL5" s="1269" t="s">
        <v>2003</v>
      </c>
      <c r="AM5" s="69" t="s">
        <v>2004</v>
      </c>
      <c r="AN5" s="2304" t="s">
        <v>2005</v>
      </c>
      <c r="AO5" s="2075" t="s">
        <v>2006</v>
      </c>
      <c r="AP5" s="1250"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6" t="str">
        <f>'数据-汇总表'!C19</f>
        <v>商业</v>
      </c>
      <c r="B6" s="2307" t="str">
        <f>IF(A6=0,"","经营性")</f>
        <v>经营性</v>
      </c>
      <c r="C6" s="2308" t="s">
        <v>1373</v>
      </c>
      <c r="D6" s="1052">
        <f>SUMIF(项目基本情况!D$12:I$12,C6,项目基本情况!D$14:I$14)</f>
        <v>40</v>
      </c>
      <c r="E6" s="1049">
        <f>IF(B6="","",SUMIF(项目基本情况!D$12:I$12,C6,项目基本情况!D$13:I$13))</f>
        <v>55137</v>
      </c>
      <c r="F6" s="71">
        <f>SUMIF(项目基本情况!D$12:I$12,C6,项目基本情况!D$15:I$15)</f>
        <v>31.75</v>
      </c>
      <c r="G6" s="72">
        <f>IF(ISERROR(ROUND(POWER(1+H6,D6-F6)*(POWER(1+H6,F6)-1)/(POWER(1+H6,D6)-1),3)),0,ROUND(POWER(1+H6,D6-F6)*(POWER(1+H6,F6)-1)/(POWER(1+H6,D6)-1),3))</f>
        <v>0.89900000000000002</v>
      </c>
      <c r="H6" s="800">
        <v>0.04</v>
      </c>
      <c r="I6" s="800">
        <v>4.4999999999999998E-2</v>
      </c>
      <c r="J6" s="73">
        <v>0.06</v>
      </c>
      <c r="K6" s="1252">
        <f>SUMIF('数据-汇总表'!C$19:C$33,A6,'数据-汇总表'!E$19:E$33)</f>
        <v>77026.790000000008</v>
      </c>
      <c r="L6" s="801">
        <v>5000</v>
      </c>
      <c r="M6" s="74">
        <f t="shared" ref="M6:M14" si="0">ROUND(K6*L6/10000,0)</f>
        <v>38513</v>
      </c>
      <c r="N6" s="2973">
        <v>0.05</v>
      </c>
      <c r="O6" s="74">
        <f>IF($N$5="成新度","——",ROUND(M6*N6,0))</f>
        <v>1926</v>
      </c>
      <c r="P6" s="75">
        <f>IF($N$5="成新度","——",M6-O6)</f>
        <v>36587</v>
      </c>
      <c r="Q6" s="802">
        <v>0.2</v>
      </c>
      <c r="R6" s="76">
        <f ca="1">SUMIF('数据-汇总表'!C$19:C$33,A6,'数据-汇总表'!R$19:R$27)</f>
        <v>33967.32</v>
      </c>
      <c r="S6" s="53">
        <f>IF('数据-汇总表'!$I$17="按面积比例",SUMIF('数据-汇总表'!C$19:C$33,A6,'数据-汇总表'!K$19:K$33),SUMIF('数据-汇总表'!C$19:C$33,A6,'数据-汇总表'!N$19:N$33))</f>
        <v>0</v>
      </c>
      <c r="T6" s="1444">
        <f>ROUND($L$14*S6/10000,0)</f>
        <v>0</v>
      </c>
      <c r="U6" s="77">
        <v>4</v>
      </c>
      <c r="V6" s="78">
        <v>0.03</v>
      </c>
      <c r="W6" s="78">
        <v>0.2</v>
      </c>
      <c r="X6" s="1262"/>
      <c r="Y6" s="79">
        <v>1</v>
      </c>
      <c r="Z6" s="80"/>
      <c r="AA6" s="73"/>
      <c r="AB6" s="73"/>
      <c r="AC6" s="1262"/>
      <c r="AD6" s="81"/>
      <c r="AE6" s="1263">
        <f ca="1">IF(AN6="",0,SUMIF(INDIRECT("'"&amp;AN6&amp;"'"&amp;"!E:E"),$AE$5,INDIRECT("'"&amp;AN6&amp;"'"&amp;"!F:F")))</f>
        <v>31.75</v>
      </c>
      <c r="AF6" s="2958"/>
      <c r="AG6" s="146">
        <f>IF(AF6="",0,AE6-AF6)</f>
        <v>0</v>
      </c>
      <c r="AH6" s="82">
        <f>'数据-基础表'!I13</f>
        <v>77026.790000000008</v>
      </c>
      <c r="AI6" s="84">
        <v>365</v>
      </c>
      <c r="AJ6" s="85"/>
      <c r="AK6" s="86">
        <v>1.4999999999999999E-2</v>
      </c>
      <c r="AL6" s="87">
        <v>1.5E-3</v>
      </c>
      <c r="AM6" s="88">
        <v>0.02</v>
      </c>
      <c r="AN6" s="2309" t="s">
        <v>3074</v>
      </c>
      <c r="AO6" s="54">
        <f ca="1">SUMIF(INDIRECT("'"&amp;AN6&amp;"'"&amp;"!A:A"),"总价",INDIRECT("'"&amp;AN6&amp;"'"&amp;"!B:B"))</f>
        <v>155172</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车库</v>
      </c>
      <c r="B7" s="2307" t="str">
        <f t="shared" ref="B7:B13" si="1">IF(A7=0,"","经营性")</f>
        <v>经营性</v>
      </c>
      <c r="C7" s="2979" t="s">
        <v>3106</v>
      </c>
      <c r="D7" s="1052">
        <f>SUMIF(项目基本情况!D$12:I$12,C7,项目基本情况!D$14:I$14)</f>
        <v>50</v>
      </c>
      <c r="E7" s="1049">
        <f>IF(B7="","",SUMIF(项目基本情况!D$12:I$12,C7,项目基本情况!D$13:I$13))</f>
        <v>55137</v>
      </c>
      <c r="F7" s="71">
        <f>SUMIF(项目基本情况!D$12:I$12,C7,项目基本情况!D$15:I$15)</f>
        <v>31.75</v>
      </c>
      <c r="G7" s="72">
        <f t="shared" ref="G7:G11" si="2">IF(ISERROR(ROUND(POWER(1+H7,D7-F7)*(POWER(1+H7,F7)-1)/(POWER(1+H7,D7)-1),3)),0,ROUND(POWER(1+H7,D7-F7)*(POWER(1+H7,F7)-1)/(POWER(1+H7,D7)-1),3))</f>
        <v>0.82899999999999996</v>
      </c>
      <c r="H7" s="800">
        <v>0.04</v>
      </c>
      <c r="I7" s="800">
        <v>4.4999999999999998E-2</v>
      </c>
      <c r="J7" s="73">
        <v>0.06</v>
      </c>
      <c r="K7" s="1252">
        <f>SUMIF('数据-汇总表'!C$19:C$33,A7,'数据-汇总表'!E$19:E$33)</f>
        <v>14213.06</v>
      </c>
      <c r="L7" s="2978">
        <v>3000</v>
      </c>
      <c r="M7" s="74">
        <f t="shared" si="0"/>
        <v>4264</v>
      </c>
      <c r="N7" s="2973">
        <v>0.05</v>
      </c>
      <c r="O7" s="74">
        <f t="shared" ref="O7:O14" si="3">IF($N$5="成新度","——",ROUND(M7*N7,0))</f>
        <v>213</v>
      </c>
      <c r="P7" s="75">
        <f t="shared" ref="P7:P14" si="4">IF($N$5="成新度","——",M7-O7)</f>
        <v>4051</v>
      </c>
      <c r="Q7" s="802">
        <v>0.05</v>
      </c>
      <c r="R7" s="76">
        <f ca="1">SUMIF('数据-汇总表'!C$19:C$33,A7,'数据-汇总表'!R$19:R$27)</f>
        <v>6267.68</v>
      </c>
      <c r="S7" s="53">
        <f>IF('数据-汇总表'!$I$17="按面积比例",SUMIF('数据-汇总表'!C$19:C$33,A7,'数据-汇总表'!K$19:K$33),SUMIF('数据-汇总表'!C$19:C$33,A7,'数据-汇总表'!N$19:N$33))</f>
        <v>0</v>
      </c>
      <c r="T7" s="1444">
        <f t="shared" ref="T7:T13" si="5">ROUND($L$14*S7/10000,0)</f>
        <v>0</v>
      </c>
      <c r="U7" s="2971">
        <v>0.35</v>
      </c>
      <c r="V7" s="78">
        <v>0.01</v>
      </c>
      <c r="W7" s="2977">
        <v>0.3</v>
      </c>
      <c r="X7" s="1262"/>
      <c r="Y7" s="79">
        <v>1</v>
      </c>
      <c r="Z7" s="80"/>
      <c r="AA7" s="73"/>
      <c r="AB7" s="73"/>
      <c r="AC7" s="1262"/>
      <c r="AD7" s="81"/>
      <c r="AE7" s="1263">
        <f t="shared" ref="AE7:AE13" ca="1" si="6">IF(AN7="",0,SUMIF(INDIRECT("'"&amp;AN7&amp;"'"&amp;"!E:E"),$AE$5,INDIRECT("'"&amp;AN7&amp;"'"&amp;"!F:F")))</f>
        <v>31.75</v>
      </c>
      <c r="AF7" s="1805"/>
      <c r="AG7" s="146">
        <f t="shared" ref="AG7:AG13" si="7">IF(AF7="",0,AE7-AF7)</f>
        <v>0</v>
      </c>
      <c r="AH7" s="82">
        <f>'数据-基础表'!K14</f>
        <v>14213.06</v>
      </c>
      <c r="AI7" s="84">
        <v>365</v>
      </c>
      <c r="AJ7" s="85"/>
      <c r="AK7" s="86">
        <v>1.4999999999999999E-2</v>
      </c>
      <c r="AL7" s="87">
        <v>1.5E-3</v>
      </c>
      <c r="AM7" s="88">
        <v>0.02</v>
      </c>
      <c r="AN7" s="2309" t="s">
        <v>3107</v>
      </c>
      <c r="AO7" s="54">
        <f t="shared" ref="AO7:AO13" ca="1" si="8">SUMIF(INDIRECT("'"&amp;AN7&amp;"'"&amp;"!A:A"),"总价",INDIRECT("'"&amp;AN7&amp;"'"&amp;"!B:B"))</f>
        <v>113</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f t="shared" si="3"/>
        <v>0</v>
      </c>
      <c r="P8" s="75">
        <f t="shared" si="4"/>
        <v>0</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2010</v>
      </c>
      <c r="B14" s="2307" t="s">
        <v>2011</v>
      </c>
      <c r="C14" s="2312" t="s">
        <v>2010</v>
      </c>
      <c r="D14" s="1052"/>
      <c r="E14" s="1049"/>
      <c r="F14" s="71"/>
      <c r="G14" s="72"/>
      <c r="H14" s="1251"/>
      <c r="I14" s="1251"/>
      <c r="J14" s="1251"/>
      <c r="K14" s="1252">
        <f>SUMIF('数据-汇总表'!C$19:C$33,A14,'数据-汇总表'!E$19:E$33)</f>
        <v>0</v>
      </c>
      <c r="L14" s="90"/>
      <c r="M14" s="74">
        <f t="shared" si="0"/>
        <v>0</v>
      </c>
      <c r="N14" s="91"/>
      <c r="O14" s="74">
        <f t="shared" si="3"/>
        <v>0</v>
      </c>
      <c r="P14" s="75">
        <f t="shared" si="4"/>
        <v>0</v>
      </c>
      <c r="Q14" s="1255"/>
      <c r="R14" s="76"/>
      <c r="S14" s="53"/>
      <c r="T14" s="1444"/>
      <c r="U14" s="721"/>
      <c r="V14" s="1257"/>
      <c r="W14" s="1257"/>
      <c r="X14" s="1258"/>
      <c r="Y14" s="1259"/>
      <c r="Z14" s="1260"/>
      <c r="AA14" s="1261"/>
      <c r="AB14" s="1261"/>
      <c r="AC14" s="1262"/>
      <c r="AD14" s="1258"/>
      <c r="AE14" s="1263"/>
      <c r="AF14" s="54"/>
      <c r="AG14" s="146"/>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2012</v>
      </c>
      <c r="B15" s="2307" t="s">
        <v>2011</v>
      </c>
      <c r="C15" s="2312" t="s">
        <v>2013</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1"/>
      <c r="V15" s="1257"/>
      <c r="W15" s="1257"/>
      <c r="X15" s="1258"/>
      <c r="Y15" s="1259"/>
      <c r="Z15" s="1260"/>
      <c r="AA15" s="1261"/>
      <c r="AB15" s="1261"/>
      <c r="AC15" s="1262"/>
      <c r="AD15" s="1258"/>
      <c r="AE15" s="1263"/>
      <c r="AF15" s="54"/>
      <c r="AG15" s="146"/>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2014</v>
      </c>
      <c r="B16" s="96"/>
      <c r="C16" s="1006"/>
      <c r="D16" s="2314"/>
      <c r="E16" s="96"/>
      <c r="F16" s="96"/>
      <c r="G16" s="97">
        <f>ROUND(SUMPRODUCT(G6:G13,K6:K13)/SUMPRODUCT((G6:G13&gt;0)*(K6:K13)),3)</f>
        <v>0.88800000000000001</v>
      </c>
      <c r="H16" s="98">
        <f>ROUND(SUMPRODUCT(H6:H13,K6:K13)/SUMPRODUCT((H6:H13&gt;0)*(K6:K13)),3)</f>
        <v>0.04</v>
      </c>
      <c r="I16" s="99"/>
      <c r="J16" s="99"/>
      <c r="K16" s="100">
        <f>SUM(K6:K15)</f>
        <v>91239.85</v>
      </c>
      <c r="L16" s="101">
        <f>ROUND(M16*10000/SUM(K6:K14),0)</f>
        <v>4688</v>
      </c>
      <c r="M16" s="101">
        <f>SUM(M6:M14)</f>
        <v>42777</v>
      </c>
      <c r="N16" s="102">
        <f>ROUND(SUMPRODUCT(M6:M14,N6:N14)/M16,3)</f>
        <v>0.05</v>
      </c>
      <c r="O16" s="101">
        <f>SUM(O6:O14)</f>
        <v>2139</v>
      </c>
      <c r="P16" s="101">
        <f>SUM(P6:P14)</f>
        <v>40638</v>
      </c>
      <c r="Q16" s="103">
        <f>ROUND(SUMPRODUCT(Q6:Q13,K6:K13)/SUMPRODUCT((Q6:Q13&gt;0)*(K6:K13)),2)</f>
        <v>0.18</v>
      </c>
      <c r="R16" s="1256">
        <f ca="1">SUM(R6:R13)</f>
        <v>40235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2016</v>
      </c>
      <c r="B19" s="111">
        <v>0</v>
      </c>
      <c r="C19" s="2277" t="s">
        <v>2017</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2018</v>
      </c>
      <c r="B20" s="112">
        <v>2</v>
      </c>
      <c r="C20" s="2277" t="s">
        <v>2019</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2020</v>
      </c>
      <c r="B21" s="112">
        <v>0.5</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2021</v>
      </c>
      <c r="B22" s="113">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2022</v>
      </c>
      <c r="B23" s="113">
        <f>B19+B21</f>
        <v>0.5</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2023</v>
      </c>
      <c r="B24" s="114">
        <f>B20-B21</f>
        <v>1.5</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2024</v>
      </c>
      <c r="B26" s="2320" t="s">
        <v>2025</v>
      </c>
      <c r="C26" s="2321" t="s">
        <v>2026</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2027</v>
      </c>
      <c r="B27" s="115"/>
      <c r="C27" s="1765" t="s">
        <v>2028</v>
      </c>
      <c r="D27" s="2323"/>
      <c r="E27" s="1428"/>
      <c r="F27" s="1428"/>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2029</v>
      </c>
      <c r="B28" s="118">
        <v>200</v>
      </c>
      <c r="C28" s="2326"/>
      <c r="D28" s="2323"/>
      <c r="E28" s="1428"/>
      <c r="F28" s="1428"/>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2030</v>
      </c>
      <c r="B29" s="120">
        <f ca="1">成本法!C10</f>
        <v>1825</v>
      </c>
      <c r="C29" s="1765" t="s">
        <v>2031</v>
      </c>
      <c r="D29" s="2323"/>
      <c r="E29" s="1428"/>
      <c r="F29" s="1428"/>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2032</v>
      </c>
      <c r="B30" s="722">
        <v>200</v>
      </c>
      <c r="C30" s="2326"/>
      <c r="D30" s="2323"/>
      <c r="E30" s="1428"/>
      <c r="F30" s="1428"/>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2033</v>
      </c>
      <c r="B31" s="119">
        <f>B30-B32</f>
        <v>200</v>
      </c>
      <c r="C31" s="1765"/>
      <c r="D31" s="2323"/>
      <c r="E31" s="1428"/>
      <c r="F31" s="1428"/>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2034</v>
      </c>
      <c r="B32" s="723"/>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2035</v>
      </c>
      <c r="B33" s="724">
        <v>0.03</v>
      </c>
      <c r="C33" s="1764" t="s">
        <v>2036</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2037</v>
      </c>
      <c r="B34" s="121">
        <v>0</v>
      </c>
      <c r="C34" s="1764" t="s">
        <v>2038</v>
      </c>
      <c r="D34" s="2278" t="s">
        <v>2039</v>
      </c>
      <c r="E34" s="730"/>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2040</v>
      </c>
      <c r="B35" s="118">
        <v>200</v>
      </c>
      <c r="C35" s="1764" t="s">
        <v>2041</v>
      </c>
      <c r="D35" s="2323"/>
      <c r="E35" s="1428"/>
      <c r="F35" s="1428"/>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2042</v>
      </c>
      <c r="B36" s="122">
        <v>1.4999999999999999E-2</v>
      </c>
      <c r="C36" s="1764" t="s">
        <v>2043</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2044</v>
      </c>
      <c r="B37" s="123">
        <v>0.02</v>
      </c>
      <c r="C37" s="1764" t="s">
        <v>2045</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2046</v>
      </c>
      <c r="B38" s="121">
        <v>0.02</v>
      </c>
      <c r="C38" s="1764" t="s">
        <v>2045</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2047</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2048</v>
      </c>
      <c r="B40" s="1301">
        <f ca="1">存贷款利率!G1</f>
        <v>4.7500000000000001E-2</v>
      </c>
      <c r="C40" s="1764" t="s">
        <v>2049</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2050</v>
      </c>
      <c r="B41" s="124">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2051</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2052</v>
      </c>
      <c r="B43" s="126">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2053</v>
      </c>
      <c r="B44" s="127">
        <v>7.0000000000000007E-2</v>
      </c>
      <c r="C44" s="1764" t="s">
        <v>2054</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2055</v>
      </c>
      <c r="B45" s="125">
        <v>0.03</v>
      </c>
      <c r="C45" s="1765" t="s">
        <v>2056</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2057</v>
      </c>
      <c r="B46" s="125">
        <v>0.02</v>
      </c>
      <c r="C46" s="1765" t="s">
        <v>2058</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2059</v>
      </c>
      <c r="B47" s="128">
        <v>0</v>
      </c>
      <c r="C47" s="1765" t="s">
        <v>2060</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2061</v>
      </c>
      <c r="B48" s="129">
        <v>0.03</v>
      </c>
      <c r="C48" s="1772" t="s">
        <v>2062</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2063</v>
      </c>
      <c r="B49" s="125">
        <v>5.0000000000000001E-4</v>
      </c>
      <c r="C49" s="1772" t="s">
        <v>2064</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2065</v>
      </c>
      <c r="B50" s="130">
        <v>1.2E-2</v>
      </c>
      <c r="C50" s="1428"/>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2066</v>
      </c>
      <c r="B51" s="131">
        <v>0.12</v>
      </c>
      <c r="C51" s="1428"/>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2067</v>
      </c>
      <c r="B52" s="132">
        <f>SUMIF(A54:A63,B53,B54:B63)</f>
        <v>3</v>
      </c>
      <c r="C52" s="1428"/>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2068</v>
      </c>
      <c r="B53" s="2336" t="s">
        <v>523</v>
      </c>
      <c r="C53" s="1428" t="s">
        <v>2069</v>
      </c>
      <c r="D53" s="2337" t="s">
        <v>2070</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2071</v>
      </c>
      <c r="B54" s="83"/>
      <c r="C54" s="1428">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2072</v>
      </c>
      <c r="B55" s="83"/>
      <c r="C55" s="1428">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2073</v>
      </c>
      <c r="B56" s="83"/>
      <c r="C56" s="1428">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2074</v>
      </c>
      <c r="B57" s="83"/>
      <c r="C57" s="1428">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2075</v>
      </c>
      <c r="B58" s="83">
        <v>3</v>
      </c>
      <c r="C58" s="1428">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2076</v>
      </c>
      <c r="B59" s="83"/>
      <c r="C59" s="1428">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2077</v>
      </c>
      <c r="B60" s="83"/>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2078</v>
      </c>
      <c r="B61" s="83"/>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2079</v>
      </c>
      <c r="B62" s="83"/>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2080</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65" t="s">
        <v>2081</v>
      </c>
      <c r="B1" s="3166"/>
      <c r="C1" s="3166"/>
      <c r="D1" s="3166"/>
      <c r="E1" s="3166"/>
      <c r="F1" s="3166"/>
      <c r="G1" s="31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4" t="s">
        <v>2084</v>
      </c>
      <c r="B3" s="1269" t="s">
        <v>2085</v>
      </c>
      <c r="C3" s="2370" t="s">
        <v>2086</v>
      </c>
      <c r="D3" s="2371"/>
      <c r="E3" s="429" t="s">
        <v>2084</v>
      </c>
      <c r="F3" s="2372" t="s">
        <v>2087</v>
      </c>
      <c r="G3" s="2373" t="s">
        <v>2088</v>
      </c>
      <c r="H3" s="2368"/>
      <c r="I3" s="2368"/>
      <c r="J3" s="2368"/>
      <c r="K3" s="2368"/>
      <c r="L3" s="2368"/>
      <c r="M3" s="2368"/>
      <c r="N3" s="2368"/>
      <c r="O3" s="2368"/>
      <c r="P3" s="2368"/>
      <c r="Q3" s="2368"/>
      <c r="R3" s="2368"/>
    </row>
    <row r="4" spans="1:29" ht="41.25">
      <c r="A4" s="429"/>
      <c r="B4" s="1796" t="s">
        <v>2089</v>
      </c>
      <c r="C4" s="2374" t="s">
        <v>2090</v>
      </c>
      <c r="D4" s="2371"/>
      <c r="E4" s="2375"/>
      <c r="F4" s="41" t="s">
        <v>2091</v>
      </c>
      <c r="G4" s="2376" t="s">
        <v>2092</v>
      </c>
      <c r="H4" s="2368"/>
      <c r="I4" s="2368"/>
      <c r="J4" s="2368"/>
      <c r="K4" s="2368"/>
      <c r="L4" s="2368"/>
      <c r="M4" s="2368"/>
      <c r="N4" s="2368"/>
      <c r="O4" s="2368"/>
      <c r="P4" s="2368"/>
      <c r="Q4" s="2368"/>
      <c r="R4" s="2368"/>
    </row>
    <row r="5" spans="1:29" ht="41.25">
      <c r="A5" s="429"/>
      <c r="B5" s="1796" t="s">
        <v>2093</v>
      </c>
      <c r="C5" s="2374" t="s">
        <v>2094</v>
      </c>
      <c r="D5" s="2371"/>
      <c r="E5" s="2375"/>
      <c r="F5" s="1796" t="s">
        <v>2095</v>
      </c>
      <c r="G5" s="2376" t="s">
        <v>2096</v>
      </c>
      <c r="H5" s="2368"/>
      <c r="I5" s="2368"/>
      <c r="J5" s="2368"/>
      <c r="K5" s="2368"/>
      <c r="L5" s="2368"/>
      <c r="M5" s="2368"/>
      <c r="N5" s="2368"/>
      <c r="O5" s="2368"/>
      <c r="P5" s="2368"/>
      <c r="Q5" s="2368"/>
      <c r="R5" s="2368"/>
    </row>
    <row r="6" spans="1:29" ht="54">
      <c r="A6" s="429"/>
      <c r="B6" s="1796" t="s">
        <v>2097</v>
      </c>
      <c r="C6" s="2376" t="s">
        <v>2092</v>
      </c>
      <c r="D6" s="2371"/>
      <c r="E6" s="2375"/>
      <c r="F6" s="1796" t="s">
        <v>2098</v>
      </c>
      <c r="G6" s="2376" t="s">
        <v>2099</v>
      </c>
      <c r="H6" s="2368"/>
      <c r="I6" s="2368"/>
      <c r="J6" s="2368"/>
      <c r="K6" s="2368"/>
      <c r="L6" s="2368"/>
      <c r="M6" s="2368"/>
      <c r="N6" s="2368"/>
      <c r="O6" s="2368"/>
      <c r="P6" s="2368"/>
      <c r="Q6" s="2368"/>
      <c r="R6" s="2368"/>
    </row>
    <row r="7" spans="1:29" ht="41.25" thickBot="1">
      <c r="A7" s="429"/>
      <c r="B7" s="1796" t="s">
        <v>2095</v>
      </c>
      <c r="C7" s="2376" t="s">
        <v>2096</v>
      </c>
      <c r="D7" s="2377"/>
      <c r="E7" s="2378"/>
      <c r="F7" s="2379" t="s">
        <v>2100</v>
      </c>
      <c r="G7" s="2380" t="s">
        <v>2101</v>
      </c>
      <c r="H7" s="2368"/>
      <c r="I7" s="2368"/>
      <c r="J7" s="2368"/>
      <c r="K7" s="2368"/>
      <c r="L7" s="2368"/>
      <c r="M7" s="2368"/>
      <c r="N7" s="2368"/>
      <c r="O7" s="2368"/>
      <c r="P7" s="2368"/>
      <c r="Q7" s="2368"/>
      <c r="R7" s="2368"/>
    </row>
    <row r="8" spans="1:29" ht="27">
      <c r="A8" s="429"/>
      <c r="B8" s="1796" t="s">
        <v>2098</v>
      </c>
      <c r="C8" s="2376" t="s">
        <v>2099</v>
      </c>
      <c r="D8" s="2377"/>
      <c r="E8" s="2377"/>
      <c r="F8" s="1134"/>
      <c r="G8" s="1134"/>
      <c r="H8" s="2368"/>
      <c r="I8" s="2368"/>
      <c r="J8" s="2368"/>
      <c r="K8" s="2368"/>
      <c r="L8" s="2368"/>
      <c r="M8" s="2368"/>
      <c r="N8" s="2368"/>
      <c r="O8" s="2368"/>
      <c r="P8" s="2368"/>
      <c r="Q8" s="2368"/>
      <c r="R8" s="2368"/>
    </row>
    <row r="9" spans="1:29" ht="27">
      <c r="A9" s="429"/>
      <c r="B9" s="1796" t="s">
        <v>2102</v>
      </c>
      <c r="C9" s="2374" t="s">
        <v>2103</v>
      </c>
      <c r="D9" s="2371"/>
      <c r="E9" s="2377"/>
      <c r="F9" s="1134"/>
      <c r="G9" s="1134"/>
      <c r="H9" s="2368"/>
      <c r="I9" s="2368"/>
      <c r="J9" s="2368"/>
      <c r="K9" s="2368"/>
      <c r="L9" s="2368"/>
      <c r="M9" s="2368"/>
      <c r="N9" s="2368"/>
      <c r="O9" s="2368"/>
      <c r="P9" s="2368"/>
      <c r="Q9" s="2368"/>
      <c r="R9" s="2368"/>
    </row>
    <row r="10" spans="1:29" s="116" customFormat="1" ht="15.75" thickBot="1">
      <c r="A10" s="2381"/>
      <c r="B10" s="2382" t="s">
        <v>2104</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6"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7" t="s">
        <v>2108</v>
      </c>
      <c r="B15" s="1268" t="s">
        <v>2085</v>
      </c>
      <c r="C15" s="2403" t="str">
        <f>C3</f>
        <v>估价对象周边居住用地比例、居住小区规模和社区发展完善程度，综合评价居住社区成熟度一般</v>
      </c>
      <c r="D15" s="2371"/>
      <c r="E15" s="2404" t="s">
        <v>2109</v>
      </c>
      <c r="F15" s="1268" t="s">
        <v>2110</v>
      </c>
      <c r="G15" s="134" t="str">
        <f>G3</f>
        <v>估价对象位于XX开发区，园区建设成熟度XX，产业集聚程度XX</v>
      </c>
    </row>
    <row r="16" spans="1:29" ht="42.75">
      <c r="A16" s="643"/>
      <c r="B16" s="2405" t="s">
        <v>2089</v>
      </c>
      <c r="C16" s="2406" t="str">
        <f>C4</f>
        <v>估价对象位于XX商圈，周边商业氛围成熟，人流量大，商业繁华度好</v>
      </c>
      <c r="D16" s="2371"/>
      <c r="E16" s="2407"/>
      <c r="F16" s="2408" t="s">
        <v>2091</v>
      </c>
      <c r="G16" s="135" t="str">
        <f>G4</f>
        <v>估价对象周边道路状况、公共交通通达情况、停车便捷程度，综合评价交通便捷度较好</v>
      </c>
    </row>
    <row r="17" spans="1:18" ht="42.75">
      <c r="A17" s="643"/>
      <c r="B17" s="2405" t="s">
        <v>2093</v>
      </c>
      <c r="C17" s="2406" t="str">
        <f>C5</f>
        <v>估价对象位于XX商圈，周边办公楼项目较多，入驻率高，办公集聚程度较好</v>
      </c>
      <c r="D17" s="2377"/>
      <c r="E17" s="2407"/>
      <c r="F17" s="2408" t="s">
        <v>2111</v>
      </c>
      <c r="G17" s="1570"/>
    </row>
    <row r="18" spans="1:18" ht="57">
      <c r="A18" s="643"/>
      <c r="B18" s="2408" t="s">
        <v>2097</v>
      </c>
      <c r="C18" s="135" t="str">
        <f>C6</f>
        <v>估价对象周边道路状况、公共交通通达情况、停车便捷程度，综合评价交通便捷度较好</v>
      </c>
      <c r="D18" s="2377"/>
      <c r="E18" s="2407"/>
      <c r="F18" s="2408" t="s">
        <v>2100</v>
      </c>
      <c r="G18" s="135" t="str">
        <f>G7</f>
        <v>该园区内是否有污染型企业，绿化情况，卫生条件，整体环境状况判断</v>
      </c>
    </row>
    <row r="19" spans="1:18" ht="28.5">
      <c r="A19" s="643"/>
      <c r="B19" s="2408" t="s">
        <v>2112</v>
      </c>
      <c r="C19" s="1570"/>
      <c r="D19" s="2371"/>
      <c r="E19" s="2407"/>
      <c r="F19" s="1796" t="s">
        <v>2095</v>
      </c>
      <c r="G19" s="135" t="str">
        <f>G5</f>
        <v>估价对象所在区域公共配套设施齐备情况</v>
      </c>
    </row>
    <row r="20" spans="1:18" ht="28.5">
      <c r="A20" s="643"/>
      <c r="B20" s="2408" t="s">
        <v>2113</v>
      </c>
      <c r="C20" s="2406" t="str">
        <f>C9</f>
        <v>区域自然环境：；人文环境；综合评价环境状况一般</v>
      </c>
      <c r="D20" s="2377"/>
      <c r="E20" s="2407"/>
      <c r="F20" s="1796" t="s">
        <v>2114</v>
      </c>
      <c r="G20" s="135" t="str">
        <f>G6</f>
        <v>估价对象所在区域基础设施水平</v>
      </c>
    </row>
    <row r="21" spans="1:18" ht="28.5">
      <c r="A21" s="643"/>
      <c r="B21" s="1796" t="s">
        <v>2095</v>
      </c>
      <c r="C21" s="135" t="str">
        <f>C7</f>
        <v>估价对象所在区域公共配套设施齐备情况</v>
      </c>
      <c r="D21" s="2371"/>
      <c r="E21" s="2407"/>
      <c r="F21" s="2408" t="s">
        <v>2115</v>
      </c>
      <c r="G21" s="2409"/>
    </row>
    <row r="22" spans="1:18" ht="13.5" customHeight="1">
      <c r="A22" s="643"/>
      <c r="B22" s="1796" t="s">
        <v>2098</v>
      </c>
      <c r="C22" s="135" t="str">
        <f>C8</f>
        <v>估价对象所在区域基础设施水平</v>
      </c>
      <c r="D22" s="2371"/>
      <c r="E22" s="2407"/>
      <c r="F22" s="2408" t="s">
        <v>2104</v>
      </c>
      <c r="G22" s="1570"/>
    </row>
    <row r="23" spans="1:18" s="2368" customFormat="1" ht="15.75" thickBot="1">
      <c r="A23" s="643"/>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B17" sqref="B17"/>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91239.85</v>
      </c>
      <c r="C1" s="1743"/>
      <c r="D1" s="1743"/>
      <c r="E1" s="1743"/>
      <c r="F1" s="1743"/>
      <c r="G1" s="1741"/>
    </row>
    <row r="2" spans="1:10" ht="16.5">
      <c r="A2" s="1744" t="s">
        <v>1349</v>
      </c>
      <c r="B2" s="1744">
        <f>SUM(C14:C23)</f>
        <v>40235</v>
      </c>
      <c r="C2" s="1743"/>
      <c r="D2" s="1743"/>
      <c r="E2" s="1743"/>
      <c r="F2" s="1743"/>
      <c r="G2" s="1741"/>
    </row>
    <row r="3" spans="1:10" ht="16.5">
      <c r="A3" s="1744" t="s">
        <v>1358</v>
      </c>
      <c r="B3" s="1745">
        <f>项目基本情况!D3</f>
        <v>43546</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82110</v>
      </c>
      <c r="C5" s="1744">
        <f ca="1">ROUND(B5*10000/$B$1,0)</f>
        <v>8999</v>
      </c>
      <c r="D5" s="1744">
        <f ca="1">ROUND(B5*10000/$B$2,0)</f>
        <v>20408</v>
      </c>
      <c r="E5" s="1743"/>
      <c r="F5" s="1741"/>
      <c r="G5" s="1741"/>
    </row>
    <row r="6" spans="1:10" ht="16.5">
      <c r="A6" s="1744" t="s">
        <v>1352</v>
      </c>
      <c r="B6" s="1744">
        <f ca="1">SUM(G14:G23)</f>
        <v>82110</v>
      </c>
      <c r="C6" s="1744">
        <f ca="1">ROUND(B6*10000/$B$1,0)</f>
        <v>8999</v>
      </c>
      <c r="D6" s="1744">
        <f ca="1">ROUND(B6*10000/$B$2,0)</f>
        <v>20408</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91239.85</v>
      </c>
      <c r="C14" s="1742">
        <f>结果表!C118</f>
        <v>40235</v>
      </c>
      <c r="D14" s="1742">
        <f ca="1">结果表!H118</f>
        <v>82110</v>
      </c>
      <c r="E14" s="1742">
        <f ca="1">ROUND(D14*10000/B14,0)</f>
        <v>8999</v>
      </c>
      <c r="F14" s="1742">
        <f ca="1">ROUND(D14*10000/C14,0)</f>
        <v>20408</v>
      </c>
      <c r="G14" s="1742">
        <f ca="1">结果表!D122</f>
        <v>82110</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70" workbookViewId="0">
      <selection activeCell="G55" sqref="G5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89285</v>
      </c>
      <c r="C2" s="242" t="s">
        <v>2329</v>
      </c>
      <c r="D2" s="2550" t="s">
        <v>70</v>
      </c>
      <c r="E2" s="1441" t="e">
        <f ca="1">SUMIF(INDIRECT("'"&amp;G2&amp;"'"&amp;"!A:A"),"承租人权益价值",INDIRECT("'"&amp;G2&amp;"'"&amp;"!c:c"))</f>
        <v>#REF!</v>
      </c>
      <c r="F2" s="2551" t="s">
        <v>2329</v>
      </c>
      <c r="G2" s="2552" t="s">
        <v>3072</v>
      </c>
    </row>
    <row r="3" spans="1:9" s="243" customFormat="1" ht="18" customHeight="1" thickBot="1">
      <c r="A3" s="246" t="s">
        <v>2330</v>
      </c>
      <c r="B3" s="247">
        <f ca="1">ROUND(B2*10000/(IF(B1="",'数据-汇总表'!E3,INDIRECT("'数据-取费表'!k"&amp;$G$1))),0)</f>
        <v>9786</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73243.127500000002</v>
      </c>
      <c r="D5" s="254" t="s">
        <v>2335</v>
      </c>
      <c r="E5" s="255" t="s">
        <v>2336</v>
      </c>
      <c r="F5" s="255" t="s">
        <v>2337</v>
      </c>
      <c r="G5" s="256"/>
    </row>
    <row r="6" spans="1:9" s="257" customFormat="1" ht="13.5" customHeight="1">
      <c r="A6" s="950" t="s">
        <v>2338</v>
      </c>
      <c r="B6" s="258" t="s">
        <v>2339</v>
      </c>
      <c r="C6" s="259">
        <f>'比较法-商业'!C49*'数据-基础表'!A3/10000</f>
        <v>71075.127500000002</v>
      </c>
      <c r="D6" s="260"/>
      <c r="E6" s="261"/>
      <c r="F6" s="261"/>
      <c r="G6" s="262"/>
    </row>
    <row r="7" spans="1:9" s="257" customFormat="1" ht="13.5" customHeight="1">
      <c r="A7" s="950" t="s">
        <v>2340</v>
      </c>
      <c r="B7" s="258" t="s">
        <v>2341</v>
      </c>
      <c r="C7" s="263">
        <f>ROUND(C6*F7,0)</f>
        <v>2168</v>
      </c>
      <c r="D7" s="263"/>
      <c r="E7" s="261"/>
      <c r="F7" s="264">
        <f>'数据-取费表'!B48+'数据-取费表'!B49</f>
        <v>3.0499999999999999E-2</v>
      </c>
      <c r="G7" s="262"/>
    </row>
    <row r="8" spans="1:9" s="266" customFormat="1">
      <c r="A8" s="950" t="s">
        <v>2342</v>
      </c>
      <c r="B8" s="258" t="s">
        <v>2343</v>
      </c>
      <c r="C8" s="263" t="str">
        <f>IF(G8="已包含在土地购买价格中","0",IF(B1="",'数据-取费表'!B29,IF(G9="全部缴纳",C9+C10,H9)))</f>
        <v>0</v>
      </c>
      <c r="D8" s="265"/>
      <c r="E8" s="263"/>
      <c r="F8" s="264"/>
      <c r="G8" s="2553" t="s">
        <v>1145</v>
      </c>
    </row>
    <row r="9" spans="1:9" s="257" customFormat="1" ht="13.5" customHeight="1">
      <c r="A9" s="951" t="s">
        <v>800</v>
      </c>
      <c r="B9" s="267" t="s">
        <v>2344</v>
      </c>
      <c r="C9" s="268">
        <f ca="1">ROUND(D9*E9/10000,0)</f>
        <v>0</v>
      </c>
      <c r="D9" s="1033">
        <f ca="1">IF(B1="",'数据-汇总表'!E5,IF(INDIRECT("'数据-取费表'!c"&amp;$G$1)="住宅",INDIRECT("'数据-取费表'!k"&amp;$G$1),0))</f>
        <v>0</v>
      </c>
      <c r="E9" s="268">
        <f>'数据-取费表'!B27</f>
        <v>0</v>
      </c>
      <c r="F9" s="264"/>
      <c r="G9" s="2554" t="s">
        <v>3066</v>
      </c>
      <c r="H9" s="1391"/>
      <c r="I9" s="2555" t="s">
        <v>2345</v>
      </c>
    </row>
    <row r="10" spans="1:9" s="257" customFormat="1" ht="13.5" customHeight="1">
      <c r="A10" s="951" t="s">
        <v>801</v>
      </c>
      <c r="B10" s="267" t="s">
        <v>2346</v>
      </c>
      <c r="C10" s="268">
        <f ca="1">ROUND(D10*E10/10000,0)</f>
        <v>1825</v>
      </c>
      <c r="D10" s="1033">
        <f ca="1">IF(B1="",'数据-汇总表'!E6,IF(INDIRECT("'数据-取费表'!c"&amp;$G$1)="住宅",INDIRECT("'数据-取费表'!s"&amp;$G$1),INDIRECT("'数据-取费表'!k"&amp;$G$1)+INDIRECT("'数据-取费表'!s"&amp;$G$1)))</f>
        <v>91239.85</v>
      </c>
      <c r="E10" s="268">
        <f>'数据-取费表'!B28</f>
        <v>200</v>
      </c>
      <c r="F10" s="264"/>
      <c r="G10" s="269"/>
    </row>
    <row r="11" spans="1:9" s="257" customFormat="1" ht="13.5" hidden="1" customHeight="1">
      <c r="A11" s="270" t="s">
        <v>7</v>
      </c>
      <c r="B11" s="258" t="s">
        <v>2347</v>
      </c>
      <c r="C11" s="254"/>
      <c r="D11" s="1035"/>
      <c r="E11" s="261"/>
      <c r="F11" s="261"/>
      <c r="G11" s="262"/>
    </row>
    <row r="12" spans="1:9" s="257" customFormat="1" ht="13.5" hidden="1" customHeight="1">
      <c r="A12" s="270" t="s">
        <v>8</v>
      </c>
      <c r="B12" s="258" t="s">
        <v>2348</v>
      </c>
      <c r="C12" s="254">
        <v>0</v>
      </c>
      <c r="D12" s="1035"/>
      <c r="E12" s="271"/>
      <c r="F12" s="264">
        <v>3.0499999999999999E-2</v>
      </c>
      <c r="G12" s="262"/>
    </row>
    <row r="13" spans="1:9" s="257" customFormat="1" ht="13.5" hidden="1" customHeight="1">
      <c r="A13" s="270" t="s">
        <v>9</v>
      </c>
      <c r="B13" s="258" t="s">
        <v>2349</v>
      </c>
      <c r="C13" s="254"/>
      <c r="D13" s="1035"/>
      <c r="E13" s="261"/>
      <c r="F13" s="261"/>
      <c r="G13" s="262"/>
    </row>
    <row r="14" spans="1:9" s="257" customFormat="1" ht="13.5" hidden="1" customHeight="1">
      <c r="A14" s="270" t="s">
        <v>10</v>
      </c>
      <c r="B14" s="258" t="s">
        <v>2350</v>
      </c>
      <c r="C14" s="254"/>
      <c r="D14" s="1035"/>
      <c r="E14" s="261"/>
      <c r="F14" s="261"/>
      <c r="G14" s="262" t="s">
        <v>2351</v>
      </c>
    </row>
    <row r="15" spans="1:9" s="257" customFormat="1" ht="13.5" hidden="1" customHeight="1">
      <c r="A15" s="270" t="s">
        <v>11</v>
      </c>
      <c r="B15" s="258" t="s">
        <v>2352</v>
      </c>
      <c r="C15" s="263"/>
      <c r="D15" s="1035"/>
      <c r="E15" s="261"/>
      <c r="F15" s="261"/>
      <c r="G15" s="262" t="s">
        <v>2353</v>
      </c>
    </row>
    <row r="16" spans="1:9" s="257" customFormat="1" ht="13.5" hidden="1" customHeight="1">
      <c r="A16" s="270" t="s">
        <v>12</v>
      </c>
      <c r="B16" s="258" t="s">
        <v>2350</v>
      </c>
      <c r="C16" s="263"/>
      <c r="D16" s="1035"/>
      <c r="E16" s="261"/>
      <c r="F16" s="261"/>
      <c r="G16" s="262"/>
    </row>
    <row r="17" spans="1:7" s="257" customFormat="1" ht="13.5" hidden="1" customHeight="1">
      <c r="A17" s="270" t="s">
        <v>13</v>
      </c>
      <c r="B17" s="258" t="s">
        <v>2354</v>
      </c>
      <c r="C17" s="272"/>
      <c r="D17" s="1036"/>
      <c r="E17" s="272"/>
      <c r="F17" s="272"/>
      <c r="G17" s="262" t="s">
        <v>2353</v>
      </c>
    </row>
    <row r="18" spans="1:7" s="257" customFormat="1" ht="13.5" hidden="1" customHeight="1">
      <c r="A18" s="270" t="s">
        <v>14</v>
      </c>
      <c r="B18" s="258" t="s">
        <v>2355</v>
      </c>
      <c r="C18" s="263">
        <v>0</v>
      </c>
      <c r="D18" s="1035"/>
      <c r="E18" s="261"/>
      <c r="F18" s="264">
        <v>3.0499999999999999E-2</v>
      </c>
      <c r="G18" s="262" t="s">
        <v>2356</v>
      </c>
    </row>
    <row r="19" spans="1:7" s="266" customFormat="1" ht="13.5" customHeight="1">
      <c r="A19" s="298" t="s">
        <v>2357</v>
      </c>
      <c r="B19" s="253" t="s">
        <v>2358</v>
      </c>
      <c r="C19" s="254" t="str">
        <f>IF(G19="已包含在土地取得成本中","0",ROUND(D19*E19/10000,0))</f>
        <v>0</v>
      </c>
      <c r="D19" s="1037">
        <f ca="1">D9+D10</f>
        <v>91239.85</v>
      </c>
      <c r="E19" s="254">
        <f>'数据-取费表'!B31</f>
        <v>200</v>
      </c>
      <c r="F19" s="274"/>
      <c r="G19" s="2553" t="s">
        <v>3079</v>
      </c>
    </row>
    <row r="20" spans="1:7" s="257" customFormat="1" ht="13.5" customHeight="1">
      <c r="A20" s="298" t="s">
        <v>2359</v>
      </c>
      <c r="B20" s="253" t="s">
        <v>2360</v>
      </c>
      <c r="C20" s="275">
        <f>ROUND((C5+C19)*F20,0)</f>
        <v>1465</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5">
        <f ca="1">ROUND(SUM(C23:C25),0)</f>
        <v>1736</v>
      </c>
      <c r="D22" s="278">
        <f ca="1">C26</f>
        <v>2.0000000000000001E-4</v>
      </c>
      <c r="E22" s="279" t="s">
        <v>2364</v>
      </c>
      <c r="F22" s="280">
        <f ca="1">'数据-取费表'!B40</f>
        <v>4.7500000000000001E-2</v>
      </c>
      <c r="G22" s="277" t="str">
        <f>IF('数据-取费表'!B22&lt;=1,"单利计息","复利计息")</f>
        <v>复利计息</v>
      </c>
    </row>
    <row r="23" spans="1:7" s="257" customFormat="1" ht="13.5" customHeight="1">
      <c r="A23" s="952" t="s">
        <v>2368</v>
      </c>
      <c r="B23" s="258" t="s">
        <v>2369</v>
      </c>
      <c r="C23" s="1356">
        <f ca="1">ROUND(IF('数据-取费表'!B22&lt;=1,C5*F22*'数据-取费表'!B23,C5*(POWER((1+F22),'数据-取费表'!B23)-1)),0)</f>
        <v>1719</v>
      </c>
      <c r="D23" s="281"/>
      <c r="E23" s="281"/>
      <c r="F23" s="282"/>
      <c r="G23" s="283" t="s">
        <v>2370</v>
      </c>
    </row>
    <row r="24" spans="1:7" s="257" customFormat="1" ht="13.5" customHeight="1">
      <c r="A24" s="952"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2" t="s">
        <v>2374</v>
      </c>
      <c r="B25" s="258" t="s">
        <v>2375</v>
      </c>
      <c r="C25" s="1356">
        <f ca="1">ROUND(IF('数据-取费表'!B22&lt;=1,C20*F22*'数据-取费表'!B23/2,C20*(POWER((1+F22),'数据-取费表'!B23/2)-1)),0)</f>
        <v>17</v>
      </c>
      <c r="D25" s="281"/>
      <c r="E25" s="284"/>
      <c r="F25" s="282"/>
      <c r="G25" s="285" t="s">
        <v>2376</v>
      </c>
    </row>
    <row r="26" spans="1:7" s="257" customFormat="1">
      <c r="A26" s="952" t="s">
        <v>795</v>
      </c>
      <c r="B26" s="258" t="s">
        <v>2377</v>
      </c>
      <c r="C26" s="281">
        <f ca="1">ROUND(IF('数据-取费表'!B22&lt;=1,F21*F22*'数据-取费表'!B23/2,F21*(POWER((1+F22),'数据-取费表'!B23/2)-1)),4)</f>
        <v>2.0000000000000001E-4</v>
      </c>
      <c r="D26" s="281"/>
      <c r="E26" s="284"/>
      <c r="F26" s="282"/>
      <c r="G26" s="286"/>
    </row>
    <row r="27" spans="1:7" s="257" customFormat="1" ht="24.75">
      <c r="A27" s="298" t="s">
        <v>2378</v>
      </c>
      <c r="B27" s="287" t="s">
        <v>2379</v>
      </c>
      <c r="C27" s="288">
        <f ca="1">C28</f>
        <v>3362</v>
      </c>
      <c r="D27" s="278">
        <f ca="1">C29</f>
        <v>8.9999999999999998E-4</v>
      </c>
      <c r="E27" s="279" t="s">
        <v>2380</v>
      </c>
      <c r="F27" s="289">
        <f ca="1">IF(B1="",'数据-取费表'!Q16,INDIRECT("'数据-取费表'!q"&amp;$G$1))</f>
        <v>0.18</v>
      </c>
      <c r="G27" s="290" t="s">
        <v>2381</v>
      </c>
    </row>
    <row r="28" spans="1:7" s="257" customFormat="1" ht="13.5" customHeight="1">
      <c r="A28" s="952" t="s">
        <v>791</v>
      </c>
      <c r="B28" s="291" t="s">
        <v>2382</v>
      </c>
      <c r="C28" s="292">
        <f ca="1">ROUND((C5+C19+C20)*F27*'数据-取费表'!B21/'数据-取费表'!B20,0)</f>
        <v>3362</v>
      </c>
      <c r="D28" s="278"/>
      <c r="E28" s="279"/>
      <c r="F28" s="289"/>
      <c r="G28" s="290"/>
    </row>
    <row r="29" spans="1:7" s="257" customFormat="1" ht="13.5" customHeight="1">
      <c r="A29" s="952" t="s">
        <v>792</v>
      </c>
      <c r="B29" s="291" t="s">
        <v>2383</v>
      </c>
      <c r="C29" s="281">
        <f ca="1">ROUND(C21*F27*'数据-取费表'!B21/'数据-取费表'!B20,4)</f>
        <v>8.9999999999999998E-4</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86221</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2326</v>
      </c>
      <c r="D33" s="275"/>
      <c r="E33" s="255"/>
      <c r="F33" s="284"/>
      <c r="G33" s="277"/>
    </row>
    <row r="34" spans="1:7" s="301" customFormat="1" ht="13.5" customHeight="1">
      <c r="A34" s="952" t="s">
        <v>791</v>
      </c>
      <c r="B34" s="258" t="s">
        <v>2391</v>
      </c>
      <c r="C34" s="263">
        <f ca="1">IF(B1="",IF(F34=100%,'数据-取费表'!M16,'数据-取费表'!O16),IF(F34=100%,INDIRECT("'数据-取费表'!m"&amp;$G$1)+INDIRECT("'数据-取费表'!t"&amp;$G$1),INDIRECT("'数据-取费表'!o"&amp;$G$1)+INDIRECT("'数据-取费表'!aq"&amp;$G$1)))</f>
        <v>2139</v>
      </c>
      <c r="D34" s="260"/>
      <c r="E34" s="263"/>
      <c r="F34" s="300">
        <f ca="1">IF('数据-取费表'!B24=0,1,IF(B1="",'数据-取费表'!N16,INDIRECT("'数据-取费表'!n"&amp;$G$1)))</f>
        <v>0.05</v>
      </c>
      <c r="G34" s="262" t="s">
        <v>2392</v>
      </c>
    </row>
    <row r="35" spans="1:7" ht="13.5" customHeight="1">
      <c r="A35" s="952" t="s">
        <v>796</v>
      </c>
      <c r="B35" s="258" t="s">
        <v>2393</v>
      </c>
      <c r="C35" s="263">
        <f ca="1">ROUND(C34*F35,0)</f>
        <v>64</v>
      </c>
      <c r="D35" s="263"/>
      <c r="E35" s="263"/>
      <c r="F35" s="302">
        <f>'数据-取费表'!B33</f>
        <v>0.03</v>
      </c>
      <c r="G35" s="262" t="s">
        <v>2394</v>
      </c>
    </row>
    <row r="36" spans="1:7" ht="24">
      <c r="A36" s="952"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2" t="s">
        <v>798</v>
      </c>
      <c r="B37" s="258" t="s">
        <v>2397</v>
      </c>
      <c r="C37" s="292">
        <f ca="1">ROUND(E37*D37*F34/10000,0)</f>
        <v>91</v>
      </c>
      <c r="D37" s="260">
        <f ca="1">D19</f>
        <v>91239.85</v>
      </c>
      <c r="E37" s="292">
        <f>'数据-取费表'!B35</f>
        <v>200</v>
      </c>
      <c r="F37" s="302"/>
      <c r="G37" s="304" t="s">
        <v>2398</v>
      </c>
    </row>
    <row r="38" spans="1:7" ht="13.5" customHeight="1">
      <c r="A38" s="952" t="s">
        <v>799</v>
      </c>
      <c r="B38" s="258" t="s">
        <v>2399</v>
      </c>
      <c r="C38" s="263">
        <f ca="1">ROUND(C34*F38,0)</f>
        <v>32</v>
      </c>
      <c r="D38" s="263"/>
      <c r="E38" s="263"/>
      <c r="F38" s="302">
        <f>'数据-取费表'!B36</f>
        <v>1.4999999999999999E-2</v>
      </c>
      <c r="G38" s="262" t="s">
        <v>2394</v>
      </c>
    </row>
    <row r="39" spans="1:7" s="257" customFormat="1" ht="13.5" customHeight="1">
      <c r="A39" s="298" t="s">
        <v>2400</v>
      </c>
      <c r="B39" s="253" t="s">
        <v>2401</v>
      </c>
      <c r="C39" s="275">
        <f ca="1">ROUND(C33*F20,0)</f>
        <v>47</v>
      </c>
      <c r="D39" s="275"/>
      <c r="E39" s="275"/>
      <c r="F39" s="276"/>
      <c r="G39" s="277" t="s">
        <v>2402</v>
      </c>
    </row>
    <row r="40" spans="1:7" s="257" customFormat="1" ht="13.5" customHeight="1">
      <c r="A40" s="298" t="s">
        <v>2403</v>
      </c>
      <c r="B40" s="253" t="s">
        <v>2404</v>
      </c>
      <c r="C40" s="1729">
        <f>F21</f>
        <v>0.02</v>
      </c>
      <c r="D40" s="279" t="s">
        <v>2405</v>
      </c>
      <c r="E40" s="275"/>
      <c r="F40" s="276"/>
      <c r="G40" s="277" t="s">
        <v>2406</v>
      </c>
    </row>
    <row r="41" spans="1:7" s="257" customFormat="1" ht="13.5" customHeight="1">
      <c r="A41" s="298" t="s">
        <v>2407</v>
      </c>
      <c r="B41" s="253" t="s">
        <v>2408</v>
      </c>
      <c r="C41" s="275">
        <f ca="1">ROUND(SUM(C42:C43),0)</f>
        <v>28</v>
      </c>
      <c r="D41" s="278">
        <f ca="1">C44</f>
        <v>2.0000000000000001E-4</v>
      </c>
      <c r="E41" s="279" t="s">
        <v>2405</v>
      </c>
      <c r="F41" s="280"/>
      <c r="G41" s="277" t="str">
        <f>IF('数据-取费表'!B22&lt;=1,"单利计息","复利计息")</f>
        <v>复利计息</v>
      </c>
    </row>
    <row r="42" spans="1:7" ht="13.5" customHeight="1">
      <c r="A42" s="952" t="s">
        <v>791</v>
      </c>
      <c r="B42" s="258" t="s">
        <v>2409</v>
      </c>
      <c r="C42" s="281">
        <f ca="1">ROUND(IF('数据-取费表'!B22&lt;=1,C33*F22*'数据-取费表'!B21/2,C33*(POWER((1+F22),'数据-取费表'!B21/2)-1)),0)</f>
        <v>27</v>
      </c>
      <c r="D42" s="281"/>
      <c r="E42" s="281"/>
      <c r="F42" s="282"/>
      <c r="G42" s="3167" t="s">
        <v>2410</v>
      </c>
    </row>
    <row r="43" spans="1:7" ht="13.5" customHeight="1">
      <c r="A43" s="952" t="s">
        <v>792</v>
      </c>
      <c r="B43" s="258" t="s">
        <v>2411</v>
      </c>
      <c r="C43" s="281">
        <f ca="1">ROUND(IF('数据-取费表'!B22&lt;=1,C39*F22*'数据-取费表'!B21/2,C39*(POWER((1+F22),'数据-取费表'!B21/2)-1)),0)</f>
        <v>1</v>
      </c>
      <c r="D43" s="281"/>
      <c r="E43" s="281"/>
      <c r="F43" s="282"/>
      <c r="G43" s="3168"/>
    </row>
    <row r="44" spans="1:7" ht="13.5" customHeight="1">
      <c r="A44" s="952" t="s">
        <v>793</v>
      </c>
      <c r="B44" s="258" t="s">
        <v>2412</v>
      </c>
      <c r="C44" s="281">
        <f ca="1">ROUND(IF('数据-取费表'!B22&lt;=1,C40*F22*'数据-取费表'!B21/2,C40*(POWER((1+F22),'数据-取费表'!B21/2)-1)),4)</f>
        <v>2.0000000000000001E-4</v>
      </c>
      <c r="D44" s="281"/>
      <c r="E44" s="281"/>
      <c r="F44" s="282"/>
      <c r="G44" s="3169"/>
    </row>
    <row r="45" spans="1:7" s="257" customFormat="1" ht="13.5" customHeight="1">
      <c r="A45" s="298" t="s">
        <v>2413</v>
      </c>
      <c r="B45" s="287" t="s">
        <v>2379</v>
      </c>
      <c r="C45" s="288">
        <f ca="1">C46</f>
        <v>427</v>
      </c>
      <c r="D45" s="278">
        <f ca="1">C47</f>
        <v>3.5999999999999999E-3</v>
      </c>
      <c r="E45" s="279" t="s">
        <v>2405</v>
      </c>
      <c r="F45" s="289"/>
      <c r="G45" s="290" t="s">
        <v>2414</v>
      </c>
    </row>
    <row r="46" spans="1:7" s="257" customFormat="1" ht="13.5" customHeight="1">
      <c r="A46" s="952" t="s">
        <v>791</v>
      </c>
      <c r="B46" s="291" t="s">
        <v>2415</v>
      </c>
      <c r="C46" s="292">
        <f ca="1">ROUND((C33+C39)*F27,0)</f>
        <v>427</v>
      </c>
      <c r="D46" s="306"/>
      <c r="E46" s="279"/>
      <c r="F46" s="289"/>
      <c r="G46" s="290"/>
    </row>
    <row r="47" spans="1:7" s="257" customFormat="1" ht="13.5" customHeight="1">
      <c r="A47" s="952" t="s">
        <v>792</v>
      </c>
      <c r="B47" s="291" t="s">
        <v>2416</v>
      </c>
      <c r="C47" s="281">
        <f ca="1">ROUND(C40*F27,4)</f>
        <v>3.5999999999999999E-3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3064</v>
      </c>
      <c r="D49" s="275"/>
      <c r="E49" s="275"/>
      <c r="F49" s="307"/>
      <c r="G49" s="277" t="s">
        <v>2420</v>
      </c>
    </row>
    <row r="50" spans="1:7" s="301" customFormat="1" ht="24">
      <c r="A50" s="298" t="s">
        <v>2421</v>
      </c>
      <c r="B50" s="253" t="s">
        <v>2422</v>
      </c>
      <c r="C50" s="275"/>
      <c r="D50" s="275"/>
      <c r="E50" s="275"/>
      <c r="F50" s="307">
        <f>IF('数据-取费表'!B24=0,'数据-取费表'!N16,1)</f>
        <v>1</v>
      </c>
      <c r="G50" s="290" t="s">
        <v>2423</v>
      </c>
    </row>
    <row r="51" spans="1:7" ht="16.5" customHeight="1">
      <c r="A51" s="298" t="s">
        <v>2424</v>
      </c>
      <c r="B51" s="253" t="s">
        <v>2425</v>
      </c>
      <c r="C51" s="275">
        <f ca="1">ROUND(C49*F50,0)</f>
        <v>3064</v>
      </c>
      <c r="D51" s="275"/>
      <c r="E51" s="275"/>
      <c r="F51" s="307"/>
      <c r="G51" s="277" t="s">
        <v>2426</v>
      </c>
    </row>
    <row r="52" spans="1:7" s="251" customFormat="1" ht="16.5" thickBot="1">
      <c r="A52" s="308" t="s">
        <v>2427</v>
      </c>
      <c r="B52" s="309"/>
      <c r="C52" s="310">
        <f ca="1">C31+C51</f>
        <v>89285</v>
      </c>
      <c r="D52" s="309"/>
      <c r="E52" s="309"/>
      <c r="F52" s="309"/>
      <c r="G52" s="311"/>
    </row>
    <row r="55" spans="1:7" ht="15">
      <c r="B55" s="313" t="s">
        <v>2428</v>
      </c>
      <c r="C55" s="314"/>
    </row>
    <row r="56" spans="1:7">
      <c r="B56" s="316" t="s">
        <v>1509</v>
      </c>
      <c r="C56" s="318">
        <f ca="1">1-C57</f>
        <v>0.96599999999999997</v>
      </c>
    </row>
    <row r="57" spans="1:7">
      <c r="B57" s="316" t="s">
        <v>1510</v>
      </c>
      <c r="C57" s="317">
        <f ca="1">ROUND(C51/C52,3)</f>
        <v>3.4000000000000002E-2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1" t="str">
        <f>项目基本情况!B1</f>
        <v>上海出让国有建设用地使用权及在建建筑物房地产抵押价值预评估</v>
      </c>
      <c r="C37" s="2981"/>
      <c r="D37" s="2981"/>
      <c r="E37" s="2981"/>
      <c r="F37" s="2981"/>
      <c r="G37" s="2981"/>
      <c r="H37" s="2981"/>
      <c r="I37" s="2981"/>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叶凌（注册号：1119970111)、杨红英（注册号：1120070085)</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6"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68328</v>
      </c>
      <c r="C2" s="242" t="s">
        <v>2329</v>
      </c>
      <c r="D2" s="2550" t="s">
        <v>70</v>
      </c>
      <c r="E2" s="1441" t="e">
        <f ca="1">SUMIF(INDIRECT("'"&amp;G2&amp;"'"&amp;"!A:A"),"承租人权益价值",INDIRECT("'"&amp;G2&amp;"'"&amp;"!c:c"))</f>
        <v>#REF!</v>
      </c>
      <c r="F2" s="2551" t="s">
        <v>2329</v>
      </c>
      <c r="G2" s="2552"/>
    </row>
    <row r="3" spans="1:8" s="243" customFormat="1" ht="18" customHeight="1" thickBot="1">
      <c r="A3" s="246" t="s">
        <v>2330</v>
      </c>
      <c r="B3" s="247">
        <f ca="1">ROUND(B2*10000/(IF(B1="",'数据-汇总表'!E3,INDIRECT("'数据-取费表'!k"&amp;$G$1))),0)</f>
        <v>7489</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18247970</v>
      </c>
      <c r="D5" s="254" t="s">
        <v>2335</v>
      </c>
      <c r="E5" s="255" t="s">
        <v>2336</v>
      </c>
      <c r="F5" s="255" t="s">
        <v>2337</v>
      </c>
      <c r="G5" s="256"/>
    </row>
    <row r="6" spans="1:8" s="257" customFormat="1" ht="13.5" customHeight="1">
      <c r="A6" s="950" t="s">
        <v>2338</v>
      </c>
      <c r="B6" s="258" t="s">
        <v>2339</v>
      </c>
      <c r="C6" s="259"/>
      <c r="D6" s="260"/>
      <c r="E6" s="261"/>
      <c r="F6" s="261"/>
      <c r="G6" s="262"/>
    </row>
    <row r="7" spans="1:8" s="257" customFormat="1" ht="13.5" customHeight="1">
      <c r="A7" s="950" t="s">
        <v>2340</v>
      </c>
      <c r="B7" s="258" t="s">
        <v>2341</v>
      </c>
      <c r="C7" s="263">
        <f>ROUND(C6*F7,0)</f>
        <v>0</v>
      </c>
      <c r="D7" s="263"/>
      <c r="E7" s="261"/>
      <c r="F7" s="264">
        <f>'数据-取费表'!B48+'数据-取费表'!B49</f>
        <v>3.0499999999999999E-2</v>
      </c>
      <c r="G7" s="262"/>
    </row>
    <row r="8" spans="1:8" s="266" customFormat="1">
      <c r="A8" s="950" t="s">
        <v>2342</v>
      </c>
      <c r="B8" s="258" t="s">
        <v>2343</v>
      </c>
      <c r="C8" s="263">
        <f ca="1">IF(G8="已包含在土地购买价格中",0,C9+C10)</f>
        <v>18247970</v>
      </c>
      <c r="D8" s="265"/>
      <c r="E8" s="263"/>
      <c r="F8" s="264"/>
      <c r="G8" s="2553"/>
    </row>
    <row r="9" spans="1:8" s="257" customFormat="1" ht="13.5" customHeight="1">
      <c r="A9" s="951" t="s">
        <v>800</v>
      </c>
      <c r="B9" s="267" t="s">
        <v>2344</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2346</v>
      </c>
      <c r="C10" s="268">
        <f ca="1">ROUND(D10*E10,0)</f>
        <v>18247970</v>
      </c>
      <c r="D10" s="1033">
        <f ca="1">IF(B1="",'数据-汇总表'!E6,IF(INDIRECT("'数据-取费表'!c"&amp;$G$1)="住宅",INDIRECT("'数据-取费表'!s"&amp;$G$1),INDIRECT("'数据-取费表'!k"&amp;$G$1)+INDIRECT("'数据-取费表'!s"&amp;$G$1)))</f>
        <v>91239.85</v>
      </c>
      <c r="E10" s="268">
        <f>'数据-取费表'!B28</f>
        <v>200</v>
      </c>
      <c r="F10" s="264"/>
      <c r="G10" s="269"/>
    </row>
    <row r="11" spans="1:8" s="257" customFormat="1" ht="13.5" hidden="1" customHeight="1">
      <c r="A11" s="270" t="s">
        <v>7</v>
      </c>
      <c r="B11" s="258" t="s">
        <v>2347</v>
      </c>
      <c r="C11" s="254"/>
      <c r="D11" s="1035"/>
      <c r="E11" s="261"/>
      <c r="F11" s="261"/>
      <c r="G11" s="262"/>
    </row>
    <row r="12" spans="1:8" s="257" customFormat="1" ht="13.5" hidden="1" customHeight="1">
      <c r="A12" s="270" t="s">
        <v>8</v>
      </c>
      <c r="B12" s="258" t="s">
        <v>2430</v>
      </c>
      <c r="C12" s="254">
        <v>0</v>
      </c>
      <c r="D12" s="1035"/>
      <c r="E12" s="271"/>
      <c r="F12" s="264">
        <v>3.0499999999999999E-2</v>
      </c>
      <c r="G12" s="262"/>
    </row>
    <row r="13" spans="1:8" s="257" customFormat="1" ht="13.5" hidden="1" customHeight="1">
      <c r="A13" s="270" t="s">
        <v>9</v>
      </c>
      <c r="B13" s="258" t="s">
        <v>2431</v>
      </c>
      <c r="C13" s="254"/>
      <c r="D13" s="1035"/>
      <c r="E13" s="261"/>
      <c r="F13" s="261"/>
      <c r="G13" s="262"/>
    </row>
    <row r="14" spans="1:8" s="257" customFormat="1" ht="13.5" hidden="1" customHeight="1">
      <c r="A14" s="270" t="s">
        <v>10</v>
      </c>
      <c r="B14" s="258" t="s">
        <v>2343</v>
      </c>
      <c r="C14" s="254"/>
      <c r="D14" s="1035"/>
      <c r="E14" s="261"/>
      <c r="F14" s="261"/>
      <c r="G14" s="262" t="s">
        <v>2432</v>
      </c>
    </row>
    <row r="15" spans="1:8" s="257" customFormat="1" ht="13.5" hidden="1" customHeight="1">
      <c r="A15" s="270" t="s">
        <v>11</v>
      </c>
      <c r="B15" s="258" t="s">
        <v>2433</v>
      </c>
      <c r="C15" s="263"/>
      <c r="D15" s="1035"/>
      <c r="E15" s="261"/>
      <c r="F15" s="261"/>
      <c r="G15" s="262" t="s">
        <v>2434</v>
      </c>
    </row>
    <row r="16" spans="1:8" s="257" customFormat="1" ht="13.5" hidden="1" customHeight="1">
      <c r="A16" s="270" t="s">
        <v>12</v>
      </c>
      <c r="B16" s="258" t="s">
        <v>2343</v>
      </c>
      <c r="C16" s="263"/>
      <c r="D16" s="1035"/>
      <c r="E16" s="261"/>
      <c r="F16" s="261"/>
      <c r="G16" s="262"/>
    </row>
    <row r="17" spans="1:7" s="257" customFormat="1" ht="13.5" hidden="1" customHeight="1">
      <c r="A17" s="270" t="s">
        <v>13</v>
      </c>
      <c r="B17" s="258" t="s">
        <v>2435</v>
      </c>
      <c r="C17" s="272"/>
      <c r="D17" s="1036"/>
      <c r="E17" s="272"/>
      <c r="F17" s="272"/>
      <c r="G17" s="262" t="s">
        <v>2434</v>
      </c>
    </row>
    <row r="18" spans="1:7" s="257" customFormat="1" ht="13.5" hidden="1" customHeight="1">
      <c r="A18" s="270" t="s">
        <v>14</v>
      </c>
      <c r="B18" s="258" t="s">
        <v>2436</v>
      </c>
      <c r="C18" s="263">
        <v>0</v>
      </c>
      <c r="D18" s="1035"/>
      <c r="E18" s="261"/>
      <c r="F18" s="264">
        <v>3.0499999999999999E-2</v>
      </c>
      <c r="G18" s="262" t="s">
        <v>2437</v>
      </c>
    </row>
    <row r="19" spans="1:7" s="266" customFormat="1" ht="13.5" customHeight="1">
      <c r="A19" s="298" t="s">
        <v>2438</v>
      </c>
      <c r="B19" s="253" t="s">
        <v>2439</v>
      </c>
      <c r="C19" s="254">
        <f ca="1">IF(G19="已包含在土地取得成本中","0",ROUND(D19*E19,0))</f>
        <v>18247970</v>
      </c>
      <c r="D19" s="1037">
        <f ca="1">D9+D10</f>
        <v>91239.85</v>
      </c>
      <c r="E19" s="254">
        <f>'数据-取费表'!B31</f>
        <v>200</v>
      </c>
      <c r="F19" s="274"/>
      <c r="G19" s="2553"/>
    </row>
    <row r="20" spans="1:7" s="257" customFormat="1" ht="13.5" customHeight="1">
      <c r="A20" s="298" t="s">
        <v>2440</v>
      </c>
      <c r="B20" s="253" t="s">
        <v>2441</v>
      </c>
      <c r="C20" s="275">
        <f ca="1">ROUND((C5+C19)*F20,0)</f>
        <v>729919</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1">
        <f ca="1">ROUND(SUM(C23:C25),0)</f>
        <v>3584129</v>
      </c>
      <c r="D22" s="278">
        <f ca="1">C26</f>
        <v>1E-3</v>
      </c>
      <c r="E22" s="279" t="s">
        <v>2445</v>
      </c>
      <c r="F22" s="280">
        <f ca="1">'数据-取费表'!B40</f>
        <v>4.7500000000000001E-2</v>
      </c>
      <c r="G22" s="277" t="str">
        <f>IF('数据-取费表'!B22&lt;=1,"单利计息","复利计息")</f>
        <v>复利计息</v>
      </c>
    </row>
    <row r="23" spans="1:7" s="257" customFormat="1" ht="13.5" customHeight="1">
      <c r="A23" s="952" t="s">
        <v>2338</v>
      </c>
      <c r="B23" s="258" t="s">
        <v>2449</v>
      </c>
      <c r="C23" s="1382">
        <f ca="1">ROUND(IF('数据-取费表'!B22&lt;=1,C5*F22*'数据-取费表'!B22,C5*(POWER((1+F22),'数据-取费表'!B22)-1)),0)</f>
        <v>1774729</v>
      </c>
      <c r="D23" s="281"/>
      <c r="E23" s="281"/>
      <c r="F23" s="282"/>
      <c r="G23" s="283" t="s">
        <v>2450</v>
      </c>
    </row>
    <row r="24" spans="1:7" s="257" customFormat="1" ht="13.5" customHeight="1">
      <c r="A24" s="952" t="s">
        <v>2340</v>
      </c>
      <c r="B24" s="258" t="s">
        <v>2451</v>
      </c>
      <c r="C24" s="1382">
        <f ca="1">ROUND(IF('数据-取费表'!B22&lt;=1,C19*F22*('数据-取费表'!B19/2+'数据-取费表'!B20),C19*(POWER((1+F22),('数据-取费表'!B19/2+'数据-取费表'!B20))-1)),0)</f>
        <v>1774729</v>
      </c>
      <c r="D24" s="281"/>
      <c r="E24" s="281"/>
      <c r="F24" s="282"/>
      <c r="G24" s="283" t="s">
        <v>2452</v>
      </c>
    </row>
    <row r="25" spans="1:7" s="257" customFormat="1" ht="24">
      <c r="A25" s="952" t="s">
        <v>2342</v>
      </c>
      <c r="B25" s="258" t="s">
        <v>2453</v>
      </c>
      <c r="C25" s="1382">
        <f ca="1">ROUND(IF('数据-取费表'!B22&lt;=1,C20*F22*'数据-取费表'!B22/2,C20*(POWER((1+F22),'数据-取费表'!B22/2)-1)),0)</f>
        <v>34671</v>
      </c>
      <c r="D25" s="281"/>
      <c r="E25" s="284"/>
      <c r="F25" s="282"/>
      <c r="G25" s="285" t="s">
        <v>2454</v>
      </c>
    </row>
    <row r="26" spans="1:7" s="257" customFormat="1">
      <c r="A26" s="952"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6700655</v>
      </c>
      <c r="D27" s="278">
        <f ca="1">C29</f>
        <v>3.5999999999999999E-3</v>
      </c>
      <c r="E27" s="279" t="s">
        <v>2380</v>
      </c>
      <c r="F27" s="289">
        <f ca="1">IF(B1="",'数据-取费表'!Q16,INDIRECT("'数据-取费表'!q"&amp;$G$1))</f>
        <v>0.18</v>
      </c>
      <c r="G27" s="290" t="s">
        <v>2381</v>
      </c>
    </row>
    <row r="28" spans="1:7" s="257" customFormat="1" ht="13.5" customHeight="1">
      <c r="A28" s="952" t="s">
        <v>791</v>
      </c>
      <c r="B28" s="291" t="s">
        <v>2382</v>
      </c>
      <c r="C28" s="292">
        <f ca="1">ROUND((C5+C19+C20)*F27,0)</f>
        <v>6700655</v>
      </c>
      <c r="D28" s="278"/>
      <c r="E28" s="279"/>
      <c r="F28" s="289"/>
      <c r="G28" s="290"/>
    </row>
    <row r="29" spans="1:7" s="257" customFormat="1" ht="13.5" customHeight="1">
      <c r="A29" s="952" t="s">
        <v>792</v>
      </c>
      <c r="B29" s="291" t="s">
        <v>2383</v>
      </c>
      <c r="C29" s="281">
        <f ca="1">ROUND(C21*F27,4)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51524393</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465270891</v>
      </c>
      <c r="D33" s="275"/>
      <c r="E33" s="255"/>
      <c r="F33" s="284"/>
      <c r="G33" s="277"/>
    </row>
    <row r="34" spans="1:7" s="301" customFormat="1" ht="13.5" customHeight="1">
      <c r="A34" s="952" t="s">
        <v>791</v>
      </c>
      <c r="B34" s="258" t="s">
        <v>2391</v>
      </c>
      <c r="C34" s="263">
        <f ca="1">ROUND(IF(B1="",SUMPRODUCT('数据-取费表'!K6:K14,'数据-取费表'!L6:L14),INDIRECT("'数据-取费表'!l"&amp;$G$1)*INDIRECT("'数据-取费表'!k"&amp;$G$1)+'数据-取费表'!L14*INDIRECT("'数据-取费表'!S"&amp;$G$1)),0)</f>
        <v>427773130</v>
      </c>
      <c r="D34" s="260"/>
      <c r="E34" s="263"/>
      <c r="F34" s="300"/>
      <c r="G34" s="262"/>
    </row>
    <row r="35" spans="1:7" ht="13.5" customHeight="1">
      <c r="A35" s="952" t="s">
        <v>796</v>
      </c>
      <c r="B35" s="258" t="s">
        <v>2393</v>
      </c>
      <c r="C35" s="263">
        <f ca="1">ROUND(C34*F35,0)</f>
        <v>12833194</v>
      </c>
      <c r="D35" s="263"/>
      <c r="E35" s="263"/>
      <c r="F35" s="302">
        <f>'数据-取费表'!B33</f>
        <v>0.03</v>
      </c>
      <c r="G35" s="262" t="s">
        <v>2394</v>
      </c>
    </row>
    <row r="36" spans="1:7" ht="24">
      <c r="A36" s="952"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2" t="s">
        <v>798</v>
      </c>
      <c r="B37" s="258" t="s">
        <v>2397</v>
      </c>
      <c r="C37" s="292">
        <f ca="1">ROUND(E37*D37,0)</f>
        <v>18247970</v>
      </c>
      <c r="D37" s="260">
        <f ca="1">D19</f>
        <v>91239.85</v>
      </c>
      <c r="E37" s="292">
        <f>'数据-取费表'!B35</f>
        <v>200</v>
      </c>
      <c r="F37" s="302"/>
      <c r="G37" s="304"/>
    </row>
    <row r="38" spans="1:7" ht="13.5" customHeight="1">
      <c r="A38" s="952" t="s">
        <v>799</v>
      </c>
      <c r="B38" s="258" t="s">
        <v>2399</v>
      </c>
      <c r="C38" s="263">
        <f ca="1">ROUND(C34*F38,0)</f>
        <v>6416597</v>
      </c>
      <c r="D38" s="263"/>
      <c r="E38" s="263"/>
      <c r="F38" s="302">
        <f>'数据-取费表'!B36</f>
        <v>1.4999999999999999E-2</v>
      </c>
      <c r="G38" s="262" t="s">
        <v>2394</v>
      </c>
    </row>
    <row r="39" spans="1:7" s="257" customFormat="1" ht="13.5" customHeight="1">
      <c r="A39" s="298" t="s">
        <v>2400</v>
      </c>
      <c r="B39" s="253" t="s">
        <v>2401</v>
      </c>
      <c r="C39" s="275">
        <f ca="1">ROUND(C33*F20,0)</f>
        <v>9305418</v>
      </c>
      <c r="D39" s="275"/>
      <c r="E39" s="275"/>
      <c r="F39" s="276"/>
      <c r="G39" s="277" t="s">
        <v>2402</v>
      </c>
    </row>
    <row r="40" spans="1:7" s="257" customFormat="1" ht="13.5" customHeight="1">
      <c r="A40" s="298" t="s">
        <v>2403</v>
      </c>
      <c r="B40" s="253" t="s">
        <v>2404</v>
      </c>
      <c r="C40" s="1729">
        <f>F21</f>
        <v>0.02</v>
      </c>
      <c r="D40" s="279" t="s">
        <v>2405</v>
      </c>
      <c r="E40" s="275"/>
      <c r="F40" s="276"/>
      <c r="G40" s="277" t="s">
        <v>2406</v>
      </c>
    </row>
    <row r="41" spans="1:7" s="257" customFormat="1" ht="13.5" customHeight="1">
      <c r="A41" s="298" t="s">
        <v>2407</v>
      </c>
      <c r="B41" s="253" t="s">
        <v>2408</v>
      </c>
      <c r="C41" s="275">
        <f ca="1">ROUND(SUM(C42:C43),0)</f>
        <v>22542374</v>
      </c>
      <c r="D41" s="278">
        <f ca="1">C44</f>
        <v>1E-3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ROUND(IF('数据-取费表'!B22&lt;=1,C33*F22*'数据-取费表'!B20/2,C33*(POWER((1+F22),'数据-取费表'!B20/2)-1)),0)</f>
        <v>22100367</v>
      </c>
      <c r="D42" s="281"/>
      <c r="E42" s="281"/>
      <c r="F42" s="282"/>
      <c r="G42" s="3167" t="s">
        <v>2457</v>
      </c>
    </row>
    <row r="43" spans="1:7" ht="13.5" customHeight="1">
      <c r="A43" s="952" t="s">
        <v>792</v>
      </c>
      <c r="B43" s="258" t="s">
        <v>2411</v>
      </c>
      <c r="C43" s="281">
        <f ca="1">ROUND(IF('数据-取费表'!B22&lt;=1,C39*F22*'数据-取费表'!B20/2,C39*(POWER((1+F22),'数据-取费表'!B20/2)-1)),0)</f>
        <v>442007</v>
      </c>
      <c r="D43" s="281"/>
      <c r="E43" s="281"/>
      <c r="F43" s="282"/>
      <c r="G43" s="3168"/>
    </row>
    <row r="44" spans="1:7" ht="13.5" customHeight="1">
      <c r="A44" s="952" t="s">
        <v>793</v>
      </c>
      <c r="B44" s="258" t="s">
        <v>2412</v>
      </c>
      <c r="C44" s="281">
        <f ca="1">ROUND(IF('数据-取费表'!B22&lt;=1,C40*F22*'数据-取费表'!B20/2,C40*(POWER((1+F22),'数据-取费表'!B20/2)-1)),4)</f>
        <v>1E-3</v>
      </c>
      <c r="D44" s="281"/>
      <c r="E44" s="281"/>
      <c r="F44" s="282"/>
      <c r="G44" s="3169"/>
    </row>
    <row r="45" spans="1:7" s="257" customFormat="1" ht="13.5" customHeight="1">
      <c r="A45" s="298" t="s">
        <v>2413</v>
      </c>
      <c r="B45" s="287" t="s">
        <v>2379</v>
      </c>
      <c r="C45" s="288">
        <f ca="1">C46</f>
        <v>85423736</v>
      </c>
      <c r="D45" s="278">
        <f ca="1">C47</f>
        <v>3.5999999999999999E-3</v>
      </c>
      <c r="E45" s="279" t="s">
        <v>2405</v>
      </c>
      <c r="F45" s="289"/>
      <c r="G45" s="290" t="s">
        <v>2414</v>
      </c>
    </row>
    <row r="46" spans="1:7" s="257" customFormat="1" ht="13.5" customHeight="1">
      <c r="A46" s="952" t="s">
        <v>791</v>
      </c>
      <c r="B46" s="291" t="s">
        <v>2415</v>
      </c>
      <c r="C46" s="292">
        <f ca="1">ROUND((C33+C39)*F27,0)</f>
        <v>85423736</v>
      </c>
      <c r="D46" s="306"/>
      <c r="E46" s="279"/>
      <c r="F46" s="289"/>
      <c r="G46" s="290"/>
    </row>
    <row r="47" spans="1:7" s="257" customFormat="1" ht="13.5" customHeight="1">
      <c r="A47" s="952" t="s">
        <v>792</v>
      </c>
      <c r="B47" s="291" t="s">
        <v>2416</v>
      </c>
      <c r="C47" s="281">
        <f ca="1">ROUND(C40*F27,4)</f>
        <v>3.5999999999999999E-3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631756229</v>
      </c>
      <c r="D49" s="275"/>
      <c r="E49" s="275"/>
      <c r="F49" s="307"/>
      <c r="G49" s="277" t="s">
        <v>2420</v>
      </c>
    </row>
    <row r="50" spans="1:7" s="301" customFormat="1">
      <c r="A50" s="298" t="s">
        <v>2421</v>
      </c>
      <c r="B50" s="253" t="s">
        <v>2422</v>
      </c>
      <c r="C50" s="275"/>
      <c r="D50" s="275"/>
      <c r="E50" s="275"/>
      <c r="F50" s="307">
        <f>IF('数据-取费表'!B24=0,'数据-取费表'!N16,1)</f>
        <v>1</v>
      </c>
      <c r="G50" s="290"/>
    </row>
    <row r="51" spans="1:7" ht="16.5" customHeight="1">
      <c r="A51" s="298" t="s">
        <v>2424</v>
      </c>
      <c r="B51" s="253" t="s">
        <v>2459</v>
      </c>
      <c r="C51" s="275">
        <f ca="1">ROUND(C49*F50,0)</f>
        <v>631756229</v>
      </c>
      <c r="D51" s="275"/>
      <c r="E51" s="275"/>
      <c r="F51" s="307"/>
      <c r="G51" s="277" t="s">
        <v>2426</v>
      </c>
    </row>
    <row r="52" spans="1:7" s="251" customFormat="1" ht="16.5" thickBot="1">
      <c r="A52" s="308" t="s">
        <v>2427</v>
      </c>
      <c r="B52" s="309"/>
      <c r="C52" s="310">
        <f ca="1">C31+C51</f>
        <v>683280622</v>
      </c>
      <c r="D52" s="309"/>
      <c r="E52" s="309"/>
      <c r="F52" s="309"/>
      <c r="G52" s="311"/>
    </row>
    <row r="55" spans="1:7" ht="15">
      <c r="B55" s="313" t="s">
        <v>2428</v>
      </c>
      <c r="C55" s="314"/>
    </row>
    <row r="56" spans="1:7">
      <c r="B56" s="316" t="s">
        <v>1509</v>
      </c>
      <c r="C56" s="318">
        <f ca="1">1-C57</f>
        <v>7.4999999999999956E-2</v>
      </c>
    </row>
    <row r="57" spans="1:7">
      <c r="B57" s="316" t="s">
        <v>1510</v>
      </c>
      <c r="C57" s="317">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E34" sqref="E34"/>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71348</v>
      </c>
      <c r="C2" s="319" t="s">
        <v>2461</v>
      </c>
      <c r="D2" s="319"/>
      <c r="E2" s="319"/>
      <c r="F2" s="319"/>
      <c r="G2" s="319"/>
      <c r="H2" s="319"/>
      <c r="I2" s="319"/>
      <c r="J2" s="319"/>
      <c r="K2" s="319"/>
    </row>
    <row r="3" spans="1:33" ht="18" customHeight="1" thickBot="1">
      <c r="A3" s="246" t="s">
        <v>2330</v>
      </c>
      <c r="B3" s="247">
        <f ca="1">ROUND(B2*10000/IF(C1="",'数据-汇总表'!E3,INDIRECT("'数据-取费表'!K"&amp;$K$1)),0)</f>
        <v>7820</v>
      </c>
      <c r="C3" s="319" t="s">
        <v>2462</v>
      </c>
      <c r="D3" s="319"/>
      <c r="E3" s="319"/>
      <c r="F3" s="319"/>
      <c r="G3" s="319"/>
      <c r="H3" s="319"/>
      <c r="I3" s="319"/>
      <c r="J3" s="319"/>
      <c r="K3" s="319"/>
    </row>
    <row r="4" spans="1:33" s="957" customFormat="1" ht="16.5" customHeight="1">
      <c r="A4" s="954" t="s">
        <v>2463</v>
      </c>
      <c r="B4" s="955"/>
      <c r="C4" s="997">
        <f ca="1">SUM(C8:K8)</f>
        <v>155285</v>
      </c>
      <c r="D4" s="955"/>
      <c r="E4" s="955"/>
      <c r="F4" s="955"/>
      <c r="G4" s="955"/>
      <c r="H4" s="955"/>
      <c r="I4" s="955"/>
      <c r="J4" s="955"/>
      <c r="K4" s="956"/>
    </row>
    <row r="5" spans="1:33" s="961" customFormat="1" ht="15">
      <c r="A5" s="958" t="s">
        <v>2464</v>
      </c>
      <c r="B5" s="959" t="s">
        <v>2465</v>
      </c>
      <c r="C5" s="2557" t="s">
        <v>1373</v>
      </c>
      <c r="D5" s="2557" t="s">
        <v>3103</v>
      </c>
      <c r="E5" s="2557"/>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2466</v>
      </c>
      <c r="C6" s="963">
        <f ca="1">收益法——商业!C43</f>
        <v>20145</v>
      </c>
      <c r="D6" s="963">
        <f ca="1">收益法——车库!C43</f>
        <v>80</v>
      </c>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39" t="s">
        <v>2468</v>
      </c>
      <c r="C7" s="320">
        <f>SUMIF('数据-汇总表'!$C19:$C33,假设开发法!C5,'数据-汇总表'!$E19:$E33)</f>
        <v>77026.790000000008</v>
      </c>
      <c r="D7" s="320">
        <f>SUMIF('数据-汇总表'!$C19:$C33,假设开发法!D5,'数据-汇总表'!$E19:$E33)</f>
        <v>14213.06</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2469</v>
      </c>
      <c r="B8" s="176" t="s">
        <v>2470</v>
      </c>
      <c r="C8" s="998">
        <f ca="1">收益法——商业!C40</f>
        <v>155172</v>
      </c>
      <c r="D8" s="998">
        <f ca="1">收益法——车库!C40</f>
        <v>113</v>
      </c>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1330</v>
      </c>
      <c r="B11" s="973" t="s">
        <v>2478</v>
      </c>
      <c r="C11" s="322">
        <f ca="1">IF(C1="",'数据-取费表'!P16,INDIRECT("'数据-取费表'!p"&amp;$K$1)+INDIRECT("'数据-取费表'!ar"&amp;$K$1))</f>
        <v>40638</v>
      </c>
      <c r="D11" s="974"/>
      <c r="E11" s="374"/>
      <c r="F11" s="975">
        <f ca="1">1-IF('数据-取费表'!B24=0,1,IF(C1="",'数据-取费表'!N16,INDIRECT("'数据-取费表'!n"&amp;$K$1)))</f>
        <v>0.95</v>
      </c>
      <c r="G11" s="8"/>
      <c r="H11" s="969"/>
      <c r="I11" s="969"/>
      <c r="J11" s="969"/>
      <c r="K11" s="970"/>
    </row>
    <row r="12" spans="1:33" s="976" customFormat="1" ht="13.5" customHeight="1">
      <c r="A12" s="972" t="s">
        <v>1331</v>
      </c>
      <c r="B12" s="973" t="s">
        <v>2479</v>
      </c>
      <c r="C12" s="23">
        <f ca="1">ROUND(C11*F12,0)</f>
        <v>1219</v>
      </c>
      <c r="D12" s="974"/>
      <c r="E12" s="374"/>
      <c r="F12" s="977">
        <f>'数据-取费表'!B33</f>
        <v>0.03</v>
      </c>
      <c r="G12" s="8" t="s">
        <v>2480</v>
      </c>
      <c r="H12" s="969"/>
      <c r="I12" s="969"/>
      <c r="J12" s="969"/>
      <c r="K12" s="970"/>
    </row>
    <row r="13" spans="1:33" s="976" customFormat="1" ht="13.5" customHeight="1">
      <c r="A13" s="972" t="s">
        <v>1332</v>
      </c>
      <c r="B13" s="973" t="s">
        <v>2481</v>
      </c>
      <c r="C13" s="23">
        <f ca="1">ROUND(IF(C1="",SUMIF('数据-取费表'!C:C,"住宅",'数据-取费表'!P:P)*F13,IF(INDIRECT("'数据-取费表'!c"&amp;$K$1)="住宅",INDIRECT("'数据-取费表'!P"&amp;$K$1)*F13,0)),0)</f>
        <v>0</v>
      </c>
      <c r="D13" s="1034"/>
      <c r="E13" s="374"/>
      <c r="F13" s="977">
        <f>'数据-取费表'!B34</f>
        <v>0</v>
      </c>
      <c r="G13" s="8" t="s">
        <v>2482</v>
      </c>
      <c r="H13" s="969"/>
      <c r="I13" s="969"/>
      <c r="J13" s="969"/>
      <c r="K13" s="970"/>
    </row>
    <row r="14" spans="1:33" s="978" customFormat="1" ht="13.5" customHeight="1">
      <c r="A14" s="972" t="s">
        <v>1333</v>
      </c>
      <c r="B14" s="973" t="s">
        <v>2483</v>
      </c>
      <c r="C14" s="23">
        <f ca="1">ROUND(D14*E14*F11/10000,0)</f>
        <v>1734</v>
      </c>
      <c r="D14" s="1034">
        <f ca="1">IF(C1="",'数据-汇总表'!E3,INDIRECT("'数据-取费表'!K"&amp;$K$1)+INDIRECT("'数据-取费表'!S"&amp;$K$1))</f>
        <v>91239.85</v>
      </c>
      <c r="E14" s="23">
        <f>'数据-取费表'!B35</f>
        <v>200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2485</v>
      </c>
      <c r="C15" s="984">
        <f ca="1">ROUND(C11*F15,0)</f>
        <v>610</v>
      </c>
      <c r="D15" s="979"/>
      <c r="E15" s="984"/>
      <c r="F15" s="985">
        <f>'数据-取费表'!B36</f>
        <v>1.4999999999999999E-2</v>
      </c>
      <c r="G15" s="139"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44201</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3">
        <f ca="1">ROUND(D17*E17/10000,0)</f>
        <v>0</v>
      </c>
      <c r="D17" s="1034">
        <f ca="1">D14</f>
        <v>91239.85</v>
      </c>
      <c r="E17" s="23">
        <f>'数据-取费表'!B32</f>
        <v>0</v>
      </c>
      <c r="F17" s="979"/>
      <c r="G17" s="139" t="s">
        <v>2489</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2490</v>
      </c>
      <c r="C18" s="23">
        <f ca="1">C19+C20-IF(C1="",'数据-取费表'!B29,IF(G18="已全部缴纳",C19+C20,H18))</f>
        <v>0</v>
      </c>
      <c r="D18" s="1034"/>
      <c r="E18" s="23"/>
      <c r="F18" s="977"/>
      <c r="G18" s="2559" t="s">
        <v>3078</v>
      </c>
      <c r="H18" s="1578">
        <f ca="1">'数据-取费表'!B29</f>
        <v>1825</v>
      </c>
      <c r="I18" s="2560" t="s">
        <v>2491</v>
      </c>
      <c r="J18" s="980"/>
      <c r="K18" s="981"/>
    </row>
    <row r="19" spans="1:33" s="976" customFormat="1" ht="13.5" customHeight="1">
      <c r="A19" s="972" t="s">
        <v>805</v>
      </c>
      <c r="B19" s="973" t="s">
        <v>2492</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2493</v>
      </c>
      <c r="C20" s="23">
        <f ca="1">ROUND(D20*E20/10000,0)</f>
        <v>1825</v>
      </c>
      <c r="D20" s="1034">
        <f ca="1">IF(C1="",'数据-汇总表'!E6,IF(INDIRECT("'数据-取费表'!c"&amp;$K$1)="住宅",INDIRECT("'数据-取费表'!s"&amp;$K$1),INDIRECT("'数据-取费表'!k"&amp;$K$1)+INDIRECT("'数据-取费表'!s"&amp;$K$1)))</f>
        <v>91239.85</v>
      </c>
      <c r="E20" s="23">
        <f>'数据-取费表'!B28</f>
        <v>200</v>
      </c>
      <c r="F20" s="977"/>
      <c r="G20" s="14"/>
      <c r="H20" s="982"/>
      <c r="I20" s="982"/>
      <c r="J20" s="982"/>
      <c r="K20" s="983"/>
    </row>
    <row r="21" spans="1:33" s="976" customFormat="1" ht="13.5" customHeight="1">
      <c r="A21" s="962" t="s">
        <v>802</v>
      </c>
      <c r="B21" s="986" t="s">
        <v>2494</v>
      </c>
      <c r="C21" s="987">
        <f ca="1">C16+C17+C18</f>
        <v>44201</v>
      </c>
      <c r="D21" s="988"/>
      <c r="E21" s="324"/>
      <c r="F21" s="324"/>
      <c r="G21" s="139" t="s">
        <v>2495</v>
      </c>
      <c r="H21" s="980"/>
      <c r="I21" s="980"/>
      <c r="J21" s="980"/>
      <c r="K21" s="981"/>
    </row>
    <row r="22" spans="1:33" s="976" customFormat="1" ht="13.5" customHeight="1">
      <c r="A22" s="962" t="s">
        <v>2467</v>
      </c>
      <c r="B22" s="986" t="s">
        <v>2496</v>
      </c>
      <c r="C22" s="987">
        <f ca="1">ROUND(C21*F22,0)</f>
        <v>884</v>
      </c>
      <c r="D22" s="324"/>
      <c r="E22" s="324"/>
      <c r="F22" s="989">
        <f>'数据-取费表'!B37</f>
        <v>0.02</v>
      </c>
      <c r="G22" s="8" t="s">
        <v>2497</v>
      </c>
      <c r="H22" s="969"/>
      <c r="I22" s="969"/>
      <c r="J22" s="969"/>
      <c r="K22" s="970"/>
    </row>
    <row r="23" spans="1:33" s="976" customFormat="1" ht="13.5" customHeight="1">
      <c r="A23" s="962" t="s">
        <v>2469</v>
      </c>
      <c r="B23" s="986" t="s">
        <v>2498</v>
      </c>
      <c r="C23" s="987">
        <f ca="1">ROUND(C4*F23*F11,0)</f>
        <v>2950</v>
      </c>
      <c r="D23" s="324"/>
      <c r="E23" s="324"/>
      <c r="F23" s="989">
        <f>'数据-取费表'!B38</f>
        <v>0.02</v>
      </c>
      <c r="G23" s="8" t="s">
        <v>2499</v>
      </c>
      <c r="H23" s="969"/>
      <c r="I23" s="969"/>
      <c r="J23" s="969"/>
      <c r="K23" s="970"/>
    </row>
    <row r="24" spans="1:33" s="976" customFormat="1" ht="13.5" customHeight="1">
      <c r="A24" s="962" t="s">
        <v>2500</v>
      </c>
      <c r="B24" s="986" t="s">
        <v>2501</v>
      </c>
      <c r="C24" s="323">
        <f>ROUND(F24/(1+'数据-取费表'!C42),4)</f>
        <v>2.9000000000000001E-2</v>
      </c>
      <c r="D24" s="324" t="s">
        <v>15</v>
      </c>
      <c r="E24" s="324"/>
      <c r="F24" s="989">
        <f>'数据-取费表'!B48+'数据-取费表'!B49</f>
        <v>3.0499999999999999E-2</v>
      </c>
      <c r="G24" s="8" t="s">
        <v>2502</v>
      </c>
      <c r="H24" s="991"/>
      <c r="I24" s="991"/>
      <c r="J24" s="991"/>
      <c r="K24" s="992"/>
    </row>
    <row r="25" spans="1:33" s="976" customFormat="1" ht="13.5" customHeight="1">
      <c r="A25" s="962" t="s">
        <v>2503</v>
      </c>
      <c r="B25" s="988" t="s">
        <v>2504</v>
      </c>
      <c r="C25" s="1357">
        <f ca="1">C27</f>
        <v>1701</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8">
        <f ca="1">ROUND(IF('数据-取费表'!B22&lt;=1,(1+C24)*F25*'数据-取费表'!B24,(1+C24)*(POWER((1+F25),'数据-取费表'!B24)-1)),4)</f>
        <v>7.4200000000000002E-2</v>
      </c>
      <c r="D26" s="327"/>
      <c r="E26" s="328"/>
      <c r="F26" s="329"/>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9">
        <f ca="1">ROUND(IF('数据-取费表'!B22&lt;=1,(C21+C22+C23)*F25*'数据-取费表'!B24/2,(C21+C22+C23)*(POWER((1+F25),'数据-取费表'!B24/2)-1)),0)</f>
        <v>1701</v>
      </c>
      <c r="D27" s="327"/>
      <c r="E27" s="328"/>
      <c r="F27" s="329"/>
      <c r="G27" s="2561" t="str">
        <f>IF('数据-取费表'!B22&lt;=1,"（1）-（3）项×年利率×建设期÷2","（1）-（3）项×((1+年利率)^(建设期÷2)-1)")</f>
        <v>（1）-（3）项×((1+年利率)^(建设期÷2)-1)</v>
      </c>
      <c r="H27" s="980"/>
      <c r="I27" s="980"/>
      <c r="J27" s="980"/>
      <c r="K27" s="981"/>
    </row>
    <row r="28" spans="1:33" s="332" customFormat="1" ht="13.5" customHeight="1">
      <c r="A28" s="962" t="s">
        <v>2507</v>
      </c>
      <c r="B28" s="2562" t="s">
        <v>2508</v>
      </c>
      <c r="C28" s="330">
        <f ca="1">C30</f>
        <v>8646</v>
      </c>
      <c r="D28" s="323">
        <f ca="1">C29</f>
        <v>0.1389</v>
      </c>
      <c r="E28" s="325" t="s">
        <v>15</v>
      </c>
      <c r="F28" s="331">
        <f ca="1">IF(C1="",'数据-取费表'!Q16,INDIRECT("'数据-取费表'!q"&amp;$K$1))</f>
        <v>0.18</v>
      </c>
      <c r="G28" s="990"/>
      <c r="H28" s="991"/>
      <c r="I28" s="991"/>
      <c r="J28" s="991"/>
      <c r="K28" s="992"/>
    </row>
    <row r="29" spans="1:33" s="334" customFormat="1" ht="13.5" customHeight="1">
      <c r="A29" s="972" t="s">
        <v>803</v>
      </c>
      <c r="B29" s="995" t="s">
        <v>2509</v>
      </c>
      <c r="C29" s="327">
        <f ca="1">ROUND((1+C24)*F28*'数据-取费表'!B24/'数据-取费表'!B20,4)</f>
        <v>0.1389</v>
      </c>
      <c r="D29" s="327"/>
      <c r="E29" s="328"/>
      <c r="F29" s="333"/>
      <c r="G29" s="139" t="s">
        <v>2510</v>
      </c>
      <c r="H29" s="980"/>
      <c r="I29" s="980"/>
      <c r="J29" s="980"/>
      <c r="K29" s="981"/>
    </row>
    <row r="30" spans="1:33" s="334" customFormat="1" ht="13.5" customHeight="1">
      <c r="A30" s="972" t="s">
        <v>804</v>
      </c>
      <c r="B30" s="995" t="s">
        <v>2511</v>
      </c>
      <c r="C30" s="335">
        <f ca="1">ROUND((C21+C22+C23)*F28,0)</f>
        <v>8646</v>
      </c>
      <c r="D30" s="327"/>
      <c r="E30" s="328"/>
      <c r="F30" s="333"/>
      <c r="G30" s="139"/>
      <c r="H30" s="980"/>
      <c r="I30" s="980"/>
      <c r="J30" s="980"/>
      <c r="K30" s="981"/>
    </row>
    <row r="31" spans="1:33" s="976" customFormat="1" ht="13.5" customHeight="1" thickBot="1">
      <c r="A31" s="2563" t="s">
        <v>2512</v>
      </c>
      <c r="B31" s="1006" t="s">
        <v>2513</v>
      </c>
      <c r="C31" s="1007">
        <f ca="1">ROUND(C4*F31/(1+'数据-取费表'!C42),0)</f>
        <v>8282</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71348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topLeftCell="A13" zoomScale="90" zoomScaleNormal="90" zoomScaleSheetLayoutView="90" workbookViewId="0">
      <selection activeCell="I38" sqref="I38"/>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0"/>
      <c r="C1" s="1838" t="s">
        <v>3103</v>
      </c>
      <c r="D1" s="1821" t="s">
        <v>70</v>
      </c>
      <c r="E1" s="1822" t="s">
        <v>1383</v>
      </c>
      <c r="F1" s="1284">
        <f ca="1">J53</f>
        <v>31.75</v>
      </c>
      <c r="G1" s="1837">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113</v>
      </c>
      <c r="C2" s="1846" t="s">
        <v>1512</v>
      </c>
      <c r="D2" s="1846"/>
      <c r="E2" s="1847"/>
      <c r="F2" s="1848"/>
      <c r="G2" s="1849"/>
      <c r="H2" s="1841"/>
      <c r="I2" s="1841"/>
      <c r="J2" s="1841"/>
      <c r="K2" s="1842"/>
      <c r="L2" s="1841"/>
      <c r="M2" s="1841"/>
    </row>
    <row r="3" spans="1:37" ht="18" customHeight="1" thickBot="1">
      <c r="A3" s="1850" t="s">
        <v>1513</v>
      </c>
      <c r="B3" s="1851">
        <f ca="1">IF(ISERROR(B2*10000/F43),0,ROUND(B2*10000/F43,0))</f>
        <v>80</v>
      </c>
      <c r="C3" s="1846" t="s">
        <v>1514</v>
      </c>
      <c r="D3" s="1846"/>
      <c r="E3" s="1847"/>
      <c r="F3" s="1848"/>
      <c r="G3" s="1849"/>
      <c r="H3" s="742"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3">
        <f ca="1">C6+C10+C12</f>
        <v>127</v>
      </c>
      <c r="D5" s="1823" t="s">
        <v>1398</v>
      </c>
      <c r="E5" s="1294"/>
      <c r="F5" s="1295"/>
      <c r="G5" s="1852"/>
      <c r="H5" s="343">
        <v>1</v>
      </c>
      <c r="I5" s="344" t="s">
        <v>1397</v>
      </c>
      <c r="J5" s="1293">
        <f ca="1">J6+J10+J12</f>
        <v>0</v>
      </c>
      <c r="K5" s="1823" t="s">
        <v>1398</v>
      </c>
      <c r="L5" s="1294"/>
      <c r="M5" s="1295"/>
    </row>
    <row r="6" spans="1:37" ht="18" customHeight="1">
      <c r="A6" s="1292" t="s">
        <v>1032</v>
      </c>
      <c r="B6" s="3170" t="s">
        <v>1399</v>
      </c>
      <c r="C6" s="1297">
        <f ca="1">ROUND(F6*F8*F7*(1-F9)/10000,0)</f>
        <v>127</v>
      </c>
      <c r="D6" s="163" t="s">
        <v>3032</v>
      </c>
      <c r="E6" s="346" t="s">
        <v>1401</v>
      </c>
      <c r="F6" s="347">
        <f ca="1">INDIRECT("'数据-取费表'!u"&amp;$G$1)</f>
        <v>0.35</v>
      </c>
      <c r="G6" s="1852"/>
      <c r="H6" s="1292" t="s">
        <v>1032</v>
      </c>
      <c r="I6" s="3170" t="s">
        <v>1399</v>
      </c>
      <c r="J6" s="345">
        <f ca="1">ROUND(M6*M8*M7*(1-M9)/10000,0)</f>
        <v>0</v>
      </c>
      <c r="K6" s="163" t="s">
        <v>3031</v>
      </c>
      <c r="L6" s="346" t="s">
        <v>1401</v>
      </c>
      <c r="M6" s="347">
        <f ca="1">INDIRECT("'数据-取费表'!z"&amp;$G$1)</f>
        <v>0</v>
      </c>
    </row>
    <row r="7" spans="1:37" ht="18" customHeight="1">
      <c r="A7" s="1296"/>
      <c r="B7" s="3171"/>
      <c r="C7" s="1298"/>
      <c r="D7" s="351"/>
      <c r="E7" s="2946" t="s">
        <v>1402</v>
      </c>
      <c r="F7" s="347">
        <f ca="1">IF(INDIRECT("'数据-取费表'!ah"&amp;$G$1)="",INDIRECT("'数据-取费表'!k"&amp;$G$1),INDIRECT("'数据-取费表'!ah"&amp;$G$1))</f>
        <v>14213.06</v>
      </c>
      <c r="G7" s="1852"/>
      <c r="H7" s="348"/>
      <c r="I7" s="3171"/>
      <c r="J7" s="350"/>
      <c r="K7" s="351"/>
      <c r="L7" s="346" t="s">
        <v>1402</v>
      </c>
      <c r="M7" s="347">
        <f ca="1">F7</f>
        <v>14213.06</v>
      </c>
    </row>
    <row r="8" spans="1:37" ht="18" customHeight="1">
      <c r="A8" s="348"/>
      <c r="B8" s="3171"/>
      <c r="C8" s="350"/>
      <c r="D8" s="351"/>
      <c r="E8" s="346" t="s">
        <v>1403</v>
      </c>
      <c r="F8" s="347">
        <f ca="1">INDIRECT("'数据-取费表'!ai"&amp;$G$1)</f>
        <v>365</v>
      </c>
      <c r="G8" s="1852"/>
      <c r="H8" s="348"/>
      <c r="I8" s="3171"/>
      <c r="J8" s="350"/>
      <c r="K8" s="351"/>
      <c r="L8" s="346" t="s">
        <v>1403</v>
      </c>
      <c r="M8" s="347">
        <f ca="1">INDIRECT("'数据-取费表'!ai"&amp;$G$1)</f>
        <v>365</v>
      </c>
    </row>
    <row r="9" spans="1:37" ht="18" customHeight="1">
      <c r="A9" s="348"/>
      <c r="B9" s="3172"/>
      <c r="C9" s="350"/>
      <c r="D9" s="351"/>
      <c r="E9" s="346" t="s">
        <v>1404</v>
      </c>
      <c r="F9" s="356">
        <f ca="1">INDIRECT("'数据-取费表'!w"&amp;$G$1)</f>
        <v>0.3</v>
      </c>
      <c r="G9" s="1852"/>
      <c r="H9" s="348"/>
      <c r="I9" s="3172"/>
      <c r="J9" s="350"/>
      <c r="K9" s="351"/>
      <c r="L9" s="357" t="s">
        <v>1404</v>
      </c>
      <c r="M9" s="358">
        <f ca="1">INDIRECT("'数据-取费表'!ab"&amp;$G$1)</f>
        <v>0</v>
      </c>
    </row>
    <row r="10" spans="1:37" ht="18" customHeight="1">
      <c r="A10" s="1292" t="s">
        <v>1036</v>
      </c>
      <c r="B10" s="1824" t="s">
        <v>1405</v>
      </c>
      <c r="C10" s="360">
        <f ca="1">ROUND(IF(F10="押一",C6/12*F11,IF(F10="押二",C6/12*2*F11,IF(F10="押三",C6/12*3*F11,C11*F11))),0)</f>
        <v>0</v>
      </c>
      <c r="D10" s="1825" t="s">
        <v>3040</v>
      </c>
      <c r="E10" s="357" t="s">
        <v>1406</v>
      </c>
      <c r="F10" s="1367" t="s">
        <v>3068</v>
      </c>
      <c r="G10" s="1852"/>
      <c r="H10" s="1292" t="s">
        <v>1036</v>
      </c>
      <c r="I10" s="1824" t="s">
        <v>1405</v>
      </c>
      <c r="J10" s="345">
        <f ca="1">ROUND(IF(M10="押一",J6/12*M11,IF(M10="押二",J6/12*2*M11,IF(M10="押三",J6/12*3*M11,J11*M11))),0)</f>
        <v>0</v>
      </c>
      <c r="K10" s="1825" t="s">
        <v>3040</v>
      </c>
      <c r="L10" s="357" t="s">
        <v>1406</v>
      </c>
      <c r="M10" s="1367" t="s">
        <v>1407</v>
      </c>
    </row>
    <row r="11" spans="1:37" ht="18" customHeight="1">
      <c r="A11" s="352"/>
      <c r="B11" s="1826" t="s">
        <v>1384</v>
      </c>
      <c r="C11" s="1179"/>
      <c r="D11" s="1827"/>
      <c r="E11" s="357" t="s">
        <v>1408</v>
      </c>
      <c r="F11" s="358">
        <f ca="1">'数据-取费表'!B39</f>
        <v>1.4999999999999999E-2</v>
      </c>
      <c r="G11" s="1852"/>
      <c r="H11" s="1300"/>
      <c r="I11" s="1826" t="s">
        <v>1384</v>
      </c>
      <c r="J11" s="1179"/>
      <c r="K11" s="746"/>
      <c r="L11" s="357"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4">
        <f ca="1">ROUND(C29*F13,0)</f>
        <v>5739</v>
      </c>
      <c r="D13" s="1332" t="s">
        <v>1411</v>
      </c>
      <c r="E13" s="1332" t="s">
        <v>1412</v>
      </c>
      <c r="F13" s="1333">
        <f ca="1">INDIRECT("'数据-取费表'!y"&amp;$G$1)</f>
        <v>1</v>
      </c>
      <c r="G13" s="1852"/>
      <c r="H13" s="1330">
        <v>2</v>
      </c>
      <c r="I13" s="1331" t="s">
        <v>1410</v>
      </c>
      <c r="J13" s="1291">
        <f ca="1">ROUND(J14*J15,0)</f>
        <v>0</v>
      </c>
      <c r="K13" s="1338" t="s">
        <v>1411</v>
      </c>
      <c r="L13" s="1853"/>
      <c r="M13" s="1854"/>
    </row>
    <row r="14" spans="1:37" ht="18" customHeight="1">
      <c r="A14" s="1202" t="s">
        <v>1031</v>
      </c>
      <c r="B14" s="346" t="s">
        <v>1413</v>
      </c>
      <c r="C14" s="362">
        <f ca="1">INDIRECT("'数据-取费表'!m"&amp;$G$1)+INDIRECT("'数据-取费表'!t"&amp;$G$1)</f>
        <v>4264</v>
      </c>
      <c r="D14" s="2949" t="s">
        <v>1414</v>
      </c>
      <c r="E14" s="2948"/>
      <c r="F14" s="363"/>
      <c r="G14" s="1852"/>
      <c r="H14" s="1202" t="s">
        <v>1032</v>
      </c>
      <c r="I14" s="346" t="s">
        <v>1415</v>
      </c>
      <c r="J14" s="23">
        <f ca="1">C29</f>
        <v>5739</v>
      </c>
      <c r="K14" s="2945"/>
      <c r="L14" s="980"/>
      <c r="M14" s="981"/>
    </row>
    <row r="15" spans="1:37" s="1859" customFormat="1" ht="18" customHeight="1" thickBot="1">
      <c r="A15" s="1202" t="s">
        <v>1033</v>
      </c>
      <c r="B15" s="346" t="s">
        <v>1416</v>
      </c>
      <c r="C15" s="23">
        <f ca="1">ROUND(C14*F15,0)</f>
        <v>128</v>
      </c>
      <c r="D15" s="364" t="s">
        <v>1417</v>
      </c>
      <c r="E15" s="364" t="s">
        <v>1418</v>
      </c>
      <c r="F15" s="365">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2"/>
      <c r="H16" s="1330" t="s">
        <v>1027</v>
      </c>
      <c r="I16" s="1331" t="s">
        <v>1420</v>
      </c>
      <c r="J16" s="354">
        <f ca="1">ROUND(J17+J22+J23+J24,0)</f>
        <v>136</v>
      </c>
      <c r="K16" s="1338" t="s">
        <v>1421</v>
      </c>
      <c r="L16" s="2951"/>
      <c r="M16" s="1295"/>
    </row>
    <row r="17" spans="1:37" s="1859" customFormat="1" ht="18" customHeight="1">
      <c r="A17" s="1202" t="s">
        <v>1386</v>
      </c>
      <c r="B17" s="346" t="s">
        <v>1422</v>
      </c>
      <c r="C17" s="23">
        <f ca="1">ROUND(F17*(F43+INDIRECT("'数据-取费表'!S"&amp;$G$1))/10000,0)</f>
        <v>284</v>
      </c>
      <c r="D17" s="346" t="s">
        <v>1423</v>
      </c>
      <c r="E17" s="346" t="s">
        <v>1424</v>
      </c>
      <c r="F17" s="25">
        <f>'数据-取费表'!B35</f>
        <v>200</v>
      </c>
      <c r="G17" s="1855"/>
      <c r="H17" s="1202" t="s">
        <v>1032</v>
      </c>
      <c r="I17" s="346" t="s">
        <v>1425</v>
      </c>
      <c r="J17" s="23">
        <f ca="1">ROUND(IF(项目基本情况!B11="自然人",J5*M17,J18+J19+J20),1)</f>
        <v>50.1</v>
      </c>
      <c r="K17" s="2949" t="s">
        <v>1426</v>
      </c>
      <c r="L17" s="2950"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6" t="s">
        <v>1428</v>
      </c>
      <c r="C18" s="23">
        <f ca="1">ROUND(C14*F18,0)</f>
        <v>64</v>
      </c>
      <c r="D18" s="346" t="s">
        <v>1417</v>
      </c>
      <c r="E18" s="346" t="s">
        <v>1418</v>
      </c>
      <c r="F18" s="366">
        <f>'数据-取费表'!B36</f>
        <v>1.4999999999999999E-2</v>
      </c>
      <c r="G18" s="1855"/>
      <c r="H18" s="1202" t="s">
        <v>1031</v>
      </c>
      <c r="I18" s="346" t="s">
        <v>1429</v>
      </c>
      <c r="J18" s="23">
        <f ca="1">ROUND(J5*M18/(1+'数据-取费表'!C42),2)</f>
        <v>0</v>
      </c>
      <c r="K18" s="2950"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6" t="s">
        <v>1431</v>
      </c>
      <c r="C19" s="23">
        <f ca="1">SUM(C14:C18)</f>
        <v>4740</v>
      </c>
      <c r="D19" s="139" t="s">
        <v>1432</v>
      </c>
      <c r="E19" s="2944"/>
      <c r="F19" s="25"/>
      <c r="G19" s="1852"/>
      <c r="H19" s="1202" t="s">
        <v>1033</v>
      </c>
      <c r="I19" s="346" t="s">
        <v>1433</v>
      </c>
      <c r="J19" s="23">
        <f ca="1">IF(K19="按租金收入计税",ROUND(J5*M19,2),ROUND(C29*M19*0.7,2))</f>
        <v>48.21</v>
      </c>
      <c r="K19" s="1829" t="s">
        <v>1434</v>
      </c>
      <c r="L19" s="346" t="s">
        <v>1418</v>
      </c>
      <c r="M19" s="366">
        <f>IF(K19="按租金收入计税",'数据-取费表'!B51,'数据-取费表'!B50)</f>
        <v>1.2E-2</v>
      </c>
    </row>
    <row r="20" spans="1:37" s="1859" customFormat="1" ht="18" customHeight="1">
      <c r="A20" s="1202" t="s">
        <v>1036</v>
      </c>
      <c r="B20" s="346" t="s">
        <v>1435</v>
      </c>
      <c r="C20" s="23">
        <f ca="1">ROUND(C19*F20,0)</f>
        <v>95</v>
      </c>
      <c r="D20" s="368" t="s">
        <v>1436</v>
      </c>
      <c r="E20" s="346" t="s">
        <v>1418</v>
      </c>
      <c r="F20" s="366">
        <f>'数据-取费表'!B37</f>
        <v>0.02</v>
      </c>
      <c r="G20" s="1855"/>
      <c r="H20" s="1202" t="s">
        <v>1385</v>
      </c>
      <c r="I20" s="163" t="s">
        <v>1437</v>
      </c>
      <c r="J20" s="24">
        <f ca="1">ROUND(M20*M21/10000,2)</f>
        <v>1.88</v>
      </c>
      <c r="K20" s="369" t="s">
        <v>1438</v>
      </c>
      <c r="L20" s="346" t="s">
        <v>1439</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6" t="s">
        <v>1440</v>
      </c>
      <c r="C21" s="23" t="s">
        <v>1</v>
      </c>
      <c r="D21" s="368" t="s">
        <v>1441</v>
      </c>
      <c r="E21" s="346" t="s">
        <v>1442</v>
      </c>
      <c r="F21" s="366">
        <f>'数据-取费表'!B38</f>
        <v>0.02</v>
      </c>
      <c r="G21" s="1855"/>
      <c r="H21" s="371"/>
      <c r="I21" s="355"/>
      <c r="J21" s="28"/>
      <c r="K21" s="372"/>
      <c r="L21" s="346" t="s">
        <v>1443</v>
      </c>
      <c r="M21" s="347">
        <f ca="1">INDIRECT("'数据-取费表'!r"&amp;$G$1)</f>
        <v>6267.68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4"/>
      <c r="F22" s="25"/>
      <c r="G22" s="1852"/>
      <c r="H22" s="1202" t="s">
        <v>1036</v>
      </c>
      <c r="I22" s="346" t="s">
        <v>1445</v>
      </c>
      <c r="J22" s="23">
        <f ca="1">ROUND(J14*M22,1)</f>
        <v>86.1</v>
      </c>
      <c r="K22" s="2950" t="s">
        <v>1446</v>
      </c>
      <c r="L22" s="346" t="s">
        <v>1418</v>
      </c>
      <c r="M22" s="373">
        <f ca="1">INDIRECT("'数据-取费表'!Ak"&amp;$G$1)</f>
        <v>1.4999999999999999E-2</v>
      </c>
    </row>
    <row r="23" spans="1:37" s="1859" customFormat="1" ht="18" customHeight="1">
      <c r="A23" s="1202" t="s">
        <v>1031</v>
      </c>
      <c r="B23" s="346" t="s">
        <v>1447</v>
      </c>
      <c r="C23" s="23">
        <f ca="1">IF('数据-取费表'!B22&lt;=1,ROUND(C19*F24*F23/2,0)+ROUND(C20*F24*F23/2,0),ROUND(C19*(POWER((1+F24),F23/2)-1),0)+ROUND(C20*(POWER((1+F24),F23/2)-1),0))</f>
        <v>230</v>
      </c>
      <c r="D23" s="374" t="str">
        <f>IF(F23&lt;=1,"(建造成本+管理费用)×利率×(建设周期÷2)","(建造成本+管理费用)×((1+利率)^(建设周期÷2)-1)")</f>
        <v>(建造成本+管理费用)×((1+利率)^(建设周期÷2)-1)</v>
      </c>
      <c r="E23" s="346" t="s">
        <v>1448</v>
      </c>
      <c r="F23" s="370">
        <f>'数据-取费表'!B20</f>
        <v>2</v>
      </c>
      <c r="G23" s="1855"/>
      <c r="H23" s="1202" t="s">
        <v>1072</v>
      </c>
      <c r="I23" s="346" t="s">
        <v>1449</v>
      </c>
      <c r="J23" s="23">
        <f ca="1">ROUND(J13*M23,1)</f>
        <v>0</v>
      </c>
      <c r="K23" s="2950" t="s">
        <v>1450</v>
      </c>
      <c r="L23" s="346" t="s">
        <v>1418</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0" t="s">
        <v>1388</v>
      </c>
      <c r="I24" s="1341" t="s">
        <v>1435</v>
      </c>
      <c r="J24" s="1342">
        <f ca="1">ROUND(J5*M24,1)</f>
        <v>0</v>
      </c>
      <c r="K24" s="1343" t="s">
        <v>1455</v>
      </c>
      <c r="L24" s="1341" t="s">
        <v>1418</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6" t="s">
        <v>1457</v>
      </c>
      <c r="C25" s="23"/>
      <c r="D25" s="139" t="s">
        <v>1458</v>
      </c>
      <c r="E25" s="2944"/>
      <c r="F25" s="25"/>
      <c r="G25" s="1852"/>
      <c r="H25" s="1330" t="s">
        <v>1028</v>
      </c>
      <c r="I25" s="1345" t="s">
        <v>1459</v>
      </c>
      <c r="J25" s="354">
        <f ca="1">J5-J16</f>
        <v>-136</v>
      </c>
      <c r="K25" s="1346" t="s">
        <v>1460</v>
      </c>
      <c r="L25" s="1347"/>
      <c r="M25" s="1348"/>
    </row>
    <row r="26" spans="1:37">
      <c r="A26" s="1202" t="s">
        <v>1031</v>
      </c>
      <c r="B26" s="346" t="s">
        <v>1461</v>
      </c>
      <c r="C26" s="23">
        <f ca="1">ROUND((C19+C20)*F26,0)</f>
        <v>242</v>
      </c>
      <c r="D26" s="368" t="s">
        <v>1462</v>
      </c>
      <c r="E26" s="357" t="s">
        <v>1463</v>
      </c>
      <c r="F26" s="356">
        <f ca="1">INDIRECT("'数据-取费表'!q"&amp;$G$1)</f>
        <v>0.05</v>
      </c>
      <c r="G26" s="1852"/>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202" t="s">
        <v>1033</v>
      </c>
      <c r="B27" s="346" t="s">
        <v>1467</v>
      </c>
      <c r="C27" s="23">
        <f ca="1">ROUND(F21*F26,4)</f>
        <v>1E-3</v>
      </c>
      <c r="D27" s="368" t="s">
        <v>1468</v>
      </c>
      <c r="E27" s="364"/>
      <c r="F27" s="365"/>
      <c r="G27" s="1852"/>
      <c r="H27" s="348"/>
      <c r="I27" s="349"/>
      <c r="J27" s="350"/>
      <c r="K27" s="377" t="s">
        <v>1469</v>
      </c>
      <c r="L27" s="346" t="s">
        <v>1470</v>
      </c>
      <c r="M27" s="378">
        <f ca="1">INDIRECT("'数据-取费表'!ag"&amp;$G$1)</f>
        <v>0</v>
      </c>
    </row>
    <row r="28" spans="1:37" s="1859" customFormat="1" ht="18" customHeight="1">
      <c r="A28" s="1202" t="s">
        <v>1034</v>
      </c>
      <c r="B28" s="346" t="s">
        <v>1471</v>
      </c>
      <c r="C28" s="23">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5739</v>
      </c>
      <c r="D29" s="1343"/>
      <c r="E29" s="1341"/>
      <c r="F29" s="1344"/>
      <c r="G29" s="1855"/>
      <c r="H29" s="379" t="s">
        <v>1030</v>
      </c>
      <c r="I29" s="380" t="s">
        <v>1475</v>
      </c>
      <c r="J29" s="381">
        <f ca="1">ROUND(J26/(1+F40)^F41,0)</f>
        <v>0</v>
      </c>
      <c r="K29" s="382" t="s">
        <v>1476</v>
      </c>
      <c r="L29" s="383"/>
      <c r="M29" s="384">
        <f ca="1">INDIRECT("'数据-取费表'!k"&amp;$G$1)</f>
        <v>14213.06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4">
        <f ca="1">ROUND(C31+C36+C37+C38,0)</f>
        <v>121</v>
      </c>
      <c r="D30" s="1338" t="s">
        <v>1421</v>
      </c>
      <c r="E30" s="2951"/>
      <c r="F30" s="1295"/>
      <c r="G30" s="1852"/>
      <c r="H30" s="743"/>
      <c r="I30" s="744"/>
      <c r="J30" s="745"/>
      <c r="K30" s="746"/>
      <c r="L30" s="747"/>
      <c r="M30" s="748"/>
    </row>
    <row r="31" spans="1:37" ht="18" customHeight="1">
      <c r="A31" s="1202" t="s">
        <v>1032</v>
      </c>
      <c r="B31" s="346" t="s">
        <v>1425</v>
      </c>
      <c r="C31" s="23">
        <f ca="1">ROUND(IF(项目基本情况!B11="自然人",C5*F31,C32+C33+C34),1)</f>
        <v>23.9</v>
      </c>
      <c r="D31" s="2949" t="s">
        <v>1426</v>
      </c>
      <c r="E31" s="2950" t="s">
        <v>1477</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1031</v>
      </c>
      <c r="B32" s="346" t="s">
        <v>1429</v>
      </c>
      <c r="C32" s="23">
        <f ca="1">IF(项目基本情况!B11="自然人","——",ROUND(C5*F32/(1+'数据-取费表'!C42),2))</f>
        <v>6.77</v>
      </c>
      <c r="D32" s="2950" t="s">
        <v>1430</v>
      </c>
      <c r="E32" s="346" t="s">
        <v>1418</v>
      </c>
      <c r="F32" s="376">
        <f>'数据-取费表'!B41</f>
        <v>5.6000000000000001E-2</v>
      </c>
      <c r="G32" s="1852"/>
      <c r="H32" s="743"/>
      <c r="I32" s="744"/>
      <c r="J32" s="745"/>
      <c r="K32" s="746"/>
      <c r="L32" s="747"/>
      <c r="M32" s="748"/>
    </row>
    <row r="33" spans="1:18" ht="18" customHeight="1">
      <c r="A33" s="1202" t="s">
        <v>1033</v>
      </c>
      <c r="B33" s="346" t="s">
        <v>1433</v>
      </c>
      <c r="C33" s="23">
        <f ca="1">IF(项目基本情况!B11="自然人","——",IF(D33="按租金收入计税",ROUND(C5*F33,2),IF(D33="按房产原值计税",ROUND(C29*F33*0.7,2),INDIRECT("'数据-取费表'!Aj"&amp;$G$1))))</f>
        <v>15.24</v>
      </c>
      <c r="D33" s="2974" t="s">
        <v>3097</v>
      </c>
      <c r="E33" s="346" t="s">
        <v>1418</v>
      </c>
      <c r="F33" s="366">
        <f>IF(D33="按票据","——",IF(D33="按租金收入计税",'数据-取费表'!B51,'数据-取费表'!B50))</f>
        <v>0.12</v>
      </c>
      <c r="G33" s="1852"/>
      <c r="H33" s="1860"/>
      <c r="I33" s="1861"/>
      <c r="J33" s="1862"/>
      <c r="K33" s="1863"/>
      <c r="L33" s="1860"/>
      <c r="M33" s="1860"/>
    </row>
    <row r="34" spans="1:18" ht="18" customHeight="1">
      <c r="A34" s="1292" t="s">
        <v>1385</v>
      </c>
      <c r="B34" s="163" t="s">
        <v>1437</v>
      </c>
      <c r="C34" s="24">
        <f ca="1">IF(项目基本情况!B11="自然人","——",ROUND(F34*F35/10000,2))</f>
        <v>1.88</v>
      </c>
      <c r="D34" s="369" t="s">
        <v>1438</v>
      </c>
      <c r="E34" s="346" t="s">
        <v>1439</v>
      </c>
      <c r="F34" s="370">
        <f>'数据-取费表'!B52</f>
        <v>3</v>
      </c>
      <c r="G34" s="1852"/>
      <c r="H34" s="743"/>
      <c r="I34" s="1861"/>
      <c r="J34" s="1862"/>
      <c r="K34" s="1864"/>
      <c r="L34" s="1865"/>
      <c r="M34" s="1865"/>
    </row>
    <row r="35" spans="1:18" ht="18" customHeight="1">
      <c r="A35" s="1354"/>
      <c r="B35" s="1352"/>
      <c r="C35" s="28"/>
      <c r="D35" s="372"/>
      <c r="E35" s="346" t="s">
        <v>1443</v>
      </c>
      <c r="F35" s="347">
        <f ca="1">INDIRECT("'数据-取费表'!r"&amp;$G$1)</f>
        <v>6267.68</v>
      </c>
      <c r="G35" s="1852"/>
      <c r="H35" s="743"/>
      <c r="I35" s="1861"/>
      <c r="J35" s="1862"/>
      <c r="K35" s="1863"/>
      <c r="L35" s="1860"/>
      <c r="M35" s="1860"/>
    </row>
    <row r="36" spans="1:18" ht="18" customHeight="1">
      <c r="A36" s="1353" t="s">
        <v>1036</v>
      </c>
      <c r="B36" s="346" t="s">
        <v>1445</v>
      </c>
      <c r="C36" s="23">
        <f ca="1">ROUND(C29*F36,1)</f>
        <v>86.1</v>
      </c>
      <c r="D36" s="2950" t="s">
        <v>1478</v>
      </c>
      <c r="E36" s="346" t="s">
        <v>1418</v>
      </c>
      <c r="F36" s="373">
        <f ca="1">INDIRECT("'数据-取费表'!Ak"&amp;$G$1)</f>
        <v>1.4999999999999999E-2</v>
      </c>
      <c r="G36" s="1852"/>
      <c r="H36" s="1860"/>
      <c r="I36" s="1861"/>
      <c r="J36" s="1862"/>
      <c r="K36" s="749"/>
      <c r="L36" s="1860"/>
      <c r="M36" s="1860"/>
    </row>
    <row r="37" spans="1:18" ht="18" customHeight="1">
      <c r="A37" s="1202" t="s">
        <v>1072</v>
      </c>
      <c r="B37" s="346" t="s">
        <v>1449</v>
      </c>
      <c r="C37" s="23">
        <f ca="1">ROUND(C13*F37,1)</f>
        <v>8.6</v>
      </c>
      <c r="D37" s="2950" t="s">
        <v>1450</v>
      </c>
      <c r="E37" s="346" t="s">
        <v>1418</v>
      </c>
      <c r="F37" s="375">
        <f ca="1">INDIRECT("'数据-取费表'!Al"&amp;$G$1)</f>
        <v>1.5E-3</v>
      </c>
      <c r="G37" s="1852"/>
      <c r="H37" s="1860"/>
      <c r="I37" s="1861"/>
      <c r="J37" s="1862"/>
      <c r="K37" s="749"/>
      <c r="L37" s="1860"/>
      <c r="M37" s="1860"/>
    </row>
    <row r="38" spans="1:18" ht="18" customHeight="1" thickBot="1">
      <c r="A38" s="1340" t="s">
        <v>1388</v>
      </c>
      <c r="B38" s="1341" t="s">
        <v>1435</v>
      </c>
      <c r="C38" s="1342">
        <f ca="1">ROUND(C5*F38,1)</f>
        <v>2.5</v>
      </c>
      <c r="D38" s="1343" t="s">
        <v>1455</v>
      </c>
      <c r="E38" s="1341" t="s">
        <v>1418</v>
      </c>
      <c r="F38" s="1337">
        <f ca="1">INDIRECT("'数据-取费表'!Am"&amp;$G$1)</f>
        <v>0.02</v>
      </c>
      <c r="G38" s="1852"/>
      <c r="H38" s="1860"/>
      <c r="I38" s="1861"/>
      <c r="J38" s="1862"/>
      <c r="K38" s="1866"/>
      <c r="L38" s="1860"/>
      <c r="M38" s="1860"/>
    </row>
    <row r="39" spans="1:18" ht="24.6" customHeight="1" thickTop="1">
      <c r="A39" s="1330" t="s">
        <v>1028</v>
      </c>
      <c r="B39" s="1345" t="s">
        <v>1459</v>
      </c>
      <c r="C39" s="354">
        <f ca="1">C5-C30</f>
        <v>6</v>
      </c>
      <c r="D39" s="1346" t="s">
        <v>1460</v>
      </c>
      <c r="E39" s="1347"/>
      <c r="F39" s="1348"/>
      <c r="G39" s="1852"/>
      <c r="H39" s="1860"/>
      <c r="I39" s="1861"/>
      <c r="J39" s="1862"/>
      <c r="K39" s="1866"/>
      <c r="L39" s="1860"/>
      <c r="M39" s="1860"/>
    </row>
    <row r="40" spans="1:18" ht="18" customHeight="1">
      <c r="A40" s="343" t="s">
        <v>1029</v>
      </c>
      <c r="B40" s="344" t="s">
        <v>1481</v>
      </c>
      <c r="C40" s="345">
        <f ca="1">ROUND(C39*(1-((1+F42)/(1+F40))^F41)/(F40-F42),0)</f>
        <v>113</v>
      </c>
      <c r="D40" s="369" t="s">
        <v>1465</v>
      </c>
      <c r="E40" s="346" t="s">
        <v>1466</v>
      </c>
      <c r="F40" s="356">
        <f ca="1">INDIRECT("'数据-取费表'!I"&amp;$G$1)</f>
        <v>4.4999999999999998E-2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31.75</v>
      </c>
      <c r="G41" s="1852"/>
      <c r="H41" s="730"/>
      <c r="I41" s="1861"/>
      <c r="J41" s="1862"/>
      <c r="K41" s="749"/>
      <c r="L41" s="730"/>
      <c r="M41" s="730"/>
    </row>
    <row r="42" spans="1:18" ht="18" customHeight="1">
      <c r="A42" s="352"/>
      <c r="B42" s="353"/>
      <c r="C42" s="354"/>
      <c r="D42" s="372"/>
      <c r="E42" s="346" t="s">
        <v>1473</v>
      </c>
      <c r="F42" s="356">
        <f ca="1">INDIRECT("'数据-取费表'!v"&amp;$G$1)</f>
        <v>0.01</v>
      </c>
      <c r="G42" s="1852"/>
      <c r="H42" s="730"/>
      <c r="I42" s="1861"/>
      <c r="J42" s="1862"/>
      <c r="K42" s="749"/>
      <c r="L42" s="730"/>
      <c r="M42" s="730"/>
    </row>
    <row r="43" spans="1:18" ht="18" customHeight="1" thickBot="1">
      <c r="A43" s="379" t="s">
        <v>1030</v>
      </c>
      <c r="B43" s="380" t="s">
        <v>1483</v>
      </c>
      <c r="C43" s="381">
        <f ca="1">ROUND(C40*10000/F43,0)</f>
        <v>80</v>
      </c>
      <c r="D43" s="382" t="s">
        <v>1484</v>
      </c>
      <c r="E43" s="383" t="s">
        <v>1485</v>
      </c>
      <c r="F43" s="384">
        <f ca="1">INDIRECT("'数据-取费表'!k"&amp;$G$1)</f>
        <v>14213.06</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-9799</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3069</v>
      </c>
      <c r="K47" s="1883" t="s">
        <v>1523</v>
      </c>
      <c r="L47" s="1884">
        <f ca="1">INDIRECT("'数据-取费表'!d"&amp;$G$1)</f>
        <v>50</v>
      </c>
      <c r="M47" s="1839" t="str">
        <f>IF(ISNUMBER(FIND("住宅",C1)),"住宅","非住宅")</f>
        <v>非住宅</v>
      </c>
      <c r="O47" s="1885" t="s">
        <v>1037</v>
      </c>
      <c r="P47" s="1886" t="s">
        <v>1524</v>
      </c>
      <c r="Q47" s="1887">
        <f ca="1">C40+J29</f>
        <v>113</v>
      </c>
      <c r="R47" s="1887" t="s">
        <v>1525</v>
      </c>
    </row>
    <row r="48" spans="1:18" s="1843" customFormat="1" ht="28.5" thickBot="1">
      <c r="A48" s="1361" t="s">
        <v>1132</v>
      </c>
      <c r="B48" s="344" t="s">
        <v>1397</v>
      </c>
      <c r="C48" s="2943">
        <f ca="1">C49+C53+C55</f>
        <v>0</v>
      </c>
      <c r="D48" s="1363"/>
      <c r="E48" s="1364"/>
      <c r="F48" s="1182"/>
      <c r="G48" s="790"/>
      <c r="H48" s="791"/>
      <c r="I48" s="1888" t="s">
        <v>1526</v>
      </c>
      <c r="J48" s="1889" t="s">
        <v>3070</v>
      </c>
      <c r="K48" s="1890" t="s">
        <v>1527</v>
      </c>
      <c r="L48" s="1891">
        <f ca="1">INDIRECT("'数据-取费表'!f"&amp;$G$1)</f>
        <v>31.75</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3031</v>
      </c>
      <c r="E49" s="1831" t="s">
        <v>1487</v>
      </c>
      <c r="F49" s="1282"/>
      <c r="G49" s="1892"/>
      <c r="H49" s="791"/>
      <c r="I49" s="1888" t="s">
        <v>1530</v>
      </c>
      <c r="J49" s="1893"/>
      <c r="K49" s="1890" t="s">
        <v>1531</v>
      </c>
      <c r="L49" s="1894"/>
      <c r="O49" s="1895" t="s">
        <v>1039</v>
      </c>
      <c r="P49" s="1886" t="s">
        <v>1532</v>
      </c>
      <c r="Q49" s="1887">
        <f ca="1">C29</f>
        <v>5739</v>
      </c>
      <c r="R49" s="1887" t="s">
        <v>1525</v>
      </c>
    </row>
    <row r="50" spans="1:18" s="1843" customFormat="1" ht="13.5" thickBot="1">
      <c r="A50" s="1196"/>
      <c r="B50" s="1199"/>
      <c r="C50" s="1369"/>
      <c r="D50" s="1173"/>
      <c r="E50" s="1278" t="s">
        <v>1402</v>
      </c>
      <c r="F50" s="1279">
        <f ca="1">F7</f>
        <v>14213.06</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7">
        <f ca="1">F8</f>
        <v>365</v>
      </c>
      <c r="I51" s="1899" t="s">
        <v>1536</v>
      </c>
      <c r="J51" s="1900">
        <f>IF(J49="",J50,J49+J50-YEAR('数据-取费表'!B2))</f>
        <v>60</v>
      </c>
      <c r="K51" s="1901" t="s">
        <v>1537</v>
      </c>
      <c r="L51" s="1902">
        <f ca="1">ROUND(-PV(INDIRECT("'数据-取费表'!h"&amp;$G$1),L48,(C39-C13*C76),0),0)</f>
        <v>-6024</v>
      </c>
      <c r="M51" s="1903"/>
      <c r="O51" s="1895" t="s">
        <v>1041</v>
      </c>
      <c r="P51" s="1886" t="s">
        <v>1538</v>
      </c>
      <c r="Q51" s="1898">
        <f>J52</f>
        <v>0.06</v>
      </c>
      <c r="R51" s="1887"/>
    </row>
    <row r="52" spans="1:18" s="1843" customFormat="1" ht="13.5" thickBot="1">
      <c r="A52" s="1197"/>
      <c r="B52" s="1199"/>
      <c r="C52" s="1200"/>
      <c r="D52" s="1173"/>
      <c r="E52" s="1201" t="s">
        <v>1404</v>
      </c>
      <c r="F52" s="1276"/>
      <c r="I52" s="1904" t="s">
        <v>1539</v>
      </c>
      <c r="J52" s="1905">
        <v>0.06</v>
      </c>
      <c r="K52" s="1904" t="s">
        <v>1540</v>
      </c>
      <c r="L52" s="1905"/>
      <c r="O52" s="1895" t="s">
        <v>1042</v>
      </c>
      <c r="P52" s="1886" t="s">
        <v>1541</v>
      </c>
      <c r="Q52" s="1887">
        <f ca="1">J53</f>
        <v>31.75</v>
      </c>
      <c r="R52" s="1887" t="s">
        <v>1542</v>
      </c>
    </row>
    <row r="53" spans="1:18" s="1843" customFormat="1" ht="24.75" thickBot="1">
      <c r="A53" s="1406" t="s">
        <v>1134</v>
      </c>
      <c r="B53" s="1832" t="s">
        <v>1405</v>
      </c>
      <c r="C53" s="360">
        <f ca="1">ROUND(IF(F53="押一",C49/12*F11,IF(F53="押二",C49/12*2*F11,IF(F53="押三",C49/12*3*F11,C54*F11))),0)</f>
        <v>0</v>
      </c>
      <c r="D53" s="1825" t="s">
        <v>3040</v>
      </c>
      <c r="E53" s="357"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31.75</v>
      </c>
      <c r="K53" s="3173" t="s">
        <v>1544</v>
      </c>
      <c r="L53" s="3174"/>
      <c r="O53" s="1885" t="s">
        <v>1043</v>
      </c>
      <c r="P53" s="1886" t="s">
        <v>1545</v>
      </c>
      <c r="Q53" s="1887">
        <f ca="1">Q47+Q48</f>
        <v>113</v>
      </c>
      <c r="R53" s="1887" t="s">
        <v>1044</v>
      </c>
    </row>
    <row r="54" spans="1:18" s="1843" customFormat="1" ht="13.5" thickBot="1">
      <c r="A54" s="1407"/>
      <c r="B54" s="1826" t="s">
        <v>1384</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2947"/>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5">
        <f ca="1">C13</f>
        <v>5739</v>
      </c>
      <c r="D56" s="1915"/>
      <c r="E56" s="1916"/>
      <c r="F56" s="1908"/>
      <c r="I56" s="1917" t="s">
        <v>1550</v>
      </c>
      <c r="J56" s="1918" t="s">
        <v>3064</v>
      </c>
      <c r="K56" s="1888" t="s">
        <v>1551</v>
      </c>
      <c r="L56" s="1891" t="str">
        <f ca="1">IF(L48&lt;J51,"——",L48-J53)</f>
        <v>——</v>
      </c>
      <c r="O56" s="1885" t="s">
        <v>1037</v>
      </c>
      <c r="P56" s="1886" t="s">
        <v>1524</v>
      </c>
      <c r="Q56" s="1887">
        <f ca="1">C40+J29</f>
        <v>113</v>
      </c>
      <c r="R56" s="1887" t="s">
        <v>1525</v>
      </c>
    </row>
    <row r="57" spans="1:18" s="1843" customFormat="1" ht="24.75" thickBot="1">
      <c r="A57" s="1919"/>
      <c r="B57" s="1170" t="s">
        <v>1474</v>
      </c>
      <c r="C57" s="281">
        <f ca="1">C29</f>
        <v>5739</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8" t="s">
        <v>1420</v>
      </c>
      <c r="C58" s="360">
        <f ca="1">ROUND(C59+C64+C65+C66,0)</f>
        <v>579</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3">
        <f ca="1">ROUND(IF(项目基本情况!B11="自然人",C48*F59,C60+C61+C62),1)</f>
        <v>484</v>
      </c>
      <c r="D59" s="1183" t="s">
        <v>1426</v>
      </c>
      <c r="E59" s="1184"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1433</v>
      </c>
      <c r="C61" s="23">
        <f ca="1">IF(项目基本情况!B11="自然人","——",IF(D61="按租金收入计税",ROUND(C48*F61,2),IF(D61="按房产原值计税",ROUND(C57*F61*0.7,2),INDIRECT("'数据-取费表'!Aj"&amp;$G$1))))</f>
        <v>482.08</v>
      </c>
      <c r="D61" s="1829" t="s">
        <v>1434</v>
      </c>
      <c r="E61" s="1170" t="s">
        <v>1418</v>
      </c>
      <c r="F61" s="366">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2" t="s">
        <v>1491</v>
      </c>
      <c r="B62" s="1169" t="s">
        <v>1437</v>
      </c>
      <c r="C62" s="24">
        <f ca="1">IF(项目基本情况!B11="自然人","——",ROUND(F62*F63/10000,2))</f>
        <v>1.88</v>
      </c>
      <c r="D62" s="1185" t="s">
        <v>1438</v>
      </c>
      <c r="E62" s="1170" t="s">
        <v>1439</v>
      </c>
      <c r="F62" s="370">
        <f t="shared" si="0"/>
        <v>3</v>
      </c>
      <c r="I62" s="1930" t="s">
        <v>1566</v>
      </c>
      <c r="J62" s="1931" t="s">
        <v>1567</v>
      </c>
      <c r="K62" s="1931" t="s">
        <v>1568</v>
      </c>
      <c r="L62" s="1931" t="s">
        <v>1569</v>
      </c>
      <c r="M62" s="1932" t="s">
        <v>1570</v>
      </c>
      <c r="O62" s="1885" t="s">
        <v>1043</v>
      </c>
      <c r="P62" s="1886" t="s">
        <v>1545</v>
      </c>
      <c r="Q62" s="1887">
        <f ca="1">Q56+Q57</f>
        <v>113</v>
      </c>
      <c r="R62" s="1887" t="s">
        <v>1044</v>
      </c>
    </row>
    <row r="63" spans="1:18" s="1843" customFormat="1" ht="13.5" thickBot="1">
      <c r="A63" s="371"/>
      <c r="B63" s="1176"/>
      <c r="C63" s="28"/>
      <c r="D63" s="1186"/>
      <c r="E63" s="1170" t="s">
        <v>1443</v>
      </c>
      <c r="F63" s="347">
        <f t="shared" ca="1" si="0"/>
        <v>6267.68</v>
      </c>
      <c r="I63" s="1930" t="s">
        <v>1572</v>
      </c>
      <c r="J63" s="1931">
        <v>70</v>
      </c>
      <c r="K63" s="1931">
        <v>50</v>
      </c>
      <c r="L63" s="1931">
        <v>80</v>
      </c>
      <c r="M63" s="1933">
        <v>0.02</v>
      </c>
      <c r="O63" s="1870" t="s">
        <v>1573</v>
      </c>
      <c r="P63" s="1840"/>
      <c r="Q63" s="1840"/>
      <c r="R63" s="1840"/>
    </row>
    <row r="64" spans="1:18" s="1843" customFormat="1" ht="13.5" thickBot="1">
      <c r="A64" s="1202" t="s">
        <v>1036</v>
      </c>
      <c r="B64" s="1170" t="s">
        <v>1445</v>
      </c>
      <c r="C64" s="23">
        <f ca="1">ROUND(C57*F64,1)</f>
        <v>86.1</v>
      </c>
      <c r="D64" s="1184" t="s">
        <v>1478</v>
      </c>
      <c r="E64" s="1170"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3">
        <f ca="1">ROUND(C56*F65,1)</f>
        <v>8.6</v>
      </c>
      <c r="D65" s="1184" t="s">
        <v>1450</v>
      </c>
      <c r="E65" s="1170" t="s">
        <v>1418</v>
      </c>
      <c r="F65" s="375">
        <f t="shared" ca="1" si="0"/>
        <v>1.5E-3</v>
      </c>
      <c r="I65" s="1930" t="s">
        <v>1575</v>
      </c>
      <c r="J65" s="1931">
        <v>40</v>
      </c>
      <c r="K65" s="1931">
        <v>30</v>
      </c>
      <c r="L65" s="1931">
        <v>50</v>
      </c>
      <c r="M65" s="1933">
        <v>0.02</v>
      </c>
      <c r="O65" s="1885" t="s">
        <v>1037</v>
      </c>
      <c r="P65" s="1886" t="s">
        <v>1524</v>
      </c>
      <c r="Q65" s="1887">
        <f ca="1">C40+J29</f>
        <v>113</v>
      </c>
      <c r="R65" s="1887" t="s">
        <v>1525</v>
      </c>
    </row>
    <row r="66" spans="1:18" s="1843" customFormat="1" ht="16.5" thickBot="1">
      <c r="A66" s="1202" t="s">
        <v>1500</v>
      </c>
      <c r="B66" s="1170" t="s">
        <v>1435</v>
      </c>
      <c r="C66" s="23">
        <f ca="1">ROUND(C48*F66,1)</f>
        <v>0</v>
      </c>
      <c r="D66" s="1184" t="s">
        <v>1455</v>
      </c>
      <c r="E66" s="1170" t="s">
        <v>1418</v>
      </c>
      <c r="F66" s="356">
        <f t="shared" ca="1" si="0"/>
        <v>0.02</v>
      </c>
      <c r="O66" s="1885" t="s">
        <v>1038</v>
      </c>
      <c r="P66" s="1886" t="s">
        <v>1554</v>
      </c>
      <c r="Q66" s="1887">
        <f ca="1">L60</f>
        <v>0</v>
      </c>
      <c r="R66" s="1887" t="s">
        <v>1577</v>
      </c>
    </row>
    <row r="67" spans="1:18" s="1843" customFormat="1" ht="16.5" thickBot="1">
      <c r="A67" s="1177" t="s">
        <v>1028</v>
      </c>
      <c r="B67" s="1187" t="s">
        <v>1459</v>
      </c>
      <c r="C67" s="360">
        <f ca="1">C48-C58</f>
        <v>-579</v>
      </c>
      <c r="D67" s="1183" t="s">
        <v>1460</v>
      </c>
      <c r="E67" s="1188"/>
      <c r="F67" s="1189"/>
      <c r="O67" s="1895" t="s">
        <v>1039</v>
      </c>
      <c r="P67" s="1886" t="s">
        <v>1558</v>
      </c>
      <c r="Q67" s="1934">
        <f ca="1">L51</f>
        <v>-6024</v>
      </c>
      <c r="R67" s="1887" t="s">
        <v>1578</v>
      </c>
    </row>
    <row r="68" spans="1:18" s="1843" customFormat="1" ht="16.5" thickBot="1">
      <c r="A68" s="1167" t="s">
        <v>1029</v>
      </c>
      <c r="B68" s="1168" t="s">
        <v>1481</v>
      </c>
      <c r="C68" s="345">
        <f ca="1">ROUND(C67*(1-((1+F70)/(1+F68))^F69)/(F68-F70),0)</f>
        <v>-9686</v>
      </c>
      <c r="D68" s="1185" t="s">
        <v>1465</v>
      </c>
      <c r="E68" s="1170" t="s">
        <v>1466</v>
      </c>
      <c r="F68" s="356">
        <f ca="1">F40</f>
        <v>4.4999999999999998E-2</v>
      </c>
      <c r="O68" s="1895" t="s">
        <v>1040</v>
      </c>
      <c r="P68" s="1935" t="s">
        <v>1579</v>
      </c>
      <c r="Q68" s="1887">
        <f ca="1">ROUND(Q69-Q70*Q71,0)</f>
        <v>-338</v>
      </c>
      <c r="R68" s="1887" t="s">
        <v>1048</v>
      </c>
    </row>
    <row r="69" spans="1:18" s="1843" customFormat="1" ht="13.5" thickBot="1">
      <c r="A69" s="1171"/>
      <c r="B69" s="1172"/>
      <c r="C69" s="350"/>
      <c r="D69" s="1190" t="s">
        <v>1469</v>
      </c>
      <c r="E69" s="1170" t="s">
        <v>1470</v>
      </c>
      <c r="F69" s="378">
        <f ca="1">F41</f>
        <v>31.75</v>
      </c>
      <c r="O69" s="1895" t="s">
        <v>1045</v>
      </c>
      <c r="P69" s="1935" t="s">
        <v>1580</v>
      </c>
      <c r="Q69" s="1887">
        <f ca="1">C39</f>
        <v>6</v>
      </c>
      <c r="R69" s="1887" t="s">
        <v>1525</v>
      </c>
    </row>
    <row r="70" spans="1:18" s="1843" customFormat="1" ht="13.5" thickBot="1">
      <c r="A70" s="1174"/>
      <c r="B70" s="1175"/>
      <c r="C70" s="354"/>
      <c r="D70" s="1186"/>
      <c r="E70" s="1170" t="s">
        <v>1473</v>
      </c>
      <c r="F70" s="1276"/>
      <c r="O70" s="1895" t="s">
        <v>1046</v>
      </c>
      <c r="P70" s="1935" t="s">
        <v>1581</v>
      </c>
      <c r="Q70" s="1887">
        <f ca="1">C13</f>
        <v>5739</v>
      </c>
      <c r="R70" s="1887" t="s">
        <v>1525</v>
      </c>
    </row>
    <row r="71" spans="1:18" s="1843" customFormat="1" ht="13.5" thickBot="1">
      <c r="A71" s="1191" t="s">
        <v>1030</v>
      </c>
      <c r="B71" s="1192" t="s">
        <v>1483</v>
      </c>
      <c r="C71" s="381">
        <f ca="1">ROUND(C68*10000/F71,0)</f>
        <v>-6815</v>
      </c>
      <c r="D71" s="1193" t="s">
        <v>1484</v>
      </c>
      <c r="E71" s="1194" t="s">
        <v>1485</v>
      </c>
      <c r="F71" s="384">
        <f ca="1">F43</f>
        <v>14213.06</v>
      </c>
      <c r="O71" s="1895" t="s">
        <v>1047</v>
      </c>
      <c r="P71" s="1935" t="s">
        <v>1582</v>
      </c>
      <c r="Q71" s="1898">
        <f ca="1">C76</f>
        <v>0.06</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5" t="s">
        <v>1502</v>
      </c>
      <c r="C75" s="386">
        <f ca="1">ROUND(C13*C76,0)</f>
        <v>344</v>
      </c>
      <c r="D75" s="1843"/>
      <c r="E75" s="1843"/>
      <c r="F75" s="1843"/>
      <c r="K75" s="1869"/>
      <c r="L75" s="1843"/>
      <c r="O75" s="1885" t="s">
        <v>1043</v>
      </c>
      <c r="P75" s="1886" t="s">
        <v>1545</v>
      </c>
      <c r="Q75" s="1887">
        <f ca="1">Q65+Q66</f>
        <v>113</v>
      </c>
      <c r="R75" s="1887" t="s">
        <v>1044</v>
      </c>
    </row>
    <row r="76" spans="1:18">
      <c r="B76" s="387" t="s">
        <v>1503</v>
      </c>
      <c r="C76" s="388">
        <f ca="1">INDIRECT("'数据-取费表'!j"&amp;$G$1)</f>
        <v>0.06</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-56.332999999999998</v>
      </c>
    </row>
    <row r="80" spans="1:18">
      <c r="B80" s="385" t="s">
        <v>1507</v>
      </c>
      <c r="C80" s="317">
        <f ca="1">ROUND(C75/C39,3)</f>
        <v>57.332999999999998</v>
      </c>
    </row>
    <row r="81" spans="2:3">
      <c r="B81" s="313" t="s">
        <v>1508</v>
      </c>
      <c r="C81" s="281"/>
    </row>
    <row r="82" spans="2:3">
      <c r="B82" s="316" t="s">
        <v>1509</v>
      </c>
      <c r="C82" s="318">
        <f ca="1">1-C83</f>
        <v>-49.787999999999997</v>
      </c>
    </row>
    <row r="83" spans="2:3">
      <c r="B83" s="316" t="s">
        <v>1510</v>
      </c>
      <c r="C83" s="317">
        <f ca="1">ROUND(C13/C40,3)</f>
        <v>50.787999999999997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5">
      <formula>$L$48&gt;$J$51</formula>
    </cfRule>
  </conditionalFormatting>
  <conditionalFormatting sqref="I55 I60">
    <cfRule type="expression" dxfId="136" priority="4">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C41" sqref="C41"/>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0"/>
      <c r="C1" s="1838" t="s">
        <v>1373</v>
      </c>
      <c r="D1" s="1821" t="s">
        <v>70</v>
      </c>
      <c r="E1" s="1822" t="s">
        <v>1383</v>
      </c>
      <c r="F1" s="1284">
        <f ca="1">J53</f>
        <v>31.75</v>
      </c>
      <c r="G1" s="1837">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155172</v>
      </c>
      <c r="C2" s="1846" t="s">
        <v>1512</v>
      </c>
      <c r="D2" s="1846"/>
      <c r="E2" s="1847"/>
      <c r="F2" s="1848"/>
      <c r="G2" s="1849"/>
      <c r="H2" s="1841"/>
      <c r="I2" s="1841"/>
      <c r="J2" s="1841"/>
      <c r="K2" s="1842"/>
      <c r="L2" s="1841"/>
      <c r="M2" s="1841"/>
    </row>
    <row r="3" spans="1:37" ht="18" customHeight="1" thickBot="1">
      <c r="A3" s="1850" t="s">
        <v>1513</v>
      </c>
      <c r="B3" s="1851">
        <f ca="1">IF(ISERROR(B2*10000/F43),0,ROUND(B2*10000/F43,0))</f>
        <v>20145</v>
      </c>
      <c r="C3" s="1846" t="s">
        <v>1514</v>
      </c>
      <c r="D3" s="1846"/>
      <c r="E3" s="1847"/>
      <c r="F3" s="1848"/>
      <c r="G3" s="1849"/>
      <c r="H3" s="742"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3">
        <f ca="1">C6+C10+C12</f>
        <v>9031</v>
      </c>
      <c r="D5" s="1823" t="s">
        <v>1398</v>
      </c>
      <c r="E5" s="1294"/>
      <c r="F5" s="1295"/>
      <c r="G5" s="1852"/>
      <c r="H5" s="343">
        <v>1</v>
      </c>
      <c r="I5" s="344" t="s">
        <v>1397</v>
      </c>
      <c r="J5" s="1293">
        <f ca="1">J6+J10+J12</f>
        <v>0</v>
      </c>
      <c r="K5" s="1823" t="s">
        <v>1398</v>
      </c>
      <c r="L5" s="1294"/>
      <c r="M5" s="1295"/>
    </row>
    <row r="6" spans="1:37" ht="18" customHeight="1">
      <c r="A6" s="1292" t="s">
        <v>1032</v>
      </c>
      <c r="B6" s="3170" t="s">
        <v>1399</v>
      </c>
      <c r="C6" s="1297">
        <f ca="1">ROUND(F6*F8*F7*(1-F9)/10000,0)</f>
        <v>8997</v>
      </c>
      <c r="D6" s="163" t="s">
        <v>3032</v>
      </c>
      <c r="E6" s="346" t="s">
        <v>1401</v>
      </c>
      <c r="F6" s="347">
        <f ca="1">INDIRECT("'数据-取费表'!u"&amp;$G$1)</f>
        <v>4</v>
      </c>
      <c r="G6" s="1852"/>
      <c r="H6" s="1292" t="s">
        <v>1032</v>
      </c>
      <c r="I6" s="3170" t="s">
        <v>1399</v>
      </c>
      <c r="J6" s="345">
        <f ca="1">ROUND(M6*M8*M7*(1-M9)/10000,0)</f>
        <v>0</v>
      </c>
      <c r="K6" s="163" t="s">
        <v>3031</v>
      </c>
      <c r="L6" s="346" t="s">
        <v>1401</v>
      </c>
      <c r="M6" s="347">
        <f ca="1">INDIRECT("'数据-取费表'!z"&amp;$G$1)</f>
        <v>0</v>
      </c>
    </row>
    <row r="7" spans="1:37" ht="18" customHeight="1">
      <c r="A7" s="1296"/>
      <c r="B7" s="3171"/>
      <c r="C7" s="1298"/>
      <c r="D7" s="351"/>
      <c r="E7" s="1299" t="s">
        <v>1402</v>
      </c>
      <c r="F7" s="347">
        <f ca="1">IF(INDIRECT("'数据-取费表'!ah"&amp;$G$1)="",INDIRECT("'数据-取费表'!k"&amp;$G$1),INDIRECT("'数据-取费表'!ah"&amp;$G$1))</f>
        <v>77026.790000000008</v>
      </c>
      <c r="G7" s="1852"/>
      <c r="H7" s="348"/>
      <c r="I7" s="3171"/>
      <c r="J7" s="350"/>
      <c r="K7" s="351"/>
      <c r="L7" s="346" t="s">
        <v>1402</v>
      </c>
      <c r="M7" s="347">
        <f ca="1">F7</f>
        <v>77026.790000000008</v>
      </c>
    </row>
    <row r="8" spans="1:37" ht="18" customHeight="1">
      <c r="A8" s="348"/>
      <c r="B8" s="3171"/>
      <c r="C8" s="350"/>
      <c r="D8" s="351"/>
      <c r="E8" s="346" t="s">
        <v>1403</v>
      </c>
      <c r="F8" s="347">
        <f ca="1">INDIRECT("'数据-取费表'!ai"&amp;$G$1)</f>
        <v>365</v>
      </c>
      <c r="G8" s="1852"/>
      <c r="H8" s="348"/>
      <c r="I8" s="3171"/>
      <c r="J8" s="350"/>
      <c r="K8" s="351"/>
      <c r="L8" s="346" t="s">
        <v>1403</v>
      </c>
      <c r="M8" s="347">
        <f ca="1">INDIRECT("'数据-取费表'!ai"&amp;$G$1)</f>
        <v>365</v>
      </c>
    </row>
    <row r="9" spans="1:37" ht="18" customHeight="1">
      <c r="A9" s="348"/>
      <c r="B9" s="3172"/>
      <c r="C9" s="350"/>
      <c r="D9" s="351"/>
      <c r="E9" s="346" t="s">
        <v>1404</v>
      </c>
      <c r="F9" s="356">
        <f ca="1">INDIRECT("'数据-取费表'!w"&amp;$G$1)</f>
        <v>0.2</v>
      </c>
      <c r="G9" s="1852"/>
      <c r="H9" s="348"/>
      <c r="I9" s="3172"/>
      <c r="J9" s="350"/>
      <c r="K9" s="351"/>
      <c r="L9" s="357" t="s">
        <v>1404</v>
      </c>
      <c r="M9" s="358">
        <f ca="1">INDIRECT("'数据-取费表'!ab"&amp;$G$1)</f>
        <v>0</v>
      </c>
    </row>
    <row r="10" spans="1:37" ht="18" customHeight="1">
      <c r="A10" s="1292" t="s">
        <v>1036</v>
      </c>
      <c r="B10" s="1824" t="s">
        <v>1405</v>
      </c>
      <c r="C10" s="360">
        <f ca="1">ROUND(IF(F10="押一",C6/12*F11,IF(F10="押二",C6/12*2*F11,IF(F10="押三",C6/12*3*F11,C11*F11))),0)</f>
        <v>34</v>
      </c>
      <c r="D10" s="1825" t="s">
        <v>3041</v>
      </c>
      <c r="E10" s="357" t="s">
        <v>1406</v>
      </c>
      <c r="F10" s="1367" t="s">
        <v>3068</v>
      </c>
      <c r="G10" s="1852"/>
      <c r="H10" s="1292" t="s">
        <v>1036</v>
      </c>
      <c r="I10" s="1824" t="s">
        <v>1405</v>
      </c>
      <c r="J10" s="345">
        <f ca="1">ROUND(IF(M10="押一",J6/12*M11,IF(M10="押二",J6/12*2*M11,IF(M10="押三",J6/12*3*M11,J11*M11))),0)</f>
        <v>0</v>
      </c>
      <c r="K10" s="1825" t="s">
        <v>3040</v>
      </c>
      <c r="L10" s="357" t="s">
        <v>1406</v>
      </c>
      <c r="M10" s="1367" t="s">
        <v>1407</v>
      </c>
    </row>
    <row r="11" spans="1:37" ht="18" customHeight="1">
      <c r="A11" s="352"/>
      <c r="B11" s="1826" t="s">
        <v>1384</v>
      </c>
      <c r="C11" s="1179"/>
      <c r="D11" s="1827"/>
      <c r="E11" s="357" t="s">
        <v>1408</v>
      </c>
      <c r="F11" s="358">
        <f ca="1">'数据-取费表'!B39</f>
        <v>1.4999999999999999E-2</v>
      </c>
      <c r="G11" s="1852"/>
      <c r="H11" s="1300"/>
      <c r="I11" s="1826" t="s">
        <v>1384</v>
      </c>
      <c r="J11" s="1179"/>
      <c r="K11" s="746"/>
      <c r="L11" s="357"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4">
        <f ca="1">ROUND(C29*F13,0)</f>
        <v>57690</v>
      </c>
      <c r="D13" s="1332" t="s">
        <v>1411</v>
      </c>
      <c r="E13" s="1332" t="s">
        <v>1412</v>
      </c>
      <c r="F13" s="1333">
        <f ca="1">INDIRECT("'数据-取费表'!y"&amp;$G$1)</f>
        <v>1</v>
      </c>
      <c r="G13" s="1852"/>
      <c r="H13" s="1330">
        <v>2</v>
      </c>
      <c r="I13" s="1331" t="s">
        <v>1410</v>
      </c>
      <c r="J13" s="1291">
        <f ca="1">ROUND(J14*J15,0)</f>
        <v>0</v>
      </c>
      <c r="K13" s="1338" t="s">
        <v>1411</v>
      </c>
      <c r="L13" s="1853"/>
      <c r="M13" s="1854"/>
    </row>
    <row r="14" spans="1:37" ht="18" customHeight="1">
      <c r="A14" s="1202" t="s">
        <v>1031</v>
      </c>
      <c r="B14" s="346" t="s">
        <v>1413</v>
      </c>
      <c r="C14" s="362">
        <f ca="1">INDIRECT("'数据-取费表'!m"&amp;$G$1)+INDIRECT("'数据-取费表'!t"&amp;$G$1)</f>
        <v>38513</v>
      </c>
      <c r="D14" s="1801" t="s">
        <v>1414</v>
      </c>
      <c r="E14" s="1795"/>
      <c r="F14" s="363"/>
      <c r="G14" s="1852"/>
      <c r="H14" s="1202" t="s">
        <v>1032</v>
      </c>
      <c r="I14" s="346" t="s">
        <v>1415</v>
      </c>
      <c r="J14" s="23">
        <f ca="1">C29</f>
        <v>57690</v>
      </c>
      <c r="K14" s="14"/>
      <c r="L14" s="980"/>
      <c r="M14" s="981"/>
    </row>
    <row r="15" spans="1:37" s="1859" customFormat="1" ht="18" customHeight="1" thickBot="1">
      <c r="A15" s="1202" t="s">
        <v>1033</v>
      </c>
      <c r="B15" s="346" t="s">
        <v>1416</v>
      </c>
      <c r="C15" s="23">
        <f ca="1">ROUND(C14*F15,0)</f>
        <v>1155</v>
      </c>
      <c r="D15" s="364" t="s">
        <v>1417</v>
      </c>
      <c r="E15" s="364" t="s">
        <v>1418</v>
      </c>
      <c r="F15" s="365">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2"/>
      <c r="H16" s="1330" t="s">
        <v>1027</v>
      </c>
      <c r="I16" s="1331" t="s">
        <v>1420</v>
      </c>
      <c r="J16" s="354">
        <f ca="1">ROUND(J17+J22+J23+J24,0)</f>
        <v>1360</v>
      </c>
      <c r="K16" s="1338" t="s">
        <v>1421</v>
      </c>
      <c r="L16" s="1339"/>
      <c r="M16" s="1295"/>
    </row>
    <row r="17" spans="1:37" s="1859" customFormat="1" ht="18" customHeight="1">
      <c r="A17" s="1202" t="s">
        <v>1386</v>
      </c>
      <c r="B17" s="346" t="s">
        <v>1422</v>
      </c>
      <c r="C17" s="23">
        <f ca="1">ROUND(F17*(F43+INDIRECT("'数据-取费表'!S"&amp;$G$1))/10000,0)</f>
        <v>1541</v>
      </c>
      <c r="D17" s="346" t="s">
        <v>1423</v>
      </c>
      <c r="E17" s="346" t="s">
        <v>1424</v>
      </c>
      <c r="F17" s="25">
        <f>'数据-取费表'!B35</f>
        <v>200</v>
      </c>
      <c r="G17" s="1855"/>
      <c r="H17" s="1202" t="s">
        <v>1032</v>
      </c>
      <c r="I17" s="346" t="s">
        <v>1425</v>
      </c>
      <c r="J17" s="23">
        <f ca="1">ROUND(IF(项目基本情况!B11="自然人",J5*M17,J18+J19+J20),1)</f>
        <v>494.8</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6" t="s">
        <v>1428</v>
      </c>
      <c r="C18" s="23">
        <f ca="1">ROUND(C14*F18,0)</f>
        <v>578</v>
      </c>
      <c r="D18" s="346" t="s">
        <v>1417</v>
      </c>
      <c r="E18" s="346" t="s">
        <v>1418</v>
      </c>
      <c r="F18" s="366">
        <f>'数据-取费表'!B36</f>
        <v>1.4999999999999999E-2</v>
      </c>
      <c r="G18" s="1855"/>
      <c r="H18" s="1202" t="s">
        <v>1031</v>
      </c>
      <c r="I18" s="346" t="s">
        <v>1429</v>
      </c>
      <c r="J18" s="23">
        <f ca="1">ROUND(J5*M18/(1+'数据-取费表'!C42),2)</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6" t="s">
        <v>1431</v>
      </c>
      <c r="C19" s="23">
        <f ca="1">SUM(C14:C18)</f>
        <v>41787</v>
      </c>
      <c r="D19" s="139" t="s">
        <v>1432</v>
      </c>
      <c r="E19" s="1819"/>
      <c r="F19" s="25"/>
      <c r="G19" s="1852"/>
      <c r="H19" s="1202" t="s">
        <v>1033</v>
      </c>
      <c r="I19" s="346" t="s">
        <v>1433</v>
      </c>
      <c r="J19" s="23">
        <f ca="1">IF(K19="按租金收入计税",ROUND(J5*M19,2),ROUND(C29*M19*0.7,2))</f>
        <v>484.6</v>
      </c>
      <c r="K19" s="1829" t="s">
        <v>1434</v>
      </c>
      <c r="L19" s="346" t="s">
        <v>1418</v>
      </c>
      <c r="M19" s="366">
        <f>IF(K19="按租金收入计税",'数据-取费表'!B51,'数据-取费表'!B50)</f>
        <v>1.2E-2</v>
      </c>
    </row>
    <row r="20" spans="1:37" s="1859" customFormat="1" ht="18" customHeight="1">
      <c r="A20" s="1202" t="s">
        <v>1036</v>
      </c>
      <c r="B20" s="346" t="s">
        <v>1435</v>
      </c>
      <c r="C20" s="23">
        <f ca="1">ROUND(C19*F20,0)</f>
        <v>836</v>
      </c>
      <c r="D20" s="368" t="s">
        <v>1436</v>
      </c>
      <c r="E20" s="346" t="s">
        <v>1418</v>
      </c>
      <c r="F20" s="366">
        <f>'数据-取费表'!B37</f>
        <v>0.02</v>
      </c>
      <c r="G20" s="1855"/>
      <c r="H20" s="1202" t="s">
        <v>1385</v>
      </c>
      <c r="I20" s="163" t="s">
        <v>1437</v>
      </c>
      <c r="J20" s="24">
        <f ca="1">ROUND(M20*M21/10000,2)</f>
        <v>10.19</v>
      </c>
      <c r="K20" s="369" t="s">
        <v>1438</v>
      </c>
      <c r="L20" s="346" t="s">
        <v>1439</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6" t="s">
        <v>1440</v>
      </c>
      <c r="C21" s="23" t="s">
        <v>18</v>
      </c>
      <c r="D21" s="368" t="s">
        <v>1441</v>
      </c>
      <c r="E21" s="346" t="s">
        <v>1442</v>
      </c>
      <c r="F21" s="366">
        <f>'数据-取费表'!B38</f>
        <v>0.02</v>
      </c>
      <c r="G21" s="1855"/>
      <c r="H21" s="371"/>
      <c r="I21" s="355"/>
      <c r="J21" s="28"/>
      <c r="K21" s="372"/>
      <c r="L21" s="346" t="s">
        <v>1443</v>
      </c>
      <c r="M21" s="347">
        <f ca="1">INDIRECT("'数据-取费表'!r"&amp;$G$1)</f>
        <v>33967.32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9"/>
      <c r="F22" s="25"/>
      <c r="G22" s="1852"/>
      <c r="H22" s="1202" t="s">
        <v>1036</v>
      </c>
      <c r="I22" s="346" t="s">
        <v>1445</v>
      </c>
      <c r="J22" s="23">
        <f ca="1">ROUND(J14*M22,1)</f>
        <v>865.4</v>
      </c>
      <c r="K22" s="1799" t="s">
        <v>1446</v>
      </c>
      <c r="L22" s="346" t="s">
        <v>1418</v>
      </c>
      <c r="M22" s="373">
        <f ca="1">INDIRECT("'数据-取费表'!Ak"&amp;$G$1)</f>
        <v>1.4999999999999999E-2</v>
      </c>
    </row>
    <row r="23" spans="1:37" s="1859" customFormat="1" ht="18" customHeight="1">
      <c r="A23" s="1202" t="s">
        <v>1031</v>
      </c>
      <c r="B23" s="346" t="s">
        <v>1447</v>
      </c>
      <c r="C23" s="23">
        <f ca="1">IF('数据-取费表'!B22&lt;=1,ROUND(C19*F24*F23/2,0)+ROUND(C20*F24*F23/2,0),ROUND(C19*(POWER((1+F24),F23/2)-1),0)+ROUND(C20*(POWER((1+F24),F23/2)-1),0))</f>
        <v>2025</v>
      </c>
      <c r="D23" s="374" t="str">
        <f>IF(F23&lt;=1,"(建造成本+管理费用)×利率×(建设周期÷2)","(建造成本+管理费用)×((1+利率)^(建设周期÷2)-1)")</f>
        <v>(建造成本+管理费用)×((1+利率)^(建设周期÷2)-1)</v>
      </c>
      <c r="E23" s="346" t="s">
        <v>1448</v>
      </c>
      <c r="F23" s="370">
        <f>'数据-取费表'!B20</f>
        <v>2</v>
      </c>
      <c r="G23" s="1855"/>
      <c r="H23" s="1202" t="s">
        <v>1072</v>
      </c>
      <c r="I23" s="346" t="s">
        <v>1449</v>
      </c>
      <c r="J23" s="23">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0" t="s">
        <v>1389</v>
      </c>
      <c r="I24" s="1341" t="s">
        <v>1435</v>
      </c>
      <c r="J24" s="1342">
        <f ca="1">ROUND(J5*M24,1)</f>
        <v>0</v>
      </c>
      <c r="K24" s="1343" t="s">
        <v>1455</v>
      </c>
      <c r="L24" s="1341" t="s">
        <v>1451</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6" t="s">
        <v>1457</v>
      </c>
      <c r="C25" s="23"/>
      <c r="D25" s="139" t="s">
        <v>1458</v>
      </c>
      <c r="E25" s="1819"/>
      <c r="F25" s="25"/>
      <c r="G25" s="1852"/>
      <c r="H25" s="1330" t="s">
        <v>1028</v>
      </c>
      <c r="I25" s="1345" t="s">
        <v>1459</v>
      </c>
      <c r="J25" s="354">
        <f ca="1">J5-J16</f>
        <v>-1360</v>
      </c>
      <c r="K25" s="1346" t="s">
        <v>1460</v>
      </c>
      <c r="L25" s="1347"/>
      <c r="M25" s="1348"/>
    </row>
    <row r="26" spans="1:37">
      <c r="A26" s="1202" t="s">
        <v>1031</v>
      </c>
      <c r="B26" s="346" t="s">
        <v>1461</v>
      </c>
      <c r="C26" s="23">
        <f ca="1">ROUND((C19+C20)*F26,0)</f>
        <v>8525</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202" t="s">
        <v>1033</v>
      </c>
      <c r="B27" s="346" t="s">
        <v>1467</v>
      </c>
      <c r="C27" s="23">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2" t="s">
        <v>1034</v>
      </c>
      <c r="B28" s="346" t="s">
        <v>1471</v>
      </c>
      <c r="C28" s="23">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57690</v>
      </c>
      <c r="D29" s="1343"/>
      <c r="E29" s="1341"/>
      <c r="F29" s="1344"/>
      <c r="G29" s="1855"/>
      <c r="H29" s="379" t="s">
        <v>1030</v>
      </c>
      <c r="I29" s="380" t="s">
        <v>1475</v>
      </c>
      <c r="J29" s="381">
        <f ca="1">ROUND(J26/(1+F40)^F41,0)</f>
        <v>0</v>
      </c>
      <c r="K29" s="382" t="s">
        <v>1476</v>
      </c>
      <c r="L29" s="383"/>
      <c r="M29" s="384">
        <f ca="1">INDIRECT("'数据-取费表'!k"&amp;$G$1)</f>
        <v>77026.790000000008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4">
        <f ca="1">ROUND(C31+C36+C37+C38,0)</f>
        <v>2708</v>
      </c>
      <c r="D30" s="1338" t="s">
        <v>1421</v>
      </c>
      <c r="E30" s="1339"/>
      <c r="F30" s="1295"/>
      <c r="G30" s="1852"/>
      <c r="H30" s="743"/>
      <c r="I30" s="744"/>
      <c r="J30" s="745"/>
      <c r="K30" s="746"/>
      <c r="L30" s="747"/>
      <c r="M30" s="748"/>
    </row>
    <row r="31" spans="1:37" ht="18" customHeight="1">
      <c r="A31" s="1202" t="s">
        <v>1032</v>
      </c>
      <c r="B31" s="346" t="s">
        <v>1425</v>
      </c>
      <c r="C31" s="23">
        <f ca="1">ROUND(IF(项目基本情况!B11="自然人",C5*F31,C32+C33+C34),1)</f>
        <v>1575.6</v>
      </c>
      <c r="D31" s="1801" t="s">
        <v>1426</v>
      </c>
      <c r="E31" s="1799" t="s">
        <v>1477</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1031</v>
      </c>
      <c r="B32" s="346" t="s">
        <v>1429</v>
      </c>
      <c r="C32" s="23">
        <f ca="1">IF(项目基本情况!B11="自然人","——",ROUND(C5*F32/(1+'数据-取费表'!C42),2))</f>
        <v>481.65</v>
      </c>
      <c r="D32" s="1799" t="s">
        <v>1430</v>
      </c>
      <c r="E32" s="346" t="s">
        <v>1418</v>
      </c>
      <c r="F32" s="376">
        <f>'数据-取费表'!B41</f>
        <v>5.6000000000000001E-2</v>
      </c>
      <c r="G32" s="1852"/>
      <c r="H32" s="743"/>
      <c r="I32" s="744"/>
      <c r="J32" s="745"/>
      <c r="K32" s="746"/>
      <c r="L32" s="747"/>
      <c r="M32" s="748"/>
    </row>
    <row r="33" spans="1:18" ht="18" customHeight="1">
      <c r="A33" s="1202" t="s">
        <v>1033</v>
      </c>
      <c r="B33" s="346" t="s">
        <v>1433</v>
      </c>
      <c r="C33" s="23">
        <f ca="1">IF(项目基本情况!B11="自然人","——",IF(D33="按租金收入计税",ROUND(C5*F33,2),IF(D33="按房产原值计税",ROUND(C29*F33*0.7,2),INDIRECT("'数据-取费表'!Aj"&amp;$G$1))))</f>
        <v>1083.72</v>
      </c>
      <c r="D33" s="2974" t="s">
        <v>3097</v>
      </c>
      <c r="E33" s="346" t="s">
        <v>1418</v>
      </c>
      <c r="F33" s="366">
        <f>IF(D33="按票据","——",IF(D33="按租金收入计税",'数据-取费表'!B51,'数据-取费表'!B50))</f>
        <v>0.12</v>
      </c>
      <c r="G33" s="1852"/>
      <c r="H33" s="1860"/>
      <c r="I33" s="1861"/>
      <c r="J33" s="1862"/>
      <c r="K33" s="1863"/>
      <c r="L33" s="1860"/>
      <c r="M33" s="1860"/>
    </row>
    <row r="34" spans="1:18" ht="18" customHeight="1">
      <c r="A34" s="1292" t="s">
        <v>1385</v>
      </c>
      <c r="B34" s="163" t="s">
        <v>1437</v>
      </c>
      <c r="C34" s="24">
        <f ca="1">IF(项目基本情况!B11="自然人","——",ROUND(F34*F35/10000,2))</f>
        <v>10.19</v>
      </c>
      <c r="D34" s="369" t="s">
        <v>1438</v>
      </c>
      <c r="E34" s="346" t="s">
        <v>1439</v>
      </c>
      <c r="F34" s="370">
        <f>'数据-取费表'!B52</f>
        <v>3</v>
      </c>
      <c r="G34" s="1852"/>
      <c r="H34" s="743"/>
      <c r="I34" s="1861"/>
      <c r="J34" s="1862"/>
      <c r="K34" s="1864"/>
      <c r="L34" s="1865"/>
      <c r="M34" s="1865"/>
    </row>
    <row r="35" spans="1:18" ht="18" customHeight="1">
      <c r="A35" s="1354"/>
      <c r="B35" s="1352"/>
      <c r="C35" s="28"/>
      <c r="D35" s="372"/>
      <c r="E35" s="346" t="s">
        <v>1443</v>
      </c>
      <c r="F35" s="347">
        <f ca="1">INDIRECT("'数据-取费表'!r"&amp;$G$1)</f>
        <v>33967.32</v>
      </c>
      <c r="G35" s="1852"/>
      <c r="H35" s="743"/>
      <c r="I35" s="1861"/>
      <c r="J35" s="1862"/>
      <c r="K35" s="1863"/>
      <c r="L35" s="1860"/>
      <c r="M35" s="1860"/>
    </row>
    <row r="36" spans="1:18" ht="18" customHeight="1">
      <c r="A36" s="1353" t="s">
        <v>1036</v>
      </c>
      <c r="B36" s="346" t="s">
        <v>1445</v>
      </c>
      <c r="C36" s="23">
        <f ca="1">ROUND(C29*F36,1)</f>
        <v>865.4</v>
      </c>
      <c r="D36" s="1799" t="s">
        <v>1478</v>
      </c>
      <c r="E36" s="346" t="s">
        <v>1418</v>
      </c>
      <c r="F36" s="373">
        <f ca="1">INDIRECT("'数据-取费表'!Ak"&amp;$G$1)</f>
        <v>1.4999999999999999E-2</v>
      </c>
      <c r="G36" s="1852"/>
      <c r="H36" s="1860"/>
      <c r="I36" s="1861"/>
      <c r="J36" s="1862"/>
      <c r="K36" s="749"/>
      <c r="L36" s="1860"/>
      <c r="M36" s="1860"/>
    </row>
    <row r="37" spans="1:18" ht="18" customHeight="1">
      <c r="A37" s="1202" t="s">
        <v>1072</v>
      </c>
      <c r="B37" s="346" t="s">
        <v>1449</v>
      </c>
      <c r="C37" s="23">
        <f ca="1">ROUND(C13*F37,1)</f>
        <v>86.5</v>
      </c>
      <c r="D37" s="1799" t="s">
        <v>1450</v>
      </c>
      <c r="E37" s="346" t="s">
        <v>1451</v>
      </c>
      <c r="F37" s="375">
        <f ca="1">INDIRECT("'数据-取费表'!Al"&amp;$G$1)</f>
        <v>1.5E-3</v>
      </c>
      <c r="G37" s="1852"/>
      <c r="H37" s="1860"/>
      <c r="I37" s="1861"/>
      <c r="J37" s="1862"/>
      <c r="K37" s="749"/>
      <c r="L37" s="1860"/>
      <c r="M37" s="1860"/>
    </row>
    <row r="38" spans="1:18" ht="18" customHeight="1" thickBot="1">
      <c r="A38" s="1340" t="s">
        <v>1389</v>
      </c>
      <c r="B38" s="1341" t="s">
        <v>1435</v>
      </c>
      <c r="C38" s="1342">
        <f ca="1">ROUND(C5*F38,1)</f>
        <v>180.6</v>
      </c>
      <c r="D38" s="1343" t="s">
        <v>1455</v>
      </c>
      <c r="E38" s="1341" t="s">
        <v>1451</v>
      </c>
      <c r="F38" s="1337">
        <f ca="1">INDIRECT("'数据-取费表'!Am"&amp;$G$1)</f>
        <v>0.02</v>
      </c>
      <c r="G38" s="1852"/>
      <c r="H38" s="1860"/>
      <c r="I38" s="1861"/>
      <c r="J38" s="1862"/>
      <c r="K38" s="1866"/>
      <c r="L38" s="1860"/>
      <c r="M38" s="1860"/>
    </row>
    <row r="39" spans="1:18" ht="24.6" customHeight="1" thickTop="1">
      <c r="A39" s="1330" t="s">
        <v>1028</v>
      </c>
      <c r="B39" s="1345" t="s">
        <v>1479</v>
      </c>
      <c r="C39" s="354">
        <f ca="1">C5-C30</f>
        <v>6323</v>
      </c>
      <c r="D39" s="1346" t="s">
        <v>1480</v>
      </c>
      <c r="E39" s="1347"/>
      <c r="F39" s="1348"/>
      <c r="G39" s="1852"/>
      <c r="H39" s="1860"/>
      <c r="I39" s="1861"/>
      <c r="J39" s="1862"/>
      <c r="K39" s="1866"/>
      <c r="L39" s="1860"/>
      <c r="M39" s="1860"/>
    </row>
    <row r="40" spans="1:18" ht="18" customHeight="1">
      <c r="A40" s="343" t="s">
        <v>1029</v>
      </c>
      <c r="B40" s="344" t="s">
        <v>1481</v>
      </c>
      <c r="C40" s="345">
        <f ca="1">ROUND(C39*(1-((1+F42)/(1+F40))^F41)/(F40-F42),0)</f>
        <v>155172</v>
      </c>
      <c r="D40" s="369" t="s">
        <v>1465</v>
      </c>
      <c r="E40" s="346" t="s">
        <v>1466</v>
      </c>
      <c r="F40" s="356">
        <f ca="1">INDIRECT("'数据-取费表'!I"&amp;$G$1)</f>
        <v>4.4999999999999998E-2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31.75</v>
      </c>
      <c r="G41" s="1852"/>
      <c r="H41" s="730"/>
      <c r="I41" s="1861"/>
      <c r="J41" s="1862"/>
      <c r="K41" s="749"/>
      <c r="L41" s="730"/>
      <c r="M41" s="730"/>
    </row>
    <row r="42" spans="1:18" ht="18" customHeight="1">
      <c r="A42" s="352"/>
      <c r="B42" s="353"/>
      <c r="C42" s="354"/>
      <c r="D42" s="372"/>
      <c r="E42" s="346" t="s">
        <v>1473</v>
      </c>
      <c r="F42" s="356">
        <f ca="1">INDIRECT("'数据-取费表'!v"&amp;$G$1)</f>
        <v>0.03</v>
      </c>
      <c r="G42" s="1852"/>
      <c r="H42" s="730"/>
      <c r="I42" s="1861"/>
      <c r="J42" s="1862"/>
      <c r="K42" s="749"/>
      <c r="L42" s="730"/>
      <c r="M42" s="730"/>
    </row>
    <row r="43" spans="1:18" ht="18" customHeight="1" thickBot="1">
      <c r="A43" s="379" t="s">
        <v>1030</v>
      </c>
      <c r="B43" s="380" t="s">
        <v>1483</v>
      </c>
      <c r="C43" s="381">
        <f ca="1">ROUND(C40*10000/F43,0)</f>
        <v>20145</v>
      </c>
      <c r="D43" s="382" t="s">
        <v>1484</v>
      </c>
      <c r="E43" s="383" t="s">
        <v>1485</v>
      </c>
      <c r="F43" s="384">
        <f ca="1">INDIRECT("'数据-取费表'!k"&amp;$G$1)</f>
        <v>77026.790000000008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-252333</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3069</v>
      </c>
      <c r="K47" s="1883" t="s">
        <v>1523</v>
      </c>
      <c r="L47" s="1884">
        <f ca="1">INDIRECT("'数据-取费表'!d"&amp;$G$1)</f>
        <v>40</v>
      </c>
      <c r="M47" s="1839" t="str">
        <f>IF(ISNUMBER(FIND("住宅",C1)),"住宅","非住宅")</f>
        <v>非住宅</v>
      </c>
      <c r="O47" s="1885" t="s">
        <v>1037</v>
      </c>
      <c r="P47" s="1886" t="s">
        <v>1524</v>
      </c>
      <c r="Q47" s="1887">
        <f ca="1">C40+J29</f>
        <v>155172</v>
      </c>
      <c r="R47" s="1887" t="s">
        <v>1525</v>
      </c>
    </row>
    <row r="48" spans="1:18" s="1843" customFormat="1" ht="28.5" thickBot="1">
      <c r="A48" s="1361" t="s">
        <v>1132</v>
      </c>
      <c r="B48" s="344" t="s">
        <v>1397</v>
      </c>
      <c r="C48" s="1818">
        <f ca="1">C49+C53+C55</f>
        <v>0</v>
      </c>
      <c r="D48" s="1363"/>
      <c r="E48" s="1364"/>
      <c r="F48" s="1182"/>
      <c r="G48" s="790"/>
      <c r="H48" s="791"/>
      <c r="I48" s="1888" t="s">
        <v>1526</v>
      </c>
      <c r="J48" s="1889" t="s">
        <v>3070</v>
      </c>
      <c r="K48" s="1890" t="s">
        <v>1527</v>
      </c>
      <c r="L48" s="1891">
        <f ca="1">INDIRECT("'数据-取费表'!f"&amp;$G$1)</f>
        <v>31.75</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3033</v>
      </c>
      <c r="E49" s="1831" t="s">
        <v>1487</v>
      </c>
      <c r="F49" s="1282"/>
      <c r="G49" s="1892"/>
      <c r="H49" s="791"/>
      <c r="I49" s="1888" t="s">
        <v>1530</v>
      </c>
      <c r="J49" s="1893"/>
      <c r="K49" s="1890" t="s">
        <v>1531</v>
      </c>
      <c r="L49" s="1894"/>
      <c r="O49" s="1895" t="s">
        <v>1039</v>
      </c>
      <c r="P49" s="1886" t="s">
        <v>1532</v>
      </c>
      <c r="Q49" s="1887">
        <f ca="1">C29</f>
        <v>57690</v>
      </c>
      <c r="R49" s="1887" t="s">
        <v>1525</v>
      </c>
    </row>
    <row r="50" spans="1:18" s="1843" customFormat="1" ht="13.5" thickBot="1">
      <c r="A50" s="1196"/>
      <c r="B50" s="1199"/>
      <c r="C50" s="1369"/>
      <c r="D50" s="1173"/>
      <c r="E50" s="1278" t="s">
        <v>1402</v>
      </c>
      <c r="F50" s="1279">
        <f ca="1">F7</f>
        <v>77026.790000000008</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7">
        <f ca="1">F8</f>
        <v>365</v>
      </c>
      <c r="I51" s="1899" t="s">
        <v>1536</v>
      </c>
      <c r="J51" s="1900">
        <f>IF(J49="",J50,J49+J50-YEAR('数据-取费表'!B2))</f>
        <v>60</v>
      </c>
      <c r="K51" s="1901" t="s">
        <v>1537</v>
      </c>
      <c r="L51" s="1902">
        <f ca="1">ROUND(-PV(INDIRECT("'数据-取费表'!h"&amp;$G$1),L48,(C39-C13*C76),0),0)</f>
        <v>50946</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f ca="1">J53</f>
        <v>31.75</v>
      </c>
      <c r="R52" s="1887" t="s">
        <v>1542</v>
      </c>
    </row>
    <row r="53" spans="1:18" s="1843" customFormat="1" ht="24.75" thickBot="1">
      <c r="A53" s="1406" t="s">
        <v>1134</v>
      </c>
      <c r="B53" s="1832" t="s">
        <v>1405</v>
      </c>
      <c r="C53" s="360">
        <f ca="1">ROUND(IF(F53="押一",C49/12*F11,IF(F53="押二",C49/12*2*F11,IF(F53="押三",C49/12*3*F11,C54*F11))),0)</f>
        <v>0</v>
      </c>
      <c r="D53" s="1825" t="s">
        <v>3040</v>
      </c>
      <c r="E53" s="357"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31.75</v>
      </c>
      <c r="K53" s="3173" t="s">
        <v>1544</v>
      </c>
      <c r="L53" s="3174"/>
      <c r="O53" s="1885" t="s">
        <v>1043</v>
      </c>
      <c r="P53" s="1886" t="s">
        <v>1545</v>
      </c>
      <c r="Q53" s="1887">
        <f ca="1">Q47+Q48</f>
        <v>155172</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5">
        <f ca="1">C13</f>
        <v>57690</v>
      </c>
      <c r="D56" s="1915"/>
      <c r="E56" s="1916"/>
      <c r="F56" s="1908"/>
      <c r="I56" s="1917" t="s">
        <v>1550</v>
      </c>
      <c r="J56" s="1918" t="s">
        <v>3064</v>
      </c>
      <c r="K56" s="1888" t="s">
        <v>1551</v>
      </c>
      <c r="L56" s="1891" t="str">
        <f ca="1">IF(L48&lt;J51,"——",L48-J53)</f>
        <v>——</v>
      </c>
      <c r="O56" s="1885" t="s">
        <v>1037</v>
      </c>
      <c r="P56" s="1886" t="s">
        <v>1524</v>
      </c>
      <c r="Q56" s="1887">
        <f ca="1">C40+J29</f>
        <v>155172</v>
      </c>
      <c r="R56" s="1887" t="s">
        <v>1525</v>
      </c>
    </row>
    <row r="57" spans="1:18" s="1843" customFormat="1" ht="24.75" thickBot="1">
      <c r="A57" s="1919"/>
      <c r="B57" s="1170" t="s">
        <v>1474</v>
      </c>
      <c r="C57" s="281">
        <f ca="1">C29</f>
        <v>57690</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8" t="s">
        <v>1420</v>
      </c>
      <c r="C58" s="360">
        <f ca="1">ROUND(C59+C64+C65+C66,0)</f>
        <v>5808</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3">
        <f ca="1">ROUND(IF(项目基本情况!B11="自然人",C48*F59,C60+C61+C62),1)</f>
        <v>4856.2</v>
      </c>
      <c r="D59" s="1183" t="s">
        <v>1426</v>
      </c>
      <c r="E59" s="1184"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1489</v>
      </c>
      <c r="C61" s="23">
        <f ca="1">IF(项目基本情况!B11="自然人","——",IF(D61="按租金收入计税",ROUND(C48*F61,2),IF(D61="按房产原值计税",ROUND(C57*F61*0.7,2),INDIRECT("'数据-取费表'!Aj"&amp;$G$1))))</f>
        <v>4845.96</v>
      </c>
      <c r="D61" s="1829" t="s">
        <v>1434</v>
      </c>
      <c r="E61" s="1170" t="s">
        <v>1490</v>
      </c>
      <c r="F61" s="366">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2" t="s">
        <v>1491</v>
      </c>
      <c r="B62" s="1169" t="s">
        <v>1492</v>
      </c>
      <c r="C62" s="24">
        <f ca="1">IF(项目基本情况!B11="自然人","——",ROUND(F62*F63/10000,2))</f>
        <v>10.19</v>
      </c>
      <c r="D62" s="1185" t="s">
        <v>1493</v>
      </c>
      <c r="E62" s="1170" t="s">
        <v>1494</v>
      </c>
      <c r="F62" s="370">
        <f t="shared" si="0"/>
        <v>3</v>
      </c>
      <c r="I62" s="1930" t="s">
        <v>1566</v>
      </c>
      <c r="J62" s="1931" t="s">
        <v>1567</v>
      </c>
      <c r="K62" s="1931" t="s">
        <v>1568</v>
      </c>
      <c r="L62" s="1931" t="s">
        <v>1569</v>
      </c>
      <c r="M62" s="1932" t="s">
        <v>1570</v>
      </c>
      <c r="O62" s="1885" t="s">
        <v>1043</v>
      </c>
      <c r="P62" s="1886" t="s">
        <v>1571</v>
      </c>
      <c r="Q62" s="1887">
        <f ca="1">Q56+Q57</f>
        <v>155172</v>
      </c>
      <c r="R62" s="1887" t="s">
        <v>1044</v>
      </c>
    </row>
    <row r="63" spans="1:18" s="1843" customFormat="1" ht="13.5" thickBot="1">
      <c r="A63" s="371"/>
      <c r="B63" s="1176"/>
      <c r="C63" s="28"/>
      <c r="D63" s="1186"/>
      <c r="E63" s="1170" t="s">
        <v>1495</v>
      </c>
      <c r="F63" s="347">
        <f t="shared" ca="1" si="0"/>
        <v>33967.32</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3">
        <f ca="1">ROUND(C57*F64,1)</f>
        <v>865.4</v>
      </c>
      <c r="D64" s="1184" t="s">
        <v>1498</v>
      </c>
      <c r="E64" s="1170"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3">
        <f ca="1">ROUND(C56*F65,1)</f>
        <v>86.5</v>
      </c>
      <c r="D65" s="1184" t="s">
        <v>1450</v>
      </c>
      <c r="E65" s="1170" t="s">
        <v>1451</v>
      </c>
      <c r="F65" s="375">
        <f t="shared" ca="1" si="0"/>
        <v>1.5E-3</v>
      </c>
      <c r="I65" s="1930" t="s">
        <v>1575</v>
      </c>
      <c r="J65" s="1931">
        <v>40</v>
      </c>
      <c r="K65" s="1931">
        <v>30</v>
      </c>
      <c r="L65" s="1931">
        <v>50</v>
      </c>
      <c r="M65" s="1933">
        <v>0.02</v>
      </c>
      <c r="O65" s="1885" t="s">
        <v>1037</v>
      </c>
      <c r="P65" s="1886" t="s">
        <v>1576</v>
      </c>
      <c r="Q65" s="1887">
        <f ca="1">C40+J29</f>
        <v>155172</v>
      </c>
      <c r="R65" s="1887" t="s">
        <v>1525</v>
      </c>
    </row>
    <row r="66" spans="1:18" s="1843" customFormat="1" ht="16.5" thickBot="1">
      <c r="A66" s="1202" t="s">
        <v>1500</v>
      </c>
      <c r="B66" s="1170" t="s">
        <v>1435</v>
      </c>
      <c r="C66" s="23">
        <f ca="1">ROUND(C48*F66,1)</f>
        <v>0</v>
      </c>
      <c r="D66" s="1184" t="s">
        <v>1501</v>
      </c>
      <c r="E66" s="1170" t="s">
        <v>1418</v>
      </c>
      <c r="F66" s="356">
        <f t="shared" ca="1" si="0"/>
        <v>0.02</v>
      </c>
      <c r="O66" s="1885" t="s">
        <v>1038</v>
      </c>
      <c r="P66" s="1886" t="s">
        <v>1554</v>
      </c>
      <c r="Q66" s="1887">
        <f ca="1">L60</f>
        <v>0</v>
      </c>
      <c r="R66" s="1887" t="s">
        <v>1577</v>
      </c>
    </row>
    <row r="67" spans="1:18" s="1843" customFormat="1" ht="16.5" thickBot="1">
      <c r="A67" s="1177" t="s">
        <v>1028</v>
      </c>
      <c r="B67" s="1187" t="s">
        <v>1459</v>
      </c>
      <c r="C67" s="360">
        <f ca="1">C48-C58</f>
        <v>-5808</v>
      </c>
      <c r="D67" s="1183" t="s">
        <v>1460</v>
      </c>
      <c r="E67" s="1188"/>
      <c r="F67" s="1189"/>
      <c r="O67" s="1895" t="s">
        <v>1039</v>
      </c>
      <c r="P67" s="1886" t="s">
        <v>1558</v>
      </c>
      <c r="Q67" s="1934">
        <f ca="1">L51</f>
        <v>50946</v>
      </c>
      <c r="R67" s="1887" t="s">
        <v>1578</v>
      </c>
    </row>
    <row r="68" spans="1:18" s="1843" customFormat="1" ht="16.5" thickBot="1">
      <c r="A68" s="1167" t="s">
        <v>1029</v>
      </c>
      <c r="B68" s="1168" t="s">
        <v>1481</v>
      </c>
      <c r="C68" s="345">
        <f ca="1">ROUND(C67*(1-((1+F70)/(1+F68))^F69)/(F68-F70),0)</f>
        <v>-97161</v>
      </c>
      <c r="D68" s="1185" t="s">
        <v>1465</v>
      </c>
      <c r="E68" s="1170" t="s">
        <v>1466</v>
      </c>
      <c r="F68" s="356">
        <f ca="1">F40</f>
        <v>4.4999999999999998E-2</v>
      </c>
      <c r="O68" s="1895" t="s">
        <v>1040</v>
      </c>
      <c r="P68" s="1935" t="s">
        <v>1579</v>
      </c>
      <c r="Q68" s="1887">
        <f ca="1">ROUND(Q69-Q70*Q71,0)</f>
        <v>2862</v>
      </c>
      <c r="R68" s="1887" t="s">
        <v>1048</v>
      </c>
    </row>
    <row r="69" spans="1:18" s="1843" customFormat="1" ht="13.5" thickBot="1">
      <c r="A69" s="1171"/>
      <c r="B69" s="1172"/>
      <c r="C69" s="350"/>
      <c r="D69" s="1190" t="s">
        <v>1469</v>
      </c>
      <c r="E69" s="1170" t="s">
        <v>1470</v>
      </c>
      <c r="F69" s="378">
        <f ca="1">F41</f>
        <v>31.75</v>
      </c>
      <c r="O69" s="1895" t="s">
        <v>1045</v>
      </c>
      <c r="P69" s="1935" t="s">
        <v>1580</v>
      </c>
      <c r="Q69" s="1887">
        <f ca="1">C39</f>
        <v>6323</v>
      </c>
      <c r="R69" s="1887" t="s">
        <v>1525</v>
      </c>
    </row>
    <row r="70" spans="1:18" s="1843" customFormat="1" ht="13.5" thickBot="1">
      <c r="A70" s="1174"/>
      <c r="B70" s="1175"/>
      <c r="C70" s="354"/>
      <c r="D70" s="1186"/>
      <c r="E70" s="1170" t="s">
        <v>1473</v>
      </c>
      <c r="F70" s="1276"/>
      <c r="O70" s="1895" t="s">
        <v>1046</v>
      </c>
      <c r="P70" s="1935" t="s">
        <v>1581</v>
      </c>
      <c r="Q70" s="1887">
        <f ca="1">C13</f>
        <v>57690</v>
      </c>
      <c r="R70" s="1887" t="s">
        <v>1525</v>
      </c>
    </row>
    <row r="71" spans="1:18" s="1843" customFormat="1" ht="13.5" thickBot="1">
      <c r="A71" s="1191" t="s">
        <v>1030</v>
      </c>
      <c r="B71" s="1192" t="s">
        <v>1483</v>
      </c>
      <c r="C71" s="381">
        <f ca="1">ROUND(C68*10000/F71,0)</f>
        <v>-12614</v>
      </c>
      <c r="D71" s="1193" t="s">
        <v>1484</v>
      </c>
      <c r="E71" s="1194" t="s">
        <v>1485</v>
      </c>
      <c r="F71" s="384">
        <f ca="1">F43</f>
        <v>77026.790000000008</v>
      </c>
      <c r="O71" s="1895" t="s">
        <v>1047</v>
      </c>
      <c r="P71" s="1935" t="s">
        <v>1582</v>
      </c>
      <c r="Q71" s="1898">
        <f ca="1">C76</f>
        <v>0.06</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5" t="s">
        <v>1502</v>
      </c>
      <c r="C75" s="386">
        <f ca="1">ROUND(C13*C76,0)</f>
        <v>3461</v>
      </c>
      <c r="D75" s="1843"/>
      <c r="E75" s="1843"/>
      <c r="F75" s="1843"/>
      <c r="K75" s="1869"/>
      <c r="L75" s="1843"/>
      <c r="O75" s="1885" t="s">
        <v>1043</v>
      </c>
      <c r="P75" s="1886" t="s">
        <v>1545</v>
      </c>
      <c r="Q75" s="1887">
        <f ca="1">Q65+Q66</f>
        <v>155172</v>
      </c>
      <c r="R75" s="1887" t="s">
        <v>1044</v>
      </c>
    </row>
    <row r="76" spans="1:18">
      <c r="B76" s="387" t="s">
        <v>1503</v>
      </c>
      <c r="C76" s="388">
        <f ca="1">INDIRECT("'数据-取费表'!j"&amp;$G$1)</f>
        <v>0.06</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0.45299999999999996</v>
      </c>
    </row>
    <row r="80" spans="1:18">
      <c r="B80" s="385" t="s">
        <v>1507</v>
      </c>
      <c r="C80" s="317">
        <f ca="1">ROUND(C75/C39,3)</f>
        <v>0.54700000000000004</v>
      </c>
    </row>
    <row r="81" spans="2:3">
      <c r="B81" s="313" t="s">
        <v>1508</v>
      </c>
      <c r="C81" s="281"/>
    </row>
    <row r="82" spans="2:3">
      <c r="B82" s="316" t="s">
        <v>1509</v>
      </c>
      <c r="C82" s="318">
        <f ca="1">1-C83</f>
        <v>0.628</v>
      </c>
    </row>
    <row r="83" spans="2:3">
      <c r="B83" s="316" t="s">
        <v>1510</v>
      </c>
      <c r="C83" s="317">
        <f ca="1">ROUND(C13/C40,3)</f>
        <v>0.372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0"/>
      <c r="C1" s="1838"/>
      <c r="D1" s="1821"/>
      <c r="E1" s="1822" t="s">
        <v>1383</v>
      </c>
      <c r="F1" s="1284" t="b">
        <f>J53</f>
        <v>0</v>
      </c>
      <c r="G1" s="183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3">
        <f ca="1">C6+C10+C12</f>
        <v>0</v>
      </c>
      <c r="D5" s="1823" t="s">
        <v>1597</v>
      </c>
      <c r="E5" s="1294"/>
      <c r="F5" s="1295"/>
      <c r="G5" s="1852"/>
      <c r="H5" s="343">
        <v>1</v>
      </c>
      <c r="I5" s="344" t="s">
        <v>1596</v>
      </c>
      <c r="J5" s="1293">
        <f ca="1">J6+J10+J12</f>
        <v>0</v>
      </c>
      <c r="K5" s="1823" t="s">
        <v>1597</v>
      </c>
      <c r="L5" s="1294"/>
      <c r="M5" s="1295"/>
    </row>
    <row r="6" spans="1:37" ht="18" customHeight="1">
      <c r="A6" s="1292" t="s">
        <v>1032</v>
      </c>
      <c r="B6" s="3170" t="s">
        <v>1399</v>
      </c>
      <c r="C6" s="1297">
        <f ca="1">ROUND(F6*F8*F7*(1-F9),0)</f>
        <v>0</v>
      </c>
      <c r="D6" s="163" t="s">
        <v>3029</v>
      </c>
      <c r="E6" s="346" t="s">
        <v>1401</v>
      </c>
      <c r="F6" s="347">
        <f ca="1">INDIRECT("'数据-取费表'!u"&amp;$G$1)</f>
        <v>0</v>
      </c>
      <c r="G6" s="1852"/>
      <c r="H6" s="1292" t="s">
        <v>1032</v>
      </c>
      <c r="I6" s="3170" t="s">
        <v>1399</v>
      </c>
      <c r="J6" s="345">
        <f ca="1">ROUND(M6*M8*M7*(1-M9),0)</f>
        <v>0</v>
      </c>
      <c r="K6" s="1835" t="s">
        <v>3030</v>
      </c>
      <c r="L6" s="346" t="s">
        <v>1401</v>
      </c>
      <c r="M6" s="347">
        <f ca="1">INDIRECT("'数据-取费表'!z"&amp;$G$1)</f>
        <v>0</v>
      </c>
    </row>
    <row r="7" spans="1:37" ht="18" customHeight="1">
      <c r="A7" s="1296"/>
      <c r="B7" s="3171"/>
      <c r="C7" s="1298"/>
      <c r="D7" s="351"/>
      <c r="E7" s="1299" t="s">
        <v>1402</v>
      </c>
      <c r="F7" s="347">
        <f ca="1">IF(INDIRECT("'数据-取费表'!ah"&amp;$G$1)="",INDIRECT("'数据-取费表'!k"&amp;$G$1),INDIRECT("'数据-取费表'!ah"&amp;$G$1))</f>
        <v>0</v>
      </c>
      <c r="G7" s="1852"/>
      <c r="H7" s="348"/>
      <c r="I7" s="3171"/>
      <c r="J7" s="350"/>
      <c r="K7" s="351"/>
      <c r="L7" s="346" t="s">
        <v>1402</v>
      </c>
      <c r="M7" s="347">
        <f ca="1">F7</f>
        <v>0</v>
      </c>
    </row>
    <row r="8" spans="1:37" ht="18" customHeight="1">
      <c r="A8" s="348"/>
      <c r="B8" s="3171"/>
      <c r="C8" s="350"/>
      <c r="D8" s="351"/>
      <c r="E8" s="346" t="s">
        <v>1403</v>
      </c>
      <c r="F8" s="347">
        <f ca="1">INDIRECT("'数据-取费表'!ai"&amp;$G$1)</f>
        <v>0</v>
      </c>
      <c r="G8" s="1852"/>
      <c r="H8" s="348"/>
      <c r="I8" s="3171"/>
      <c r="J8" s="350"/>
      <c r="K8" s="351"/>
      <c r="L8" s="346" t="s">
        <v>1403</v>
      </c>
      <c r="M8" s="347">
        <f ca="1">INDIRECT("'数据-取费表'!ai"&amp;$G$1)</f>
        <v>0</v>
      </c>
    </row>
    <row r="9" spans="1:37" ht="18" customHeight="1">
      <c r="A9" s="348"/>
      <c r="B9" s="3172"/>
      <c r="C9" s="350"/>
      <c r="D9" s="351"/>
      <c r="E9" s="346" t="s">
        <v>1404</v>
      </c>
      <c r="F9" s="356">
        <f ca="1">INDIRECT("'数据-取费表'!w"&amp;$G$1)</f>
        <v>0</v>
      </c>
      <c r="G9" s="1852"/>
      <c r="H9" s="348"/>
      <c r="I9" s="3172"/>
      <c r="J9" s="350"/>
      <c r="K9" s="351"/>
      <c r="L9" s="357" t="s">
        <v>1404</v>
      </c>
      <c r="M9" s="358">
        <f ca="1">INDIRECT("'数据-取费表'!ab"&amp;$G$1)</f>
        <v>0</v>
      </c>
    </row>
    <row r="10" spans="1:37" ht="18" customHeight="1">
      <c r="A10" s="1292" t="s">
        <v>1036</v>
      </c>
      <c r="B10" s="1824" t="s">
        <v>1405</v>
      </c>
      <c r="C10" s="360">
        <f ca="1">ROUND(IF(F10="押一",C6/12*F11,IF(F10="押二",C6/12*2*F11,IF(F10="押三",C6/12*3*F11,C11*F11))),0)</f>
        <v>0</v>
      </c>
      <c r="D10" s="1825" t="s">
        <v>3040</v>
      </c>
      <c r="E10" s="357" t="s">
        <v>1406</v>
      </c>
      <c r="F10" s="1367"/>
      <c r="G10" s="1852"/>
      <c r="H10" s="1292" t="s">
        <v>1036</v>
      </c>
      <c r="I10" s="1824" t="s">
        <v>1405</v>
      </c>
      <c r="J10" s="345">
        <f ca="1">ROUND(IF(M10="押一",J6/12*M11,IF(M10="押二",J6/12*2*M11,IF(M10="押三",J6/12*3*M11,J11*M11))),0)</f>
        <v>0</v>
      </c>
      <c r="K10" s="1836" t="s">
        <v>3042</v>
      </c>
      <c r="L10" s="357" t="s">
        <v>1406</v>
      </c>
      <c r="M10" s="1367"/>
    </row>
    <row r="11" spans="1:37" ht="18" customHeight="1">
      <c r="A11" s="352"/>
      <c r="B11" s="1826" t="s">
        <v>1598</v>
      </c>
      <c r="C11" s="1179"/>
      <c r="D11" s="351"/>
      <c r="E11" s="357" t="s">
        <v>1408</v>
      </c>
      <c r="F11" s="358">
        <f ca="1">'数据-取费表'!B39</f>
        <v>1.4999999999999999E-2</v>
      </c>
      <c r="G11" s="1852"/>
      <c r="H11" s="1300"/>
      <c r="I11" s="1826" t="s">
        <v>1599</v>
      </c>
      <c r="J11" s="1179"/>
      <c r="K11" s="746"/>
      <c r="L11" s="357"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4">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6" t="s">
        <v>1413</v>
      </c>
      <c r="C14" s="362">
        <f ca="1">ROUND(INDIRECT("'数据-取费表'!l"&amp;$G$1)*F43+'数据-取费表'!L14*INDIRECT("'数据-取费表'!S"&amp;$G$1),0)</f>
        <v>0</v>
      </c>
      <c r="D14" s="1801" t="s">
        <v>1414</v>
      </c>
      <c r="E14" s="1795"/>
      <c r="F14" s="363"/>
      <c r="G14" s="1852"/>
      <c r="H14" s="1202" t="s">
        <v>1032</v>
      </c>
      <c r="I14" s="346" t="s">
        <v>1415</v>
      </c>
      <c r="J14" s="23">
        <f ca="1">C29</f>
        <v>0</v>
      </c>
      <c r="K14" s="14"/>
      <c r="L14" s="980"/>
      <c r="M14" s="981"/>
    </row>
    <row r="15" spans="1:37" s="1859" customFormat="1" ht="18" customHeight="1" thickBot="1">
      <c r="A15" s="1202" t="s">
        <v>1033</v>
      </c>
      <c r="B15" s="346" t="s">
        <v>1416</v>
      </c>
      <c r="C15" s="23">
        <f ca="1">ROUND(C14*F15,0)</f>
        <v>0</v>
      </c>
      <c r="D15" s="364" t="s">
        <v>1417</v>
      </c>
      <c r="E15" s="364" t="s">
        <v>1418</v>
      </c>
      <c r="F15" s="365">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6" t="s">
        <v>1419</v>
      </c>
      <c r="C16" s="23">
        <f ca="1">ROUND(INDIRECT("'数据-取费表'!l"&amp;$G$1)*F43*F16,0)</f>
        <v>0</v>
      </c>
      <c r="D16" s="346" t="s">
        <v>1417</v>
      </c>
      <c r="E16" s="346" t="s">
        <v>1418</v>
      </c>
      <c r="F16" s="366">
        <f ca="1">IF(INDIRECT("'数据-取费表'!c"&amp;$G$1)="住宅",'数据-取费表'!B34,0)</f>
        <v>0</v>
      </c>
      <c r="G16" s="1852"/>
      <c r="H16" s="1330" t="s">
        <v>1027</v>
      </c>
      <c r="I16" s="1331" t="s">
        <v>1420</v>
      </c>
      <c r="J16" s="354">
        <f ca="1">ROUND(J17+J22+J23+J24,0)</f>
        <v>0</v>
      </c>
      <c r="K16" s="1338" t="s">
        <v>1421</v>
      </c>
      <c r="L16" s="1339"/>
      <c r="M16" s="1295"/>
    </row>
    <row r="17" spans="1:37" s="1859" customFormat="1" ht="18" customHeight="1">
      <c r="A17" s="1202" t="s">
        <v>1386</v>
      </c>
      <c r="B17" s="346" t="s">
        <v>1422</v>
      </c>
      <c r="C17" s="23">
        <f ca="1">ROUND(F17*(F43+INDIRECT("'数据-取费表'!S"&amp;$G$1)),0)</f>
        <v>0</v>
      </c>
      <c r="D17" s="346" t="s">
        <v>1423</v>
      </c>
      <c r="E17" s="346" t="s">
        <v>1424</v>
      </c>
      <c r="F17" s="25">
        <f>'数据-取费表'!B35</f>
        <v>200</v>
      </c>
      <c r="G17" s="1855"/>
      <c r="H17" s="1202" t="s">
        <v>1032</v>
      </c>
      <c r="I17" s="346" t="s">
        <v>1425</v>
      </c>
      <c r="J17" s="23">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6" t="s">
        <v>1428</v>
      </c>
      <c r="C18" s="23">
        <f ca="1">ROUND(C14*F18,0)</f>
        <v>0</v>
      </c>
      <c r="D18" s="346" t="s">
        <v>1417</v>
      </c>
      <c r="E18" s="346" t="s">
        <v>1418</v>
      </c>
      <c r="F18" s="366">
        <f>'数据-取费表'!B36</f>
        <v>1.4999999999999999E-2</v>
      </c>
      <c r="G18" s="1855"/>
      <c r="H18" s="1202" t="s">
        <v>1031</v>
      </c>
      <c r="I18" s="346" t="s">
        <v>1429</v>
      </c>
      <c r="J18" s="23">
        <f ca="1">ROUND(J5*M18/(1+'数据-取费表'!C42),0)</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6" t="s">
        <v>1431</v>
      </c>
      <c r="C19" s="23">
        <f ca="1">SUM(C14:C18)</f>
        <v>0</v>
      </c>
      <c r="D19" s="139" t="s">
        <v>1432</v>
      </c>
      <c r="E19" s="1819"/>
      <c r="F19" s="25"/>
      <c r="G19" s="1852"/>
      <c r="H19" s="1202" t="s">
        <v>1033</v>
      </c>
      <c r="I19" s="346" t="s">
        <v>1433</v>
      </c>
      <c r="J19" s="23">
        <f ca="1">IF(K19="按租金收入计税",ROUND(J5*M19,0),ROUND(C29*M19*0.7,0))</f>
        <v>0</v>
      </c>
      <c r="K19" s="1829" t="s">
        <v>1434</v>
      </c>
      <c r="L19" s="346" t="s">
        <v>1418</v>
      </c>
      <c r="M19" s="366">
        <f>IF(K19="按租金收入计税",'数据-取费表'!B51,'数据-取费表'!B50)</f>
        <v>1.2E-2</v>
      </c>
    </row>
    <row r="20" spans="1:37" s="1859" customFormat="1" ht="18" customHeight="1">
      <c r="A20" s="1202" t="s">
        <v>1036</v>
      </c>
      <c r="B20" s="346" t="s">
        <v>1435</v>
      </c>
      <c r="C20" s="23">
        <f ca="1">ROUND(C19*F20,0)</f>
        <v>0</v>
      </c>
      <c r="D20" s="368" t="s">
        <v>1436</v>
      </c>
      <c r="E20" s="346" t="s">
        <v>1418</v>
      </c>
      <c r="F20" s="366">
        <f>'数据-取费表'!B37</f>
        <v>0.02</v>
      </c>
      <c r="G20" s="1855"/>
      <c r="H20" s="1202" t="s">
        <v>1385</v>
      </c>
      <c r="I20" s="163" t="s">
        <v>1437</v>
      </c>
      <c r="J20" s="24">
        <f ca="1">ROUND(M20*M21,0)</f>
        <v>0</v>
      </c>
      <c r="K20" s="369" t="s">
        <v>1438</v>
      </c>
      <c r="L20" s="346" t="s">
        <v>1439</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6" t="s">
        <v>1440</v>
      </c>
      <c r="C21" s="23" t="s">
        <v>1</v>
      </c>
      <c r="D21" s="368" t="s">
        <v>1441</v>
      </c>
      <c r="E21" s="346" t="s">
        <v>1442</v>
      </c>
      <c r="F21" s="366">
        <f>'数据-取费表'!B38</f>
        <v>0.02</v>
      </c>
      <c r="G21" s="1855"/>
      <c r="H21" s="371"/>
      <c r="I21" s="355"/>
      <c r="J21" s="28"/>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9"/>
      <c r="F22" s="25"/>
      <c r="G22" s="1852"/>
      <c r="H22" s="1202" t="s">
        <v>1036</v>
      </c>
      <c r="I22" s="346" t="s">
        <v>1445</v>
      </c>
      <c r="J22" s="23">
        <f ca="1">ROUND(J14*M22,0)</f>
        <v>0</v>
      </c>
      <c r="K22" s="1799" t="s">
        <v>1446</v>
      </c>
      <c r="L22" s="346" t="s">
        <v>1418</v>
      </c>
      <c r="M22" s="373">
        <f ca="1">INDIRECT("'数据-取费表'!Ak"&amp;$G$1)</f>
        <v>0</v>
      </c>
    </row>
    <row r="23" spans="1:37" s="1859" customFormat="1" ht="18" customHeight="1">
      <c r="A23" s="1202"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2" t="s">
        <v>1072</v>
      </c>
      <c r="I23" s="346" t="s">
        <v>1449</v>
      </c>
      <c r="J23" s="23">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6" t="s">
        <v>1457</v>
      </c>
      <c r="C25" s="23"/>
      <c r="D25" s="139" t="s">
        <v>1458</v>
      </c>
      <c r="E25" s="1819"/>
      <c r="F25" s="25"/>
      <c r="G25" s="1852"/>
      <c r="H25" s="1330" t="s">
        <v>1028</v>
      </c>
      <c r="I25" s="1345" t="s">
        <v>1459</v>
      </c>
      <c r="J25" s="354">
        <f ca="1">J5-J16</f>
        <v>0</v>
      </c>
      <c r="K25" s="1346" t="s">
        <v>1460</v>
      </c>
      <c r="L25" s="1347"/>
      <c r="M25" s="1348"/>
    </row>
    <row r="26" spans="1:37" ht="18" customHeight="1">
      <c r="A26" s="1202" t="s">
        <v>1031</v>
      </c>
      <c r="B26" s="346" t="s">
        <v>1461</v>
      </c>
      <c r="C26" s="23">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2" t="s">
        <v>1033</v>
      </c>
      <c r="B27" s="346" t="s">
        <v>1467</v>
      </c>
      <c r="C27" s="23">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2" t="s">
        <v>1034</v>
      </c>
      <c r="B28" s="346" t="s">
        <v>1471</v>
      </c>
      <c r="C28" s="23">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4">
        <f ca="1">ROUND(C31+C36+C37+C38,0)</f>
        <v>0</v>
      </c>
      <c r="D30" s="1338" t="s">
        <v>1421</v>
      </c>
      <c r="E30" s="1339"/>
      <c r="F30" s="1295"/>
      <c r="G30" s="1852"/>
      <c r="H30" s="743"/>
      <c r="I30" s="744"/>
      <c r="J30" s="745"/>
      <c r="K30" s="746"/>
      <c r="L30" s="747"/>
      <c r="M30" s="748"/>
    </row>
    <row r="31" spans="1:37" ht="18" customHeight="1">
      <c r="A31" s="1202" t="s">
        <v>1032</v>
      </c>
      <c r="B31" s="346" t="s">
        <v>1425</v>
      </c>
      <c r="C31" s="23">
        <f ca="1">ROUND(IF(项目基本情况!B11="自然人",C5*F31,C32+C33+C34),0)</f>
        <v>0</v>
      </c>
      <c r="D31" s="1801" t="s">
        <v>1426</v>
      </c>
      <c r="E31" s="1799" t="s">
        <v>1477</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1031</v>
      </c>
      <c r="B32" s="346" t="s">
        <v>1429</v>
      </c>
      <c r="C32" s="23">
        <f ca="1">IF(项目基本情况!B11="自然人","——",ROUND(C5*F32/(1+'数据-取费表'!C42),0))</f>
        <v>0</v>
      </c>
      <c r="D32" s="1799" t="s">
        <v>1430</v>
      </c>
      <c r="E32" s="346" t="s">
        <v>1418</v>
      </c>
      <c r="F32" s="376">
        <f>'数据-取费表'!B41</f>
        <v>5.6000000000000001E-2</v>
      </c>
      <c r="G32" s="1852"/>
      <c r="H32" s="743"/>
      <c r="I32" s="744"/>
      <c r="J32" s="745"/>
      <c r="K32" s="746"/>
      <c r="L32" s="747"/>
      <c r="M32" s="748"/>
    </row>
    <row r="33" spans="1:18" ht="18" customHeight="1">
      <c r="A33" s="1202" t="s">
        <v>1033</v>
      </c>
      <c r="B33" s="346" t="s">
        <v>1433</v>
      </c>
      <c r="C33" s="23">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2" t="s">
        <v>1385</v>
      </c>
      <c r="B34" s="163" t="s">
        <v>1437</v>
      </c>
      <c r="C34" s="24">
        <f ca="1">IF(项目基本情况!B11="自然人","——",ROUND(F34*F35,))</f>
        <v>0</v>
      </c>
      <c r="D34" s="369" t="s">
        <v>1438</v>
      </c>
      <c r="E34" s="346" t="s">
        <v>1439</v>
      </c>
      <c r="F34" s="370">
        <f>'数据-取费表'!B52</f>
        <v>3</v>
      </c>
      <c r="G34" s="1852"/>
      <c r="H34" s="743"/>
      <c r="I34" s="1861"/>
      <c r="J34" s="1862"/>
      <c r="K34" s="1864"/>
      <c r="L34" s="1865"/>
      <c r="M34" s="1865"/>
    </row>
    <row r="35" spans="1:18" ht="18" customHeight="1">
      <c r="A35" s="1354"/>
      <c r="B35" s="1352"/>
      <c r="C35" s="28"/>
      <c r="D35" s="372"/>
      <c r="E35" s="346" t="s">
        <v>1443</v>
      </c>
      <c r="F35" s="347">
        <f ca="1">INDIRECT("'数据-取费表'!r"&amp;$G$1)</f>
        <v>0</v>
      </c>
      <c r="G35" s="1852"/>
      <c r="H35" s="743"/>
      <c r="I35" s="1861"/>
      <c r="J35" s="1862"/>
      <c r="K35" s="1863"/>
      <c r="L35" s="1860"/>
      <c r="M35" s="1860"/>
    </row>
    <row r="36" spans="1:18" ht="18" customHeight="1">
      <c r="A36" s="1353" t="s">
        <v>1036</v>
      </c>
      <c r="B36" s="346" t="s">
        <v>1445</v>
      </c>
      <c r="C36" s="23">
        <f ca="1">ROUND(C29*F36,0)</f>
        <v>0</v>
      </c>
      <c r="D36" s="1799" t="s">
        <v>1478</v>
      </c>
      <c r="E36" s="346" t="s">
        <v>1418</v>
      </c>
      <c r="F36" s="373">
        <f ca="1">INDIRECT("'数据-取费表'!Ak"&amp;$G$1)</f>
        <v>0</v>
      </c>
      <c r="G36" s="1852"/>
      <c r="H36" s="1860"/>
      <c r="I36" s="1861"/>
      <c r="J36" s="1862"/>
      <c r="K36" s="749"/>
      <c r="L36" s="1860"/>
      <c r="M36" s="1860"/>
    </row>
    <row r="37" spans="1:18" ht="18" customHeight="1">
      <c r="A37" s="1202" t="s">
        <v>1072</v>
      </c>
      <c r="B37" s="346" t="s">
        <v>1449</v>
      </c>
      <c r="C37" s="23">
        <f ca="1">ROUND(C13*F37,0)</f>
        <v>0</v>
      </c>
      <c r="D37" s="1799" t="s">
        <v>1450</v>
      </c>
      <c r="E37" s="346" t="s">
        <v>1451</v>
      </c>
      <c r="F37" s="375">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4">
        <f ca="1">C5-C30</f>
        <v>0</v>
      </c>
      <c r="D39" s="1346" t="s">
        <v>1480</v>
      </c>
      <c r="E39" s="1347"/>
      <c r="F39" s="1348"/>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0"/>
      <c r="I41" s="1861"/>
      <c r="J41" s="1862"/>
      <c r="K41" s="749"/>
      <c r="L41" s="730"/>
      <c r="M41" s="730"/>
    </row>
    <row r="42" spans="1:18" ht="18" customHeight="1">
      <c r="A42" s="352"/>
      <c r="B42" s="353"/>
      <c r="C42" s="354"/>
      <c r="D42" s="372"/>
      <c r="E42" s="346" t="s">
        <v>1473</v>
      </c>
      <c r="F42" s="356">
        <f ca="1">INDIRECT("'数据-取费表'!v"&amp;$G$1)</f>
        <v>0</v>
      </c>
      <c r="G42" s="1852"/>
      <c r="H42" s="730"/>
      <c r="I42" s="1861"/>
      <c r="J42" s="1862"/>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4"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8" t="s">
        <v>1405</v>
      </c>
      <c r="C53" s="360">
        <f ca="1">ROUND(IF(F53="押一",C49/12*F11,IF(F53="押二",C49/12*2*F11,IF(F53="押三",C49/12*3*F11,C54*F11))),0)</f>
        <v>0</v>
      </c>
      <c r="D53" s="1825" t="s">
        <v>3043</v>
      </c>
      <c r="E53" s="357"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173" t="s">
        <v>1544</v>
      </c>
      <c r="L53" s="3174"/>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8" t="s">
        <v>1420</v>
      </c>
      <c r="C58" s="360">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3">
        <f ca="1">ROUND(IF(项目基本情况!B11="自然人",C48*F59,C60+C61+C62),0)</f>
        <v>0</v>
      </c>
      <c r="D59" s="1183" t="s">
        <v>1426</v>
      </c>
      <c r="E59" s="1184"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3">
        <f ca="1">IF(项目基本情况!B11="自然人","——",ROUND(C48*F60/(1+'数据-取费表'!C42),0))</f>
        <v>0</v>
      </c>
      <c r="D60" s="1184" t="s">
        <v>1430</v>
      </c>
      <c r="E60" s="1170"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3">
        <f ca="1">IF(项目基本情况!B11="自然人","——",IF(D61="按租金收入计税",ROUND(C48*F61,0),IF(D61="按房产原值计税",ROUND(C57*F61*0.7,0),INDIRECT("'数据-取费表'!Aj"&amp;$G$1))))</f>
        <v>0</v>
      </c>
      <c r="D61" s="1829" t="s">
        <v>1434</v>
      </c>
      <c r="E61" s="1170"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4">
        <f ca="1">IF(项目基本情况!B11="自然人","——",ROUND(F62*F63,0))</f>
        <v>0</v>
      </c>
      <c r="D62" s="1185" t="s">
        <v>1493</v>
      </c>
      <c r="E62" s="1170" t="s">
        <v>1494</v>
      </c>
      <c r="F62" s="370">
        <f t="shared" si="0"/>
        <v>3</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6"/>
      <c r="C63" s="28"/>
      <c r="D63" s="1186"/>
      <c r="E63" s="1170"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3">
        <f ca="1">ROUND(C57*F64,0)</f>
        <v>0</v>
      </c>
      <c r="D64" s="1184" t="s">
        <v>1498</v>
      </c>
      <c r="E64" s="1170"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3">
        <f ca="1">ROUND(C56*F65,0)</f>
        <v>0</v>
      </c>
      <c r="D65" s="1184" t="s">
        <v>1450</v>
      </c>
      <c r="E65" s="1170"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3">
        <f ca="1">ROUND(C48*F66,0)</f>
        <v>0</v>
      </c>
      <c r="D66" s="1184" t="s">
        <v>1501</v>
      </c>
      <c r="E66" s="1170" t="s">
        <v>1418</v>
      </c>
      <c r="F66" s="356">
        <f t="shared" ca="1" si="0"/>
        <v>0</v>
      </c>
      <c r="O66" s="1885" t="s">
        <v>1038</v>
      </c>
      <c r="P66" s="1886" t="s">
        <v>1554</v>
      </c>
      <c r="Q66" s="1887" t="e">
        <f ca="1">L60</f>
        <v>#DIV/0!</v>
      </c>
      <c r="R66" s="1887" t="s">
        <v>1577</v>
      </c>
    </row>
    <row r="67" spans="1:18" s="1843" customFormat="1" ht="16.5" thickBot="1">
      <c r="A67" s="1177" t="s">
        <v>1028</v>
      </c>
      <c r="B67" s="1187" t="s">
        <v>1459</v>
      </c>
      <c r="C67" s="360">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5" t="e">
        <f ca="1">ROUND(C67*(1-((1+F70)/(1+F68))^F69)/(F68-F70),0)</f>
        <v>#DIV/0!</v>
      </c>
      <c r="D68" s="1185" t="s">
        <v>1465</v>
      </c>
      <c r="E68" s="1170" t="s">
        <v>1466</v>
      </c>
      <c r="F68" s="356">
        <f ca="1">F40</f>
        <v>0</v>
      </c>
      <c r="O68" s="1895" t="s">
        <v>1040</v>
      </c>
      <c r="P68" s="1935" t="s">
        <v>1579</v>
      </c>
      <c r="Q68" s="1887">
        <f ca="1">ROUND(Q69-Q70*Q71,0)</f>
        <v>0</v>
      </c>
      <c r="R68" s="1887" t="s">
        <v>1048</v>
      </c>
    </row>
    <row r="69" spans="1:18" s="1843" customFormat="1" ht="13.5" thickBot="1">
      <c r="A69" s="1171"/>
      <c r="B69" s="1172"/>
      <c r="C69" s="350"/>
      <c r="D69" s="1190" t="s">
        <v>1469</v>
      </c>
      <c r="E69" s="1170" t="s">
        <v>1470</v>
      </c>
      <c r="F69" s="378">
        <f ca="1">F41</f>
        <v>0</v>
      </c>
      <c r="O69" s="1895" t="s">
        <v>1045</v>
      </c>
      <c r="P69" s="1935" t="s">
        <v>1580</v>
      </c>
      <c r="Q69" s="1887">
        <f ca="1">C39</f>
        <v>0</v>
      </c>
      <c r="R69" s="1887" t="s">
        <v>1525</v>
      </c>
    </row>
    <row r="70" spans="1:18" s="1843" customFormat="1" ht="13.5" thickBot="1">
      <c r="A70" s="1174"/>
      <c r="B70" s="1175"/>
      <c r="C70" s="354"/>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1" t="e">
        <f ca="1">ROUND(C68/F71,0)</f>
        <v>#DIV/0!</v>
      </c>
      <c r="D71" s="1193" t="s">
        <v>1484</v>
      </c>
      <c r="E71" s="1194" t="s">
        <v>1485</v>
      </c>
      <c r="F71" s="384">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H22" sqref="H22"/>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2524</v>
      </c>
      <c r="B1" s="2565"/>
      <c r="C1" s="2565"/>
      <c r="D1" s="2565"/>
      <c r="E1" s="2566"/>
    </row>
    <row r="2" spans="1:6" ht="15.75">
      <c r="A2" s="2567" t="s">
        <v>2328</v>
      </c>
      <c r="B2" s="2568">
        <f ca="1">SUMIF(B6:B13,"&lt;&gt;#ref!",B6:B13)</f>
        <v>155285</v>
      </c>
      <c r="C2" s="2569" t="s">
        <v>2517</v>
      </c>
      <c r="D2" s="2570" t="s">
        <v>2518</v>
      </c>
      <c r="E2" s="2571">
        <f>SUM(E6:E13)</f>
        <v>91239.85</v>
      </c>
    </row>
    <row r="3" spans="1:6" ht="15.75">
      <c r="A3" s="2567" t="s">
        <v>1391</v>
      </c>
      <c r="B3" s="2568">
        <f ca="1">ROUND(B2*10000/E2,0)</f>
        <v>17019</v>
      </c>
      <c r="C3" s="2569" t="s">
        <v>2525</v>
      </c>
      <c r="D3" s="2572"/>
      <c r="E3" s="2573"/>
    </row>
    <row r="4" spans="1:6" ht="15.75">
      <c r="A4" s="2574"/>
      <c r="B4" s="2572"/>
      <c r="C4" s="2572"/>
      <c r="D4" s="2572"/>
      <c r="E4" s="2573"/>
    </row>
    <row r="5" spans="1:6" ht="15">
      <c r="A5" s="2575" t="s">
        <v>2519</v>
      </c>
      <c r="B5" s="3175" t="s">
        <v>2520</v>
      </c>
      <c r="C5" s="3175"/>
      <c r="D5" s="2576"/>
      <c r="E5" s="2577" t="s">
        <v>2521</v>
      </c>
      <c r="F5" s="2578" t="s">
        <v>2522</v>
      </c>
    </row>
    <row r="6" spans="1:6">
      <c r="A6" s="2579" t="str">
        <f>'数据-取费表'!AN6</f>
        <v>收益法——商业</v>
      </c>
      <c r="B6" s="2578">
        <f ca="1">IF(F6="是",'数据-取费表'!AO6,0)</f>
        <v>155172</v>
      </c>
      <c r="C6" s="2569" t="s">
        <v>2517</v>
      </c>
      <c r="D6" s="2572"/>
      <c r="E6" s="2580">
        <f>IF(OR(A6=0,F6="否"),0,'数据-取费表'!K6+'数据-取费表'!S6)</f>
        <v>77026.790000000008</v>
      </c>
      <c r="F6" s="2581" t="s">
        <v>2523</v>
      </c>
    </row>
    <row r="7" spans="1:6">
      <c r="A7" s="2579" t="str">
        <f>'数据-取费表'!AN7</f>
        <v>收益法——车库</v>
      </c>
      <c r="B7" s="2578">
        <f ca="1">IF(F7="是",'数据-取费表'!AO7,0)</f>
        <v>113</v>
      </c>
      <c r="C7" s="2569" t="s">
        <v>2517</v>
      </c>
      <c r="D7" s="2572"/>
      <c r="E7" s="2580">
        <f>IF(OR(A7=0,F7="否"),0,'数据-取费表'!K7+'数据-取费表'!S7)</f>
        <v>14213.06</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1073</v>
      </c>
      <c r="B1" s="3177"/>
      <c r="C1" s="3178"/>
      <c r="D1" s="3179">
        <f>SUM(I10,I15,I20,I21,I23)</f>
        <v>0</v>
      </c>
      <c r="E1" s="3179"/>
      <c r="F1" s="3179"/>
      <c r="G1" s="3179"/>
      <c r="H1" s="3179"/>
      <c r="I1" s="3180"/>
    </row>
    <row r="2" spans="1:9">
      <c r="A2" s="3181" t="s">
        <v>1074</v>
      </c>
      <c r="B2" s="3182" t="s">
        <v>1075</v>
      </c>
      <c r="C2" s="3182"/>
      <c r="D2" s="1302" t="s">
        <v>1076</v>
      </c>
      <c r="E2" s="1302" t="s">
        <v>1077</v>
      </c>
      <c r="F2" s="1302" t="s">
        <v>1078</v>
      </c>
      <c r="G2" s="1302" t="s">
        <v>1079</v>
      </c>
      <c r="H2" s="1302" t="s">
        <v>1080</v>
      </c>
      <c r="I2" s="1303" t="s">
        <v>1081</v>
      </c>
    </row>
    <row r="3" spans="1:9">
      <c r="A3" s="3181"/>
      <c r="B3" s="3182" t="s">
        <v>1082</v>
      </c>
      <c r="C3" s="3182"/>
      <c r="D3" s="1304"/>
      <c r="E3" s="1302"/>
      <c r="F3" s="1305"/>
      <c r="G3" s="1305"/>
      <c r="H3" s="1306"/>
      <c r="I3" s="1307">
        <f>ROUND(D3*E3*F3*G3*H3/10000,0)</f>
        <v>0</v>
      </c>
    </row>
    <row r="4" spans="1:9">
      <c r="A4" s="3181"/>
      <c r="B4" s="3182" t="s">
        <v>1083</v>
      </c>
      <c r="C4" s="3182"/>
      <c r="D4" s="1304"/>
      <c r="E4" s="1302"/>
      <c r="F4" s="1305"/>
      <c r="G4" s="1305"/>
      <c r="H4" s="1306"/>
      <c r="I4" s="1307">
        <f t="shared" ref="I4:I9" si="0">ROUND(D4*E4*F4*G4*H4/10000,0)</f>
        <v>0</v>
      </c>
    </row>
    <row r="5" spans="1:9">
      <c r="A5" s="3181"/>
      <c r="B5" s="3182" t="s">
        <v>1084</v>
      </c>
      <c r="C5" s="3182"/>
      <c r="D5" s="1304"/>
      <c r="E5" s="1302"/>
      <c r="F5" s="1305"/>
      <c r="G5" s="1305"/>
      <c r="H5" s="1306"/>
      <c r="I5" s="1307">
        <f t="shared" si="0"/>
        <v>0</v>
      </c>
    </row>
    <row r="6" spans="1:9">
      <c r="A6" s="3181"/>
      <c r="B6" s="3182" t="s">
        <v>1085</v>
      </c>
      <c r="C6" s="3182"/>
      <c r="D6" s="1304"/>
      <c r="E6" s="1302"/>
      <c r="F6" s="1305"/>
      <c r="G6" s="1305"/>
      <c r="H6" s="1306"/>
      <c r="I6" s="1307">
        <f t="shared" si="0"/>
        <v>0</v>
      </c>
    </row>
    <row r="7" spans="1:9">
      <c r="A7" s="3181"/>
      <c r="B7" s="3182" t="s">
        <v>1086</v>
      </c>
      <c r="C7" s="3182"/>
      <c r="D7" s="1304"/>
      <c r="E7" s="1302"/>
      <c r="F7" s="1305"/>
      <c r="G7" s="1305"/>
      <c r="H7" s="1306"/>
      <c r="I7" s="1307">
        <f t="shared" si="0"/>
        <v>0</v>
      </c>
    </row>
    <row r="8" spans="1:9">
      <c r="A8" s="3181"/>
      <c r="B8" s="3182" t="s">
        <v>1087</v>
      </c>
      <c r="C8" s="3182"/>
      <c r="D8" s="1304"/>
      <c r="E8" s="1302"/>
      <c r="F8" s="1305"/>
      <c r="G8" s="1305"/>
      <c r="H8" s="1306"/>
      <c r="I8" s="1307">
        <f t="shared" si="0"/>
        <v>0</v>
      </c>
    </row>
    <row r="9" spans="1:9">
      <c r="A9" s="3181"/>
      <c r="B9" s="3182" t="s">
        <v>1088</v>
      </c>
      <c r="C9" s="3182"/>
      <c r="D9" s="1304"/>
      <c r="E9" s="1302"/>
      <c r="F9" s="1305"/>
      <c r="G9" s="1305"/>
      <c r="H9" s="1306"/>
      <c r="I9" s="1307">
        <f t="shared" si="0"/>
        <v>0</v>
      </c>
    </row>
    <row r="10" spans="1:9">
      <c r="A10" s="3181"/>
      <c r="B10" s="3183" t="s">
        <v>1089</v>
      </c>
      <c r="C10" s="3183"/>
      <c r="D10" s="1308"/>
      <c r="E10" s="1308" t="e">
        <f>ROUND(D1*10000/D10/H9,0)</f>
        <v>#DIV/0!</v>
      </c>
      <c r="F10" s="1309"/>
      <c r="G10" s="1309"/>
      <c r="H10" s="1310"/>
      <c r="I10" s="1311">
        <f>SUM(I3:I9)</f>
        <v>0</v>
      </c>
    </row>
    <row r="11" spans="1:9" ht="14.25">
      <c r="A11" s="3181" t="s">
        <v>1090</v>
      </c>
      <c r="B11" s="3182" t="s">
        <v>1091</v>
      </c>
      <c r="C11" s="3182"/>
      <c r="D11" s="1304" t="s">
        <v>1092</v>
      </c>
      <c r="E11" s="1304" t="s">
        <v>1093</v>
      </c>
      <c r="F11" s="1305" t="s">
        <v>1094</v>
      </c>
      <c r="G11" s="1305" t="s">
        <v>1080</v>
      </c>
      <c r="H11" s="1312" t="s">
        <v>1095</v>
      </c>
      <c r="I11" s="1303" t="s">
        <v>1081</v>
      </c>
    </row>
    <row r="12" spans="1:9">
      <c r="A12" s="3181"/>
      <c r="B12" s="3182" t="s">
        <v>1096</v>
      </c>
      <c r="C12" s="3182"/>
      <c r="D12" s="1304"/>
      <c r="E12" s="1304"/>
      <c r="F12" s="1305"/>
      <c r="G12" s="1306"/>
      <c r="H12" s="1313"/>
      <c r="I12" s="1303">
        <f>ROUND(D12*E12*F12*G12/10000,0)</f>
        <v>0</v>
      </c>
    </row>
    <row r="13" spans="1:9">
      <c r="A13" s="3181"/>
      <c r="B13" s="3182" t="s">
        <v>1097</v>
      </c>
      <c r="C13" s="3182"/>
      <c r="D13" s="1304"/>
      <c r="E13" s="1304"/>
      <c r="F13" s="1305"/>
      <c r="G13" s="1306"/>
      <c r="H13" s="1313"/>
      <c r="I13" s="1303">
        <f>ROUND(D13*E13*F13*G13/10000,0)</f>
        <v>0</v>
      </c>
    </row>
    <row r="14" spans="1:9">
      <c r="A14" s="3181"/>
      <c r="B14" s="3182" t="s">
        <v>1098</v>
      </c>
      <c r="C14" s="3182"/>
      <c r="D14" s="1304"/>
      <c r="E14" s="1304"/>
      <c r="F14" s="1305"/>
      <c r="G14" s="1306"/>
      <c r="H14" s="1313"/>
      <c r="I14" s="1303">
        <f>ROUND(D14*E14*F14*G14/10000,0)</f>
        <v>0</v>
      </c>
    </row>
    <row r="15" spans="1:9">
      <c r="A15" s="3181"/>
      <c r="B15" s="3183" t="s">
        <v>1089</v>
      </c>
      <c r="C15" s="3183"/>
      <c r="D15" s="1308"/>
      <c r="E15" s="1308">
        <f>SUM(E12:E14)</f>
        <v>0</v>
      </c>
      <c r="F15" s="1309"/>
      <c r="G15" s="1306"/>
      <c r="H15" s="1313"/>
      <c r="I15" s="1314">
        <f>SUM(I12:I14)</f>
        <v>0</v>
      </c>
    </row>
    <row r="16" spans="1:9" ht="24">
      <c r="A16" s="3181" t="s">
        <v>1099</v>
      </c>
      <c r="B16" s="3182" t="s">
        <v>1100</v>
      </c>
      <c r="C16" s="3182"/>
      <c r="D16" s="1304" t="s">
        <v>1076</v>
      </c>
      <c r="E16" s="1315" t="s">
        <v>1101</v>
      </c>
      <c r="F16" s="1305" t="s">
        <v>1102</v>
      </c>
      <c r="G16" s="1306" t="s">
        <v>1080</v>
      </c>
      <c r="H16" s="1312" t="s">
        <v>1095</v>
      </c>
      <c r="I16" s="1303" t="s">
        <v>1081</v>
      </c>
    </row>
    <row r="17" spans="1:9" ht="14.25">
      <c r="A17" s="3181"/>
      <c r="B17" s="3182" t="s">
        <v>1103</v>
      </c>
      <c r="C17" s="3182"/>
      <c r="D17" s="1304"/>
      <c r="E17" s="1304"/>
      <c r="F17" s="1305"/>
      <c r="G17" s="1306"/>
      <c r="H17" s="1316"/>
      <c r="I17" s="1317">
        <f>ROUND(D17*E17*F17*G17/10000,0)</f>
        <v>0</v>
      </c>
    </row>
    <row r="18" spans="1:9" ht="14.25">
      <c r="A18" s="3181"/>
      <c r="B18" s="3182" t="s">
        <v>1104</v>
      </c>
      <c r="C18" s="3182"/>
      <c r="D18" s="1304"/>
      <c r="E18" s="1304"/>
      <c r="F18" s="1305"/>
      <c r="G18" s="1306"/>
      <c r="H18" s="1316"/>
      <c r="I18" s="1317">
        <f>ROUND(D18*E18*F18*G18/10000,0)</f>
        <v>0</v>
      </c>
    </row>
    <row r="19" spans="1:9" ht="14.25">
      <c r="A19" s="3181"/>
      <c r="B19" s="3182" t="s">
        <v>1105</v>
      </c>
      <c r="C19" s="3182"/>
      <c r="D19" s="1304"/>
      <c r="E19" s="1304"/>
      <c r="F19" s="1305"/>
      <c r="G19" s="1306"/>
      <c r="H19" s="1316"/>
      <c r="I19" s="1317">
        <f>ROUND(D19*E19*F19*G19/10000,0)</f>
        <v>0</v>
      </c>
    </row>
    <row r="20" spans="1:9">
      <c r="A20" s="3181"/>
      <c r="B20" s="3183" t="s">
        <v>1089</v>
      </c>
      <c r="C20" s="3183"/>
      <c r="D20" s="1308">
        <f>SUM(D17:D19)</f>
        <v>0</v>
      </c>
      <c r="E20" s="1308"/>
      <c r="F20" s="1309"/>
      <c r="G20" s="1306"/>
      <c r="H20" s="1313"/>
      <c r="I20" s="1314">
        <f>SUM(I17:I19)</f>
        <v>0</v>
      </c>
    </row>
    <row r="21" spans="1:9">
      <c r="A21" s="3181" t="s">
        <v>1106</v>
      </c>
      <c r="B21" s="3185"/>
      <c r="C21" s="3185"/>
      <c r="D21" s="3185"/>
      <c r="E21" s="3185"/>
      <c r="F21" s="3185"/>
      <c r="G21" s="3185"/>
      <c r="H21" s="1766">
        <v>0.1</v>
      </c>
      <c r="I21" s="1311">
        <f>ROUND(I10*H21,0)</f>
        <v>0</v>
      </c>
    </row>
    <row r="22" spans="1:9" ht="14.25">
      <c r="A22" s="3186" t="s">
        <v>1107</v>
      </c>
      <c r="B22" s="3187"/>
      <c r="C22" s="3188"/>
      <c r="D22" s="1318" t="s">
        <v>1108</v>
      </c>
      <c r="E22" s="1318" t="s">
        <v>1109</v>
      </c>
      <c r="F22" s="1319" t="s">
        <v>1110</v>
      </c>
      <c r="G22" s="1319" t="s">
        <v>1111</v>
      </c>
      <c r="H22" s="1312" t="s">
        <v>1112</v>
      </c>
      <c r="I22" s="1303" t="s">
        <v>1113</v>
      </c>
    </row>
    <row r="23" spans="1:9" ht="14.25" thickBot="1">
      <c r="A23" s="3189"/>
      <c r="B23" s="3190"/>
      <c r="C23" s="3191"/>
      <c r="D23" s="1320"/>
      <c r="E23" s="1320"/>
      <c r="F23" s="1320"/>
      <c r="G23" s="1321"/>
      <c r="H23" s="1322"/>
      <c r="I23" s="1323">
        <f>ROUND(E23*D23*F23*(1-G23)/10000,0)</f>
        <v>0</v>
      </c>
    </row>
    <row r="26" spans="1:9">
      <c r="A26" s="1324" t="s">
        <v>1114</v>
      </c>
      <c r="B26" s="1324"/>
      <c r="C26" s="1324"/>
      <c r="D26" s="1324"/>
      <c r="E26" s="3192">
        <f>C27-C30-C31-C32</f>
        <v>0</v>
      </c>
      <c r="F26" s="3192"/>
      <c r="G26" s="3192"/>
      <c r="H26" s="1738" t="s">
        <v>1336</v>
      </c>
    </row>
    <row r="27" spans="1:9">
      <c r="A27" s="1325">
        <v>1</v>
      </c>
      <c r="B27" s="1326" t="s">
        <v>1115</v>
      </c>
      <c r="C27" s="1326">
        <f>C28+C29</f>
        <v>0</v>
      </c>
      <c r="D27" s="1326"/>
      <c r="E27" s="3193"/>
      <c r="F27" s="3193"/>
      <c r="G27" s="3193"/>
    </row>
    <row r="28" spans="1:9">
      <c r="A28" s="1327" t="s">
        <v>1116</v>
      </c>
      <c r="B28" s="1326" t="s">
        <v>1117</v>
      </c>
      <c r="C28" s="1326"/>
      <c r="D28" s="1326"/>
      <c r="E28" s="3193"/>
      <c r="F28" s="3193"/>
      <c r="G28" s="3193"/>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84"/>
      <c r="F32" s="3184"/>
      <c r="G32" s="3184"/>
    </row>
    <row r="33" spans="1:7" hidden="1">
      <c r="A33" s="3194" t="s">
        <v>1126</v>
      </c>
      <c r="B33" s="3195"/>
      <c r="C33" s="3195"/>
      <c r="D33" s="3196"/>
      <c r="E33" s="3192"/>
      <c r="F33" s="3192"/>
      <c r="G33" s="3192"/>
    </row>
    <row r="34" spans="1:7" hidden="1">
      <c r="A34" s="1329">
        <v>1</v>
      </c>
      <c r="B34" s="1326" t="s">
        <v>1127</v>
      </c>
      <c r="C34" s="1326"/>
      <c r="D34" s="1326"/>
      <c r="E34" s="3193"/>
      <c r="F34" s="3193"/>
      <c r="G34" s="3193"/>
    </row>
    <row r="35" spans="1:7" hidden="1">
      <c r="A35" s="1329">
        <v>2</v>
      </c>
      <c r="B35" s="1326" t="s">
        <v>1128</v>
      </c>
      <c r="C35" s="1326"/>
      <c r="D35" s="1326"/>
      <c r="E35" s="3193"/>
      <c r="F35" s="3193"/>
      <c r="G35" s="3193"/>
    </row>
    <row r="36" spans="1:7" hidden="1">
      <c r="A36" s="1329">
        <v>3</v>
      </c>
      <c r="B36" s="1326" t="s">
        <v>1129</v>
      </c>
      <c r="C36" s="1326"/>
      <c r="D36" s="1326"/>
      <c r="E36" s="3193"/>
      <c r="F36" s="3193"/>
      <c r="G36" s="3193"/>
    </row>
    <row r="37" spans="1:7" hidden="1">
      <c r="A37" s="1329">
        <v>4</v>
      </c>
      <c r="B37" s="1326" t="s">
        <v>1130</v>
      </c>
      <c r="C37" s="1326"/>
      <c r="D37" s="1326"/>
      <c r="E37" s="3193"/>
      <c r="F37" s="3193"/>
      <c r="G37" s="3193"/>
    </row>
    <row r="38" spans="1:7" hidden="1">
      <c r="A38" s="3194" t="s">
        <v>1131</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2526</v>
      </c>
      <c r="B1" s="2585" t="s">
        <v>2527</v>
      </c>
      <c r="C1" s="1635" t="s">
        <v>2528</v>
      </c>
      <c r="D1" s="1622"/>
      <c r="E1" s="2586"/>
      <c r="F1" s="2587" t="s">
        <v>2529</v>
      </c>
      <c r="G1" s="1632" t="s">
        <v>2530</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1390</v>
      </c>
      <c r="B2" s="1419" t="e">
        <f ca="1">IF(C2="——",ROUND(C49*D3/10000,0),ROUND(C49*D3/10000,0)-D2)</f>
        <v>#DIV/0!</v>
      </c>
      <c r="C2" s="2589"/>
      <c r="D2" s="1366" t="e">
        <f ca="1">SUMIF(INDIRECT("'"&amp;F2&amp;"'"&amp;"!A:A"),"承租人权益价值",INDIRECT("'"&amp;F2&amp;"'"&amp;"!c:c"))</f>
        <v>#REF!</v>
      </c>
      <c r="E2" s="2590" t="s">
        <v>2531</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1391</v>
      </c>
      <c r="B3" s="398" t="e">
        <f ca="1">IF(C2="——",C49,ROUND(B2*10000/D3,0))</f>
        <v>#DIV/0!</v>
      </c>
      <c r="C3" s="399" t="s">
        <v>2532</v>
      </c>
      <c r="D3" s="398">
        <f>IF(D1="",'数据-汇总表'!E3,SUMIF('数据-汇总表'!$C19:$C33,D1,'数据-汇总表'!$E19:$E33))</f>
        <v>91239.85</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0" t="s">
        <v>2533</v>
      </c>
      <c r="B4" s="401"/>
      <c r="C4" s="3215" t="s">
        <v>2534</v>
      </c>
      <c r="D4" s="3216"/>
      <c r="E4" s="3217" t="s">
        <v>2535</v>
      </c>
      <c r="F4" s="3218"/>
      <c r="G4" s="3215" t="s">
        <v>2536</v>
      </c>
      <c r="H4" s="3216"/>
      <c r="I4" s="3215" t="s">
        <v>2537</v>
      </c>
      <c r="J4" s="3216"/>
      <c r="K4" s="2599" t="s">
        <v>2538</v>
      </c>
      <c r="L4" s="1131"/>
      <c r="M4" s="1132"/>
      <c r="N4" s="1132"/>
      <c r="O4" s="1132"/>
      <c r="P4" s="3219" t="s">
        <v>2539</v>
      </c>
      <c r="Q4" s="3220"/>
      <c r="R4" s="3202" t="s">
        <v>2535</v>
      </c>
      <c r="S4" s="3203"/>
      <c r="T4" s="3202" t="s">
        <v>2536</v>
      </c>
      <c r="U4" s="3203"/>
      <c r="V4" s="3227" t="s">
        <v>2537</v>
      </c>
      <c r="W4" s="3227"/>
      <c r="X4" s="1814"/>
      <c r="Y4" s="3202" t="s">
        <v>2539</v>
      </c>
      <c r="Z4" s="3203"/>
      <c r="AA4" s="3197" t="s">
        <v>2535</v>
      </c>
      <c r="AB4" s="3197" t="s">
        <v>2536</v>
      </c>
      <c r="AC4" s="3197" t="s">
        <v>2537</v>
      </c>
    </row>
    <row r="5" spans="1:29" ht="15">
      <c r="A5" s="403"/>
      <c r="B5" s="404"/>
      <c r="C5" s="3208" t="s">
        <v>2540</v>
      </c>
      <c r="D5" s="3209"/>
      <c r="E5" s="3206" t="s">
        <v>2541</v>
      </c>
      <c r="F5" s="3207"/>
      <c r="G5" s="3208" t="s">
        <v>2542</v>
      </c>
      <c r="H5" s="3209"/>
      <c r="I5" s="3208" t="s">
        <v>2543</v>
      </c>
      <c r="J5" s="3209"/>
      <c r="K5" s="2600"/>
      <c r="L5" s="1131"/>
      <c r="M5" s="1132"/>
      <c r="N5" s="1132"/>
      <c r="O5" s="1132"/>
      <c r="P5" s="3221"/>
      <c r="Q5" s="3222"/>
      <c r="R5" s="3204"/>
      <c r="S5" s="3205"/>
      <c r="T5" s="3204"/>
      <c r="U5" s="3205"/>
      <c r="V5" s="3227"/>
      <c r="W5" s="3227"/>
      <c r="X5" s="1814"/>
      <c r="Y5" s="3204"/>
      <c r="Z5" s="3205"/>
      <c r="AA5" s="3198"/>
      <c r="AB5" s="3198"/>
      <c r="AC5" s="3198"/>
    </row>
    <row r="6" spans="1:29" ht="15.75" thickBot="1">
      <c r="A6" s="405"/>
      <c r="B6" s="406"/>
      <c r="C6" s="3210" t="s">
        <v>2544</v>
      </c>
      <c r="D6" s="3211"/>
      <c r="E6" s="3212" t="s">
        <v>2544</v>
      </c>
      <c r="F6" s="3213"/>
      <c r="G6" s="3210" t="s">
        <v>2544</v>
      </c>
      <c r="H6" s="3211"/>
      <c r="I6" s="3210" t="s">
        <v>2544</v>
      </c>
      <c r="J6" s="3211"/>
      <c r="K6" s="2600" t="s">
        <v>2545</v>
      </c>
      <c r="L6" s="1131"/>
      <c r="M6" s="1132"/>
      <c r="N6" s="1132"/>
      <c r="O6" s="1132"/>
      <c r="P6" s="3223"/>
      <c r="Q6" s="3224"/>
      <c r="R6" s="3204"/>
      <c r="S6" s="3205"/>
      <c r="T6" s="3225"/>
      <c r="U6" s="3226"/>
      <c r="V6" s="3227"/>
      <c r="W6" s="3227"/>
      <c r="X6" s="1814"/>
      <c r="Y6" s="3225"/>
      <c r="Z6" s="3226"/>
      <c r="AA6" s="3199"/>
      <c r="AB6" s="3199"/>
      <c r="AC6" s="3199"/>
    </row>
    <row r="7" spans="1:29" s="116" customFormat="1" ht="15.75" thickBot="1">
      <c r="A7" s="407" t="s">
        <v>2546</v>
      </c>
      <c r="B7" s="408"/>
      <c r="C7" s="409">
        <f>'数据-取费表'!B2</f>
        <v>43546</v>
      </c>
      <c r="D7" s="410">
        <v>100</v>
      </c>
      <c r="E7" s="411"/>
      <c r="F7" s="412">
        <f>SUMIF(58:58,YEAR(E7)&amp;"-"&amp;MONTH(E7),59:59)</f>
        <v>0</v>
      </c>
      <c r="G7" s="411"/>
      <c r="H7" s="410">
        <f>SUMIF(58:58,YEAR(G7)&amp;"-"&amp;MONTH(G7),59:59)</f>
        <v>0</v>
      </c>
      <c r="I7" s="411"/>
      <c r="J7" s="410">
        <f>SUMIF(58:58,YEAR(I7)&amp;"-"&amp;MONTH(I7),59:59)</f>
        <v>0</v>
      </c>
      <c r="K7" s="2601"/>
      <c r="L7" s="1133"/>
      <c r="M7" s="1134"/>
      <c r="N7" s="1134"/>
      <c r="O7" s="1134"/>
      <c r="P7" s="3200" t="s">
        <v>2547</v>
      </c>
      <c r="Q7" s="3228"/>
      <c r="R7" s="768" t="s">
        <v>23</v>
      </c>
      <c r="S7" s="769">
        <f t="shared" ref="S7:S15" si="0">F7</f>
        <v>0</v>
      </c>
      <c r="T7" s="768" t="s">
        <v>23</v>
      </c>
      <c r="U7" s="769">
        <f t="shared" ref="U7:U15" si="1">H7</f>
        <v>0</v>
      </c>
      <c r="V7" s="768" t="s">
        <v>23</v>
      </c>
      <c r="W7" s="769">
        <f t="shared" ref="W7:W15" si="2">J7</f>
        <v>0</v>
      </c>
      <c r="X7" s="770"/>
      <c r="Y7" s="3200" t="s">
        <v>2547</v>
      </c>
      <c r="Z7" s="3201"/>
      <c r="AA7" s="771" t="e">
        <f>D7/F7</f>
        <v>#DIV/0!</v>
      </c>
      <c r="AB7" s="771" t="e">
        <f>D7/H7</f>
        <v>#DIV/0!</v>
      </c>
      <c r="AC7" s="771" t="e">
        <f>D7/J7</f>
        <v>#DIV/0!</v>
      </c>
    </row>
    <row r="8" spans="1:29" s="116" customFormat="1" ht="15.75" thickBot="1">
      <c r="A8" s="407" t="s">
        <v>2548</v>
      </c>
      <c r="B8" s="408"/>
      <c r="C8" s="413" t="s">
        <v>2549</v>
      </c>
      <c r="D8" s="410">
        <v>100</v>
      </c>
      <c r="E8" s="2602"/>
      <c r="F8" s="412">
        <f>SUMIF(61:61,E8,62:62)-SUMIF(61:61,C8,62:62)+100</f>
        <v>0</v>
      </c>
      <c r="G8" s="413"/>
      <c r="H8" s="410">
        <f>SUMIF(61:61,G8,62:62)-SUMIF(61:61,C8,62:62)+100</f>
        <v>0</v>
      </c>
      <c r="I8" s="2602"/>
      <c r="J8" s="410">
        <f>SUMIF(61:61,I8,62:62)-SUMIF(61:61,C8,62:62)+100</f>
        <v>0</v>
      </c>
      <c r="K8" s="2601"/>
      <c r="L8" s="1133"/>
      <c r="M8" s="1134"/>
      <c r="N8" s="1134"/>
      <c r="O8" s="1134"/>
      <c r="P8" s="3200" t="s">
        <v>2550</v>
      </c>
      <c r="Q8" s="3201"/>
      <c r="R8" s="768" t="s">
        <v>23</v>
      </c>
      <c r="S8" s="769">
        <f t="shared" si="0"/>
        <v>0</v>
      </c>
      <c r="T8" s="768" t="s">
        <v>23</v>
      </c>
      <c r="U8" s="769">
        <f t="shared" si="1"/>
        <v>0</v>
      </c>
      <c r="V8" s="768" t="s">
        <v>23</v>
      </c>
      <c r="W8" s="769">
        <f t="shared" si="2"/>
        <v>0</v>
      </c>
      <c r="X8" s="770"/>
      <c r="Y8" s="3200" t="s">
        <v>2550</v>
      </c>
      <c r="Z8" s="3201"/>
      <c r="AA8" s="771" t="e">
        <f t="shared" ref="AA8:AA19" si="3">D8/F8</f>
        <v>#DIV/0!</v>
      </c>
      <c r="AB8" s="771" t="e">
        <f t="shared" ref="AB8:AB19" si="4">D8/H8</f>
        <v>#DIV/0!</v>
      </c>
      <c r="AC8" s="771"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601"/>
      <c r="L9" s="1133"/>
      <c r="M9" s="1134"/>
      <c r="N9" s="1134"/>
      <c r="O9" s="1134"/>
      <c r="P9" s="3214" t="s">
        <v>2553</v>
      </c>
      <c r="Q9" s="1796" t="str">
        <f t="shared" ref="Q9:Q15" si="6">B9</f>
        <v>用途</v>
      </c>
      <c r="R9" s="768" t="s">
        <v>17</v>
      </c>
      <c r="S9" s="769">
        <f t="shared" si="0"/>
        <v>100</v>
      </c>
      <c r="T9" s="768" t="s">
        <v>17</v>
      </c>
      <c r="U9" s="769">
        <f t="shared" si="1"/>
        <v>100</v>
      </c>
      <c r="V9" s="768" t="s">
        <v>17</v>
      </c>
      <c r="W9" s="769">
        <f t="shared" si="2"/>
        <v>100</v>
      </c>
      <c r="X9" s="770"/>
      <c r="Y9" s="3047" t="s">
        <v>2554</v>
      </c>
      <c r="Z9" s="54" t="str">
        <f t="shared" ref="Z9:Z15" si="7">Q9</f>
        <v>用途</v>
      </c>
      <c r="AA9" s="771">
        <f t="shared" si="3"/>
        <v>1</v>
      </c>
      <c r="AB9" s="771">
        <f t="shared" si="4"/>
        <v>1</v>
      </c>
      <c r="AC9" s="771">
        <f t="shared" si="5"/>
        <v>1</v>
      </c>
    </row>
    <row r="10" spans="1:29" s="425" customFormat="1" ht="27">
      <c r="A10" s="419"/>
      <c r="B10" s="420" t="s">
        <v>2555</v>
      </c>
      <c r="C10" s="421"/>
      <c r="D10" s="135">
        <v>100</v>
      </c>
      <c r="E10" s="422"/>
      <c r="F10" s="423">
        <f>SUMIF(65:65,E10,66:66)-SUMIF(65:65,C10,66:66)+100</f>
        <v>100</v>
      </c>
      <c r="G10" s="421"/>
      <c r="H10" s="135">
        <f>SUMIF(65:65,G10,66:66)-SUMIF(65:65,C10,66:66)+100</f>
        <v>100</v>
      </c>
      <c r="I10" s="421"/>
      <c r="J10" s="135">
        <f>SUMIF(65:65,I10,66:66)-SUMIF(65:65,C10,66:66)+100</f>
        <v>100</v>
      </c>
      <c r="K10" s="424"/>
      <c r="L10" s="1136"/>
      <c r="M10" s="1137"/>
      <c r="N10" s="1137"/>
      <c r="O10" s="1137"/>
      <c r="P10" s="3214"/>
      <c r="Q10" s="1796" t="str">
        <f t="shared" si="6"/>
        <v>土地使用年限（年）</v>
      </c>
      <c r="R10" s="768" t="s">
        <v>17</v>
      </c>
      <c r="S10" s="769">
        <f t="shared" si="0"/>
        <v>100</v>
      </c>
      <c r="T10" s="768" t="s">
        <v>17</v>
      </c>
      <c r="U10" s="769">
        <f t="shared" si="1"/>
        <v>100</v>
      </c>
      <c r="V10" s="768" t="s">
        <v>17</v>
      </c>
      <c r="W10" s="769">
        <f t="shared" si="2"/>
        <v>100</v>
      </c>
      <c r="X10" s="770"/>
      <c r="Y10" s="3047"/>
      <c r="Z10" s="54" t="str">
        <f t="shared" si="7"/>
        <v>土地使用年限（年）</v>
      </c>
      <c r="AA10" s="771">
        <f t="shared" si="3"/>
        <v>1</v>
      </c>
      <c r="AB10" s="771">
        <f t="shared" si="4"/>
        <v>1</v>
      </c>
      <c r="AC10" s="771">
        <f t="shared" si="5"/>
        <v>1</v>
      </c>
    </row>
    <row r="11" spans="1:29" ht="15">
      <c r="A11" s="426"/>
      <c r="B11" s="420" t="s">
        <v>2556</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9"/>
      <c r="M11" s="1132"/>
      <c r="N11" s="1132"/>
      <c r="O11" s="1132"/>
      <c r="P11" s="3214"/>
      <c r="Q11" s="1796" t="str">
        <f t="shared" si="6"/>
        <v>容积率</v>
      </c>
      <c r="R11" s="768" t="s">
        <v>21</v>
      </c>
      <c r="S11" s="769" t="e">
        <f t="shared" si="0"/>
        <v>#N/A</v>
      </c>
      <c r="T11" s="768" t="s">
        <v>21</v>
      </c>
      <c r="U11" s="769" t="e">
        <f t="shared" si="1"/>
        <v>#N/A</v>
      </c>
      <c r="V11" s="768" t="s">
        <v>21</v>
      </c>
      <c r="W11" s="769" t="e">
        <f t="shared" si="2"/>
        <v>#N/A</v>
      </c>
      <c r="X11" s="770"/>
      <c r="Y11" s="3047"/>
      <c r="Z11" s="54" t="str">
        <f t="shared" si="7"/>
        <v>容积率</v>
      </c>
      <c r="AA11" s="771" t="e">
        <f t="shared" si="3"/>
        <v>#N/A</v>
      </c>
      <c r="AB11" s="771" t="e">
        <f t="shared" si="4"/>
        <v>#N/A</v>
      </c>
      <c r="AC11" s="771" t="e">
        <f t="shared" si="5"/>
        <v>#N/A</v>
      </c>
    </row>
    <row r="12" spans="1:29" s="116" customFormat="1" ht="15">
      <c r="A12" s="429"/>
      <c r="B12" s="2603">
        <v>111</v>
      </c>
      <c r="C12" s="430"/>
      <c r="D12" s="431">
        <v>100</v>
      </c>
      <c r="E12" s="430"/>
      <c r="F12" s="423">
        <f>SUMIF(70:70,E12,71:71)-SUMIF(70:70,C12,71:71)+100</f>
        <v>100</v>
      </c>
      <c r="G12" s="430"/>
      <c r="H12" s="135">
        <f>SUMIF(70:70,G12,71:71)-SUMIF(70:70,C12,71:71)+100</f>
        <v>100</v>
      </c>
      <c r="I12" s="430"/>
      <c r="J12" s="135">
        <f>SUMIF(70:70,I12,71:71)-SUMIF(70:70,C12,71:71)+100</f>
        <v>100</v>
      </c>
      <c r="K12" s="2604"/>
      <c r="L12" s="1133"/>
      <c r="M12" s="1134"/>
      <c r="N12" s="1134"/>
      <c r="O12" s="1134"/>
      <c r="P12" s="3214"/>
      <c r="Q12" s="1796">
        <f t="shared" si="6"/>
        <v>111</v>
      </c>
      <c r="R12" s="768" t="s">
        <v>21</v>
      </c>
      <c r="S12" s="769">
        <f t="shared" si="0"/>
        <v>100</v>
      </c>
      <c r="T12" s="768" t="s">
        <v>21</v>
      </c>
      <c r="U12" s="769">
        <f t="shared" si="1"/>
        <v>100</v>
      </c>
      <c r="V12" s="768" t="s">
        <v>21</v>
      </c>
      <c r="W12" s="769">
        <f t="shared" si="2"/>
        <v>100</v>
      </c>
      <c r="X12" s="770"/>
      <c r="Y12" s="3047"/>
      <c r="Z12" s="54">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2604"/>
      <c r="L13" s="1141"/>
      <c r="M13" s="1132"/>
      <c r="N13" s="1132"/>
      <c r="O13" s="1132"/>
      <c r="P13" s="3214"/>
      <c r="Q13" s="1796">
        <f t="shared" si="6"/>
        <v>111</v>
      </c>
      <c r="R13" s="768" t="s">
        <v>21</v>
      </c>
      <c r="S13" s="769">
        <f t="shared" si="0"/>
        <v>100</v>
      </c>
      <c r="T13" s="768" t="s">
        <v>21</v>
      </c>
      <c r="U13" s="769">
        <f t="shared" si="1"/>
        <v>100</v>
      </c>
      <c r="V13" s="768" t="s">
        <v>21</v>
      </c>
      <c r="W13" s="769">
        <f t="shared" si="2"/>
        <v>100</v>
      </c>
      <c r="X13" s="770"/>
      <c r="Y13" s="3047"/>
      <c r="Z13" s="54">
        <f t="shared" si="7"/>
        <v>111</v>
      </c>
      <c r="AA13" s="771">
        <f t="shared" si="3"/>
        <v>1</v>
      </c>
      <c r="AB13" s="771">
        <f t="shared" si="4"/>
        <v>1</v>
      </c>
      <c r="AC13" s="771">
        <f t="shared" si="5"/>
        <v>1</v>
      </c>
    </row>
    <row r="14" spans="1:29" ht="15.75" thickBot="1">
      <c r="A14" s="434"/>
      <c r="B14" s="2605">
        <v>111</v>
      </c>
      <c r="C14" s="435"/>
      <c r="D14" s="436">
        <v>100</v>
      </c>
      <c r="E14" s="435"/>
      <c r="F14" s="437">
        <f>SUMIF(74:74,E14,75:75)-SUMIF(74:74,C14,75:75)+100</f>
        <v>100</v>
      </c>
      <c r="G14" s="435"/>
      <c r="H14" s="436">
        <f>SUMIF(74:74,G14,75:75)-SUMIF(74:74,C14,75:75)+100</f>
        <v>100</v>
      </c>
      <c r="I14" s="435"/>
      <c r="J14" s="436">
        <f>SUMIF(74:74,I14,75:75)-SUMIF(74:74,C14,75:75)+100</f>
        <v>100</v>
      </c>
      <c r="K14" s="2604"/>
      <c r="L14" s="1141"/>
      <c r="M14" s="1132"/>
      <c r="N14" s="1132"/>
      <c r="O14" s="1132"/>
      <c r="P14" s="3214"/>
      <c r="Q14" s="1796">
        <f t="shared" si="6"/>
        <v>111</v>
      </c>
      <c r="R14" s="768" t="s">
        <v>21</v>
      </c>
      <c r="S14" s="769">
        <f t="shared" si="0"/>
        <v>100</v>
      </c>
      <c r="T14" s="768" t="s">
        <v>21</v>
      </c>
      <c r="U14" s="769">
        <f t="shared" si="1"/>
        <v>100</v>
      </c>
      <c r="V14" s="768" t="s">
        <v>21</v>
      </c>
      <c r="W14" s="769">
        <f t="shared" si="2"/>
        <v>100</v>
      </c>
      <c r="X14" s="770"/>
      <c r="Y14" s="3047"/>
      <c r="Z14" s="54">
        <f t="shared" si="7"/>
        <v>111</v>
      </c>
      <c r="AA14" s="771">
        <f t="shared" si="3"/>
        <v>1</v>
      </c>
      <c r="AB14" s="771">
        <f t="shared" si="4"/>
        <v>1</v>
      </c>
      <c r="AC14" s="771">
        <f t="shared" si="5"/>
        <v>1</v>
      </c>
    </row>
    <row r="15" spans="1:29" ht="99.75">
      <c r="A15" s="438" t="s">
        <v>2557</v>
      </c>
      <c r="B15" s="68" t="s">
        <v>2085</v>
      </c>
      <c r="C15" s="2606"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41" t="s">
        <v>2558</v>
      </c>
      <c r="Q15" s="1811" t="str">
        <f t="shared" si="6"/>
        <v>居住社区成熟度</v>
      </c>
      <c r="R15" s="772" t="s">
        <v>21</v>
      </c>
      <c r="S15" s="773">
        <f t="shared" si="0"/>
        <v>100</v>
      </c>
      <c r="T15" s="772" t="s">
        <v>21</v>
      </c>
      <c r="U15" s="773">
        <f t="shared" si="1"/>
        <v>100</v>
      </c>
      <c r="V15" s="772" t="s">
        <v>21</v>
      </c>
      <c r="W15" s="773">
        <f t="shared" si="2"/>
        <v>100</v>
      </c>
      <c r="X15" s="1814"/>
      <c r="Y15" s="3234" t="s">
        <v>2558</v>
      </c>
      <c r="Z15" s="1815" t="str">
        <f t="shared" si="7"/>
        <v>居住社区成熟度</v>
      </c>
      <c r="AA15" s="1812">
        <f t="shared" si="3"/>
        <v>1</v>
      </c>
      <c r="AB15" s="1812">
        <f t="shared" si="4"/>
        <v>1</v>
      </c>
      <c r="AC15" s="1812">
        <f t="shared" si="5"/>
        <v>1</v>
      </c>
    </row>
    <row r="16" spans="1:29" ht="15">
      <c r="A16" s="426"/>
      <c r="B16" s="444"/>
      <c r="C16" s="445"/>
      <c r="D16" s="446"/>
      <c r="E16" s="2607"/>
      <c r="F16" s="446"/>
      <c r="G16" s="2608"/>
      <c r="H16" s="448"/>
      <c r="I16" s="2608"/>
      <c r="J16" s="446"/>
      <c r="K16" s="2609"/>
      <c r="L16" s="1141"/>
      <c r="M16" s="1132"/>
      <c r="N16" s="1132"/>
      <c r="O16" s="1132"/>
      <c r="P16" s="3242"/>
      <c r="Q16" s="1811"/>
      <c r="R16" s="772"/>
      <c r="S16" s="773"/>
      <c r="T16" s="772"/>
      <c r="U16" s="773"/>
      <c r="V16" s="772"/>
      <c r="W16" s="773"/>
      <c r="X16" s="1814"/>
      <c r="Y16" s="3235"/>
      <c r="Z16" s="1815"/>
      <c r="AA16" s="1812">
        <v>1</v>
      </c>
      <c r="AB16" s="1812">
        <v>1</v>
      </c>
      <c r="AC16" s="1812">
        <v>1</v>
      </c>
    </row>
    <row r="17" spans="1:29" ht="85.5">
      <c r="A17" s="426"/>
      <c r="B17" s="449" t="s">
        <v>2097</v>
      </c>
      <c r="C17" s="2610"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42"/>
      <c r="Q17" s="1811" t="str">
        <f>B17</f>
        <v>交通便捷度</v>
      </c>
      <c r="R17" s="772" t="s">
        <v>21</v>
      </c>
      <c r="S17" s="773">
        <f>F17</f>
        <v>100</v>
      </c>
      <c r="T17" s="772" t="s">
        <v>21</v>
      </c>
      <c r="U17" s="773">
        <f>H17</f>
        <v>100</v>
      </c>
      <c r="V17" s="772" t="s">
        <v>21</v>
      </c>
      <c r="W17" s="773">
        <f>J17</f>
        <v>100</v>
      </c>
      <c r="X17" s="1814"/>
      <c r="Y17" s="3235"/>
      <c r="Z17" s="1815" t="str">
        <f>Q17</f>
        <v>交通便捷度</v>
      </c>
      <c r="AA17" s="1812">
        <f t="shared" si="3"/>
        <v>1</v>
      </c>
      <c r="AB17" s="1812">
        <f t="shared" si="4"/>
        <v>1</v>
      </c>
      <c r="AC17" s="1812">
        <f t="shared" si="5"/>
        <v>1</v>
      </c>
    </row>
    <row r="18" spans="1:29" ht="15">
      <c r="A18" s="426"/>
      <c r="B18" s="454"/>
      <c r="C18" s="2611"/>
      <c r="D18" s="448"/>
      <c r="E18" s="2612"/>
      <c r="F18" s="448"/>
      <c r="G18" s="2613"/>
      <c r="H18" s="446"/>
      <c r="I18" s="2613"/>
      <c r="J18" s="446"/>
      <c r="K18" s="2609"/>
      <c r="L18" s="1141"/>
      <c r="M18" s="1132"/>
      <c r="N18" s="1132"/>
      <c r="O18" s="1132"/>
      <c r="P18" s="3242"/>
      <c r="Q18" s="1811"/>
      <c r="R18" s="772"/>
      <c r="S18" s="773"/>
      <c r="T18" s="772"/>
      <c r="U18" s="773"/>
      <c r="V18" s="772"/>
      <c r="W18" s="773"/>
      <c r="X18" s="1814"/>
      <c r="Y18" s="3235"/>
      <c r="Z18" s="1815"/>
      <c r="AA18" s="1812">
        <v>1</v>
      </c>
      <c r="AB18" s="1812">
        <v>1</v>
      </c>
      <c r="AC18" s="1812">
        <v>1</v>
      </c>
    </row>
    <row r="19" spans="1:29" ht="42.75">
      <c r="A19" s="426"/>
      <c r="B19" s="449" t="s">
        <v>2095</v>
      </c>
      <c r="C19" s="2610"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42"/>
      <c r="Q19" s="1811" t="str">
        <f>B19</f>
        <v>公共配套设施</v>
      </c>
      <c r="R19" s="772" t="s">
        <v>21</v>
      </c>
      <c r="S19" s="773">
        <f>F19</f>
        <v>100</v>
      </c>
      <c r="T19" s="772" t="s">
        <v>21</v>
      </c>
      <c r="U19" s="773">
        <f>H19</f>
        <v>100</v>
      </c>
      <c r="V19" s="772" t="s">
        <v>21</v>
      </c>
      <c r="W19" s="773">
        <f>J19</f>
        <v>100</v>
      </c>
      <c r="X19" s="1814"/>
      <c r="Y19" s="3235"/>
      <c r="Z19" s="1815" t="str">
        <f>Q19</f>
        <v>公共配套设施</v>
      </c>
      <c r="AA19" s="1812">
        <f t="shared" si="3"/>
        <v>1</v>
      </c>
      <c r="AB19" s="1812">
        <f t="shared" si="4"/>
        <v>1</v>
      </c>
      <c r="AC19" s="1812">
        <f t="shared" si="5"/>
        <v>1</v>
      </c>
    </row>
    <row r="20" spans="1:29" ht="15">
      <c r="A20" s="426"/>
      <c r="B20" s="454"/>
      <c r="C20" s="445"/>
      <c r="D20" s="446"/>
      <c r="E20" s="2607"/>
      <c r="F20" s="446"/>
      <c r="G20" s="2608"/>
      <c r="H20" s="446"/>
      <c r="I20" s="2608"/>
      <c r="J20" s="446"/>
      <c r="K20" s="2609"/>
      <c r="L20" s="1141"/>
      <c r="M20" s="1132"/>
      <c r="N20" s="1132"/>
      <c r="O20" s="1132"/>
      <c r="P20" s="3242"/>
      <c r="Q20" s="1811"/>
      <c r="R20" s="772"/>
      <c r="S20" s="773"/>
      <c r="T20" s="772"/>
      <c r="U20" s="773"/>
      <c r="V20" s="772"/>
      <c r="W20" s="773"/>
      <c r="X20" s="1814"/>
      <c r="Y20" s="3235"/>
      <c r="Z20" s="1815"/>
      <c r="AA20" s="1812">
        <v>1</v>
      </c>
      <c r="AB20" s="1812">
        <v>1</v>
      </c>
      <c r="AC20" s="1812">
        <v>1</v>
      </c>
    </row>
    <row r="21" spans="1:29" ht="28.5">
      <c r="A21" s="426"/>
      <c r="B21" s="1385" t="s">
        <v>2098</v>
      </c>
      <c r="C21" s="2610"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42"/>
      <c r="Q21" s="1811" t="str">
        <f>B21</f>
        <v>基础设施水平</v>
      </c>
      <c r="R21" s="772" t="s">
        <v>17</v>
      </c>
      <c r="S21" s="773">
        <f>F21</f>
        <v>100</v>
      </c>
      <c r="T21" s="772" t="s">
        <v>17</v>
      </c>
      <c r="U21" s="773">
        <f>H21</f>
        <v>100</v>
      </c>
      <c r="V21" s="772" t="s">
        <v>17</v>
      </c>
      <c r="W21" s="773">
        <f>J21</f>
        <v>100</v>
      </c>
      <c r="X21" s="1814"/>
      <c r="Y21" s="3235"/>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6"/>
      <c r="G22" s="2614"/>
      <c r="H22" s="446"/>
      <c r="I22" s="445"/>
      <c r="J22" s="446"/>
      <c r="K22" s="2615"/>
      <c r="L22" s="1141"/>
      <c r="M22" s="1132"/>
      <c r="N22" s="1132"/>
      <c r="O22" s="1132"/>
      <c r="P22" s="3242"/>
      <c r="Q22" s="1811"/>
      <c r="R22" s="772"/>
      <c r="S22" s="773"/>
      <c r="T22" s="772"/>
      <c r="U22" s="773"/>
      <c r="V22" s="772"/>
      <c r="W22" s="773"/>
      <c r="X22" s="1814"/>
      <c r="Y22" s="3235"/>
      <c r="Z22" s="1815"/>
      <c r="AA22" s="1812">
        <v>1</v>
      </c>
      <c r="AB22" s="1812">
        <v>1</v>
      </c>
      <c r="AC22" s="1812">
        <v>1</v>
      </c>
    </row>
    <row r="23" spans="1:29" ht="57">
      <c r="A23" s="426"/>
      <c r="B23" s="449" t="s">
        <v>2102</v>
      </c>
      <c r="C23" s="261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42"/>
      <c r="Q23" s="1811" t="str">
        <f>B23</f>
        <v>自然及人文环境</v>
      </c>
      <c r="R23" s="772" t="s">
        <v>21</v>
      </c>
      <c r="S23" s="773">
        <f>F23</f>
        <v>100</v>
      </c>
      <c r="T23" s="772" t="s">
        <v>21</v>
      </c>
      <c r="U23" s="773">
        <f>H23</f>
        <v>100</v>
      </c>
      <c r="V23" s="772" t="s">
        <v>21</v>
      </c>
      <c r="W23" s="773">
        <f>J23</f>
        <v>100</v>
      </c>
      <c r="X23" s="1814"/>
      <c r="Y23" s="3235"/>
      <c r="Z23" s="1815" t="str">
        <f>Q23</f>
        <v>自然及人文环境</v>
      </c>
      <c r="AA23" s="1812">
        <f>D23/F23</f>
        <v>1</v>
      </c>
      <c r="AB23" s="1812">
        <f>D23/H23</f>
        <v>1</v>
      </c>
      <c r="AC23" s="1812">
        <f>D23/J23</f>
        <v>1</v>
      </c>
    </row>
    <row r="24" spans="1:29" ht="15">
      <c r="A24" s="426"/>
      <c r="B24" s="454"/>
      <c r="C24" s="445"/>
      <c r="D24" s="446"/>
      <c r="E24" s="2607"/>
      <c r="F24" s="446"/>
      <c r="G24" s="2608"/>
      <c r="H24" s="446"/>
      <c r="I24" s="2608"/>
      <c r="J24" s="446"/>
      <c r="K24" s="2609"/>
      <c r="L24" s="1141"/>
      <c r="M24" s="1132"/>
      <c r="N24" s="1132"/>
      <c r="O24" s="1132"/>
      <c r="P24" s="3242"/>
      <c r="Q24" s="1811"/>
      <c r="R24" s="772"/>
      <c r="S24" s="773"/>
      <c r="T24" s="772"/>
      <c r="U24" s="773"/>
      <c r="V24" s="772"/>
      <c r="W24" s="773"/>
      <c r="X24" s="1814"/>
      <c r="Y24" s="3235"/>
      <c r="Z24" s="1815"/>
      <c r="AA24" s="1812">
        <v>1</v>
      </c>
      <c r="AB24" s="1812">
        <v>1</v>
      </c>
      <c r="AC24" s="1812">
        <v>1</v>
      </c>
    </row>
    <row r="25" spans="1:29" ht="15">
      <c r="A25" s="426"/>
      <c r="B25" s="420" t="s">
        <v>2559</v>
      </c>
      <c r="C25" s="458"/>
      <c r="D25" s="433">
        <v>100</v>
      </c>
      <c r="E25" s="2616"/>
      <c r="F25" s="433">
        <f>SUMIF(86:86,E25,87:87)-SUMIF(86:86,C25,87:87)+100</f>
        <v>100</v>
      </c>
      <c r="G25" s="2617"/>
      <c r="H25" s="433">
        <f>SUMIF(86:86,G25,87:87)-SUMIF(86:86,C25,87:87)+100</f>
        <v>100</v>
      </c>
      <c r="I25" s="2617"/>
      <c r="J25" s="433">
        <f>SUMIF(86:86,I25,87:87)-SUMIF(86:86,C25,87:87)+100</f>
        <v>100</v>
      </c>
      <c r="K25" s="424"/>
      <c r="L25" s="1141"/>
      <c r="M25" s="1132"/>
      <c r="N25" s="1132"/>
      <c r="O25" s="1132"/>
      <c r="P25" s="3242"/>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35"/>
      <c r="Z25" s="1815" t="str">
        <f>Q25</f>
        <v>楼层-1</v>
      </c>
      <c r="AA25" s="1812">
        <f t="shared" ref="AA25:AA46" si="15">D25/F25</f>
        <v>1</v>
      </c>
      <c r="AB25" s="1812">
        <f t="shared" ref="AB25:AB46" si="16">D25/H25</f>
        <v>1</v>
      </c>
      <c r="AC25" s="1812">
        <f t="shared" ref="AC25:AC46" si="17">D25/J25</f>
        <v>1</v>
      </c>
    </row>
    <row r="26" spans="1:29" ht="15">
      <c r="A26" s="426"/>
      <c r="B26" s="420" t="s">
        <v>2560</v>
      </c>
      <c r="C26" s="458"/>
      <c r="D26" s="433">
        <v>100</v>
      </c>
      <c r="E26" s="2616"/>
      <c r="F26" s="433">
        <f>SUMIF(88:88,E26,89:89)-SUMIF(88:88,C26,89:89)+100</f>
        <v>100</v>
      </c>
      <c r="G26" s="2617"/>
      <c r="H26" s="433">
        <f>SUMIF(88:88,G26,89:89)-SUMIF(88:88,C26,89:89)+100</f>
        <v>100</v>
      </c>
      <c r="I26" s="2617"/>
      <c r="J26" s="433">
        <f>SUMIF(88:88,I26,89:89)-SUMIF(88:88,C26,89:89)+100</f>
        <v>100</v>
      </c>
      <c r="K26" s="424"/>
      <c r="L26" s="1141"/>
      <c r="M26" s="1132"/>
      <c r="N26" s="1132"/>
      <c r="O26" s="1132"/>
      <c r="P26" s="3242"/>
      <c r="Q26" s="1811" t="str">
        <f t="shared" si="11"/>
        <v>朝向</v>
      </c>
      <c r="R26" s="772" t="s">
        <v>21</v>
      </c>
      <c r="S26" s="773">
        <f t="shared" si="12"/>
        <v>100</v>
      </c>
      <c r="T26" s="772" t="s">
        <v>21</v>
      </c>
      <c r="U26" s="773">
        <f t="shared" si="13"/>
        <v>100</v>
      </c>
      <c r="V26" s="772" t="s">
        <v>21</v>
      </c>
      <c r="W26" s="773">
        <f t="shared" si="14"/>
        <v>100</v>
      </c>
      <c r="X26" s="1814"/>
      <c r="Y26" s="3235"/>
      <c r="Z26" s="1815" t="str">
        <f>Q26</f>
        <v>朝向</v>
      </c>
      <c r="AA26" s="1812">
        <f t="shared" si="15"/>
        <v>1</v>
      </c>
      <c r="AB26" s="1812">
        <f t="shared" si="16"/>
        <v>1</v>
      </c>
      <c r="AC26" s="1812">
        <f t="shared" si="17"/>
        <v>1</v>
      </c>
    </row>
    <row r="27" spans="1:29" s="116"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4"/>
      <c r="L27" s="1133"/>
      <c r="M27" s="1134"/>
      <c r="N27" s="1134"/>
      <c r="O27" s="1134"/>
      <c r="P27" s="3242"/>
      <c r="Q27" s="1796">
        <f t="shared" si="11"/>
        <v>111</v>
      </c>
      <c r="R27" s="768" t="s">
        <v>21</v>
      </c>
      <c r="S27" s="769">
        <f t="shared" si="12"/>
        <v>100</v>
      </c>
      <c r="T27" s="768" t="s">
        <v>21</v>
      </c>
      <c r="U27" s="769">
        <f t="shared" si="13"/>
        <v>100</v>
      </c>
      <c r="V27" s="768" t="s">
        <v>21</v>
      </c>
      <c r="W27" s="769">
        <f t="shared" si="14"/>
        <v>100</v>
      </c>
      <c r="X27" s="770"/>
      <c r="Y27" s="3235"/>
      <c r="Z27" s="54">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8"/>
      <c r="H28" s="433">
        <f>SUMIF(92:92,G28,93:93)-SUMIF(92:92,C28,93:93)+100</f>
        <v>100</v>
      </c>
      <c r="I28" s="432"/>
      <c r="J28" s="433">
        <f>SUMIF(92:92,I28,93:93)-SUMIF(92:92,C28,93:93)+100</f>
        <v>100</v>
      </c>
      <c r="K28" s="2604"/>
      <c r="L28" s="1141"/>
      <c r="M28" s="1132"/>
      <c r="N28" s="1132"/>
      <c r="O28" s="1132"/>
      <c r="P28" s="3242"/>
      <c r="Q28" s="1811">
        <f t="shared" si="11"/>
        <v>111</v>
      </c>
      <c r="R28" s="772" t="s">
        <v>21</v>
      </c>
      <c r="S28" s="773">
        <f t="shared" si="12"/>
        <v>100</v>
      </c>
      <c r="T28" s="772" t="s">
        <v>21</v>
      </c>
      <c r="U28" s="773">
        <f t="shared" si="13"/>
        <v>100</v>
      </c>
      <c r="V28" s="772" t="s">
        <v>21</v>
      </c>
      <c r="W28" s="773">
        <f t="shared" si="14"/>
        <v>100</v>
      </c>
      <c r="X28" s="1814"/>
      <c r="Y28" s="3235"/>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8"/>
      <c r="H29" s="433">
        <f>SUMIF(94:94,G29,95:95)-SUMIF(94:94,C29,95:95)+100</f>
        <v>100</v>
      </c>
      <c r="I29" s="432"/>
      <c r="J29" s="433">
        <f>SUMIF(94:94,I29,95:95)-SUMIF(94:94,C29,95:95)+100</f>
        <v>100</v>
      </c>
      <c r="K29" s="2604"/>
      <c r="L29" s="1141"/>
      <c r="M29" s="1132"/>
      <c r="N29" s="1132"/>
      <c r="O29" s="1132"/>
      <c r="P29" s="3242"/>
      <c r="Q29" s="1811">
        <f t="shared" si="11"/>
        <v>111</v>
      </c>
      <c r="R29" s="772" t="s">
        <v>21</v>
      </c>
      <c r="S29" s="773">
        <f t="shared" si="12"/>
        <v>100</v>
      </c>
      <c r="T29" s="772" t="s">
        <v>21</v>
      </c>
      <c r="U29" s="773">
        <f t="shared" si="13"/>
        <v>100</v>
      </c>
      <c r="V29" s="772" t="s">
        <v>21</v>
      </c>
      <c r="W29" s="773">
        <f t="shared" si="14"/>
        <v>100</v>
      </c>
      <c r="X29" s="1814"/>
      <c r="Y29" s="3235"/>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8"/>
      <c r="H30" s="433">
        <f>SUMIF(96:96,G30,97:97)-SUMIF(96:96,C30,97:97)+100</f>
        <v>100</v>
      </c>
      <c r="I30" s="432"/>
      <c r="J30" s="433">
        <f>SUMIF(96:96,I30,97:97)-SUMIF(96:96,C30,97:97)+100</f>
        <v>100</v>
      </c>
      <c r="K30" s="2604"/>
      <c r="L30" s="1141"/>
      <c r="M30" s="1132"/>
      <c r="N30" s="1132"/>
      <c r="O30" s="1132"/>
      <c r="P30" s="3242"/>
      <c r="Q30" s="1811">
        <f t="shared" si="11"/>
        <v>111</v>
      </c>
      <c r="R30" s="772" t="s">
        <v>21</v>
      </c>
      <c r="S30" s="773">
        <f t="shared" si="12"/>
        <v>100</v>
      </c>
      <c r="T30" s="772" t="s">
        <v>21</v>
      </c>
      <c r="U30" s="773">
        <f t="shared" si="13"/>
        <v>100</v>
      </c>
      <c r="V30" s="772" t="s">
        <v>21</v>
      </c>
      <c r="W30" s="773">
        <f t="shared" si="14"/>
        <v>100</v>
      </c>
      <c r="X30" s="1814"/>
      <c r="Y30" s="3235"/>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19"/>
      <c r="H31" s="436">
        <f>SUMIF(98:98,G31,99:99)-SUMIF(98:98,C31,99:99)+100</f>
        <v>100</v>
      </c>
      <c r="I31" s="435"/>
      <c r="J31" s="436">
        <f>SUMIF(98:98,I31,99:99)-SUMIF(98:98,C31,99:99)+100</f>
        <v>100</v>
      </c>
      <c r="K31" s="2604"/>
      <c r="L31" s="1141"/>
      <c r="M31" s="1132"/>
      <c r="N31" s="1132"/>
      <c r="O31" s="1132"/>
      <c r="P31" s="3242"/>
      <c r="Q31" s="1811">
        <f t="shared" si="11"/>
        <v>111</v>
      </c>
      <c r="R31" s="772" t="s">
        <v>21</v>
      </c>
      <c r="S31" s="773">
        <f t="shared" si="12"/>
        <v>100</v>
      </c>
      <c r="T31" s="772" t="s">
        <v>21</v>
      </c>
      <c r="U31" s="773">
        <f t="shared" si="13"/>
        <v>100</v>
      </c>
      <c r="V31" s="772" t="s">
        <v>21</v>
      </c>
      <c r="W31" s="773">
        <f t="shared" si="14"/>
        <v>100</v>
      </c>
      <c r="X31" s="1814"/>
      <c r="Y31" s="3235"/>
      <c r="Z31" s="1815">
        <f t="shared" si="18"/>
        <v>111</v>
      </c>
      <c r="AA31" s="1812">
        <f t="shared" si="15"/>
        <v>1</v>
      </c>
      <c r="AB31" s="1812">
        <f t="shared" si="16"/>
        <v>1</v>
      </c>
      <c r="AC31" s="1812">
        <f t="shared" si="17"/>
        <v>1</v>
      </c>
    </row>
    <row r="32" spans="1:29" ht="15">
      <c r="A32" s="438" t="s">
        <v>2561</v>
      </c>
      <c r="B32" s="70" t="s">
        <v>2562</v>
      </c>
      <c r="C32" s="2620"/>
      <c r="D32" s="465">
        <v>100</v>
      </c>
      <c r="E32" s="2621"/>
      <c r="F32" s="459">
        <f>SUMIF(100:100,E32,101:101)-SUMIF(100:100,C32,101:101)+100</f>
        <v>100</v>
      </c>
      <c r="G32" s="2620"/>
      <c r="H32" s="465">
        <f>SUMIF(100:100,G32,101:101)-SUMIF(100:100,C32,101:101)+100</f>
        <v>100</v>
      </c>
      <c r="I32" s="2621"/>
      <c r="J32" s="433">
        <f>SUMIF(100:100,I32,101:101)-SUMIF(100:100,C32,101:101)+100</f>
        <v>100</v>
      </c>
      <c r="K32" s="424"/>
      <c r="L32" s="1141"/>
      <c r="M32" s="1132"/>
      <c r="N32" s="1132"/>
      <c r="O32" s="1132"/>
      <c r="P32" s="3236" t="s">
        <v>2563</v>
      </c>
      <c r="Q32" s="1811" t="str">
        <f t="shared" si="11"/>
        <v>建筑类型</v>
      </c>
      <c r="R32" s="772" t="s">
        <v>21</v>
      </c>
      <c r="S32" s="773">
        <f t="shared" si="12"/>
        <v>100</v>
      </c>
      <c r="T32" s="772" t="s">
        <v>21</v>
      </c>
      <c r="U32" s="773">
        <f t="shared" si="13"/>
        <v>100</v>
      </c>
      <c r="V32" s="772" t="s">
        <v>21</v>
      </c>
      <c r="W32" s="773">
        <f t="shared" si="14"/>
        <v>100</v>
      </c>
      <c r="X32" s="1814"/>
      <c r="Y32" s="3239" t="s">
        <v>2563</v>
      </c>
      <c r="Z32" s="1815" t="str">
        <f t="shared" si="18"/>
        <v>建筑类型</v>
      </c>
      <c r="AA32" s="1812">
        <f t="shared" si="15"/>
        <v>1</v>
      </c>
      <c r="AB32" s="1812">
        <f t="shared" si="16"/>
        <v>1</v>
      </c>
      <c r="AC32" s="1812">
        <f t="shared" si="17"/>
        <v>1</v>
      </c>
    </row>
    <row r="33" spans="1:29" s="469" customFormat="1" ht="15">
      <c r="A33" s="466"/>
      <c r="B33" s="420" t="s">
        <v>2564</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604"/>
      <c r="L33" s="1139"/>
      <c r="M33" s="1142"/>
      <c r="N33" s="1142"/>
      <c r="O33" s="1142"/>
      <c r="P33" s="3237"/>
      <c r="Q33" s="774" t="str">
        <f t="shared" si="11"/>
        <v>项目建筑规模</v>
      </c>
      <c r="R33" s="775" t="s">
        <v>21</v>
      </c>
      <c r="S33" s="776" t="e">
        <f t="shared" si="12"/>
        <v>#N/A</v>
      </c>
      <c r="T33" s="775" t="s">
        <v>21</v>
      </c>
      <c r="U33" s="776" t="e">
        <f t="shared" si="13"/>
        <v>#N/A</v>
      </c>
      <c r="V33" s="775" t="s">
        <v>21</v>
      </c>
      <c r="W33" s="776" t="e">
        <f t="shared" si="14"/>
        <v>#N/A</v>
      </c>
      <c r="X33" s="777"/>
      <c r="Y33" s="3239"/>
      <c r="Z33" s="778" t="str">
        <f t="shared" si="18"/>
        <v>项目建筑规模</v>
      </c>
      <c r="AA33" s="1812" t="e">
        <f t="shared" si="15"/>
        <v>#N/A</v>
      </c>
      <c r="AB33" s="1812" t="e">
        <f t="shared" si="16"/>
        <v>#N/A</v>
      </c>
      <c r="AC33" s="1812" t="e">
        <f t="shared" si="17"/>
        <v>#N/A</v>
      </c>
    </row>
    <row r="34" spans="1:29" ht="15">
      <c r="A34" s="470"/>
      <c r="B34" s="420" t="s">
        <v>2565</v>
      </c>
      <c r="C34" s="2622"/>
      <c r="D34" s="433">
        <v>100</v>
      </c>
      <c r="E34" s="2623"/>
      <c r="F34" s="459">
        <f>SUMIF(105:105,E34,106:106)-SUMIF(105:105,C34,106:106)+100</f>
        <v>100</v>
      </c>
      <c r="G34" s="2622"/>
      <c r="H34" s="433">
        <f>SUMIF(105:105,G34,106:106)-SUMIF(105:105,C34,106:106)+100</f>
        <v>100</v>
      </c>
      <c r="I34" s="2623"/>
      <c r="J34" s="433">
        <f>SUMIF(105:105,I34,106:106)-SUMIF(105:105,C34,106:106)+100</f>
        <v>100</v>
      </c>
      <c r="K34" s="424"/>
      <c r="L34" s="1141"/>
      <c r="M34" s="1132"/>
      <c r="N34" s="1132"/>
      <c r="O34" s="1132"/>
      <c r="P34" s="3237"/>
      <c r="Q34" s="1811" t="str">
        <f t="shared" si="11"/>
        <v>建筑结构</v>
      </c>
      <c r="R34" s="772" t="s">
        <v>21</v>
      </c>
      <c r="S34" s="773">
        <f t="shared" si="12"/>
        <v>100</v>
      </c>
      <c r="T34" s="772" t="s">
        <v>21</v>
      </c>
      <c r="U34" s="773">
        <f t="shared" si="13"/>
        <v>100</v>
      </c>
      <c r="V34" s="772" t="s">
        <v>21</v>
      </c>
      <c r="W34" s="773">
        <f t="shared" si="14"/>
        <v>100</v>
      </c>
      <c r="X34" s="1814"/>
      <c r="Y34" s="3239"/>
      <c r="Z34" s="1815" t="str">
        <f t="shared" si="18"/>
        <v>建筑结构</v>
      </c>
      <c r="AA34" s="1812">
        <f t="shared" si="15"/>
        <v>1</v>
      </c>
      <c r="AB34" s="1812">
        <f t="shared" si="16"/>
        <v>1</v>
      </c>
      <c r="AC34" s="1812">
        <f t="shared" si="17"/>
        <v>1</v>
      </c>
    </row>
    <row r="35" spans="1:29" ht="15">
      <c r="A35" s="470"/>
      <c r="B35" s="420" t="s">
        <v>2566</v>
      </c>
      <c r="C35" s="2616"/>
      <c r="D35" s="433">
        <v>100</v>
      </c>
      <c r="E35" s="2617"/>
      <c r="F35" s="459">
        <f>SUMIF(107:107,E35,108:108)-SUMIF(107:107,C35,108:108)+100</f>
        <v>100</v>
      </c>
      <c r="G35" s="2616"/>
      <c r="H35" s="433">
        <f>SUMIF(107:107,G35,108:108)-SUMIF(107:107,C35,108:108)+100</f>
        <v>100</v>
      </c>
      <c r="I35" s="2617"/>
      <c r="J35" s="433">
        <f>SUMIF(107:107,I35,108:108)-SUMIF(107:107,C35,108:108)+100</f>
        <v>100</v>
      </c>
      <c r="K35" s="424"/>
      <c r="L35" s="1141"/>
      <c r="M35" s="1132"/>
      <c r="N35" s="1132"/>
      <c r="O35" s="1132"/>
      <c r="P35" s="3237"/>
      <c r="Q35" s="1811" t="str">
        <f t="shared" si="11"/>
        <v>建筑品质</v>
      </c>
      <c r="R35" s="772" t="s">
        <v>21</v>
      </c>
      <c r="S35" s="773">
        <f t="shared" si="12"/>
        <v>100</v>
      </c>
      <c r="T35" s="772" t="s">
        <v>21</v>
      </c>
      <c r="U35" s="773">
        <f t="shared" si="13"/>
        <v>100</v>
      </c>
      <c r="V35" s="772" t="s">
        <v>21</v>
      </c>
      <c r="W35" s="773">
        <f t="shared" si="14"/>
        <v>100</v>
      </c>
      <c r="X35" s="1814"/>
      <c r="Y35" s="3239"/>
      <c r="Z35" s="1815" t="str">
        <f t="shared" si="18"/>
        <v>建筑品质</v>
      </c>
      <c r="AA35" s="1812">
        <f t="shared" si="15"/>
        <v>1</v>
      </c>
      <c r="AB35" s="1812">
        <f t="shared" si="16"/>
        <v>1</v>
      </c>
      <c r="AC35" s="1812">
        <f t="shared" si="17"/>
        <v>1</v>
      </c>
    </row>
    <row r="36" spans="1:29" ht="15">
      <c r="A36" s="470"/>
      <c r="B36" s="420" t="s">
        <v>2567</v>
      </c>
      <c r="C36" s="2616"/>
      <c r="D36" s="433">
        <v>100</v>
      </c>
      <c r="E36" s="2617"/>
      <c r="F36" s="459">
        <f>SUMIF(109:109,E36,110:110)-SUMIF(109:109,C36,110:110)+100</f>
        <v>100</v>
      </c>
      <c r="G36" s="2616"/>
      <c r="H36" s="433">
        <f>SUMIF(109:109,G36,110:110)-SUMIF(109:109,C36,110:110)+100</f>
        <v>100</v>
      </c>
      <c r="I36" s="2617"/>
      <c r="J36" s="433">
        <f>SUMIF(109:109,I36,110:110)-SUMIF(109:109,C36,110:110)+100</f>
        <v>100</v>
      </c>
      <c r="K36" s="424"/>
      <c r="L36" s="1141"/>
      <c r="M36" s="1132"/>
      <c r="N36" s="1132"/>
      <c r="O36" s="1132"/>
      <c r="P36" s="3237"/>
      <c r="Q36" s="1811" t="str">
        <f t="shared" si="11"/>
        <v>公共部分装修</v>
      </c>
      <c r="R36" s="772" t="s">
        <v>21</v>
      </c>
      <c r="S36" s="773">
        <f t="shared" si="12"/>
        <v>100</v>
      </c>
      <c r="T36" s="772" t="s">
        <v>21</v>
      </c>
      <c r="U36" s="773">
        <f t="shared" si="13"/>
        <v>100</v>
      </c>
      <c r="V36" s="772" t="s">
        <v>21</v>
      </c>
      <c r="W36" s="773">
        <f t="shared" si="14"/>
        <v>100</v>
      </c>
      <c r="X36" s="1814"/>
      <c r="Y36" s="3239"/>
      <c r="Z36" s="1815" t="str">
        <f t="shared" si="18"/>
        <v>公共部分装修</v>
      </c>
      <c r="AA36" s="1812">
        <f t="shared" si="15"/>
        <v>1</v>
      </c>
      <c r="AB36" s="1812">
        <f t="shared" si="16"/>
        <v>1</v>
      </c>
      <c r="AC36" s="1812">
        <f t="shared" si="17"/>
        <v>1</v>
      </c>
    </row>
    <row r="37" spans="1:29" s="116" customFormat="1" ht="15">
      <c r="A37" s="471"/>
      <c r="B37" s="420" t="s">
        <v>2568</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33"/>
      <c r="M37" s="1134"/>
      <c r="N37" s="1134"/>
      <c r="O37" s="1134"/>
      <c r="P37" s="3237"/>
      <c r="Q37" s="1796" t="str">
        <f t="shared" si="11"/>
        <v>成新度</v>
      </c>
      <c r="R37" s="768" t="s">
        <v>21</v>
      </c>
      <c r="S37" s="769" t="e">
        <f t="shared" si="12"/>
        <v>#N/A</v>
      </c>
      <c r="T37" s="768" t="s">
        <v>21</v>
      </c>
      <c r="U37" s="769" t="e">
        <f t="shared" si="13"/>
        <v>#N/A</v>
      </c>
      <c r="V37" s="768" t="s">
        <v>21</v>
      </c>
      <c r="W37" s="769" t="e">
        <f t="shared" si="14"/>
        <v>#N/A</v>
      </c>
      <c r="X37" s="770"/>
      <c r="Y37" s="3239"/>
      <c r="Z37" s="54" t="str">
        <f t="shared" si="18"/>
        <v>成新度</v>
      </c>
      <c r="AA37" s="771" t="e">
        <f t="shared" si="15"/>
        <v>#N/A</v>
      </c>
      <c r="AB37" s="771" t="e">
        <f t="shared" si="16"/>
        <v>#N/A</v>
      </c>
      <c r="AC37" s="771" t="e">
        <f t="shared" si="17"/>
        <v>#N/A</v>
      </c>
    </row>
    <row r="38" spans="1:29" ht="15">
      <c r="A38" s="470"/>
      <c r="B38" s="420" t="s">
        <v>2569</v>
      </c>
      <c r="C38" s="2616"/>
      <c r="D38" s="433">
        <v>100</v>
      </c>
      <c r="E38" s="2617"/>
      <c r="F38" s="459">
        <f>SUMIF(114:114,E38,115:115)-SUMIF(114:114,C38,115:115)+100</f>
        <v>100</v>
      </c>
      <c r="G38" s="2616"/>
      <c r="H38" s="433">
        <f>SUMIF(114:114,G38,115:115)-SUMIF(114:114,C38,115:115)+100</f>
        <v>100</v>
      </c>
      <c r="I38" s="2617"/>
      <c r="J38" s="433">
        <f>SUMIF(114:114,I38,115:115)-SUMIF(114:114,C38,115:115)+100</f>
        <v>100</v>
      </c>
      <c r="K38" s="424"/>
      <c r="L38" s="1141"/>
      <c r="M38" s="1132"/>
      <c r="N38" s="1132"/>
      <c r="O38" s="1132"/>
      <c r="P38" s="3237" t="s">
        <v>2563</v>
      </c>
      <c r="Q38" s="1811" t="str">
        <f t="shared" si="11"/>
        <v>物业管理</v>
      </c>
      <c r="R38" s="772" t="s">
        <v>21</v>
      </c>
      <c r="S38" s="773">
        <f t="shared" si="12"/>
        <v>100</v>
      </c>
      <c r="T38" s="772" t="s">
        <v>21</v>
      </c>
      <c r="U38" s="773">
        <f t="shared" si="13"/>
        <v>100</v>
      </c>
      <c r="V38" s="772" t="s">
        <v>21</v>
      </c>
      <c r="W38" s="773">
        <f t="shared" si="14"/>
        <v>100</v>
      </c>
      <c r="X38" s="1814"/>
      <c r="Y38" s="3239" t="s">
        <v>2563</v>
      </c>
      <c r="Z38" s="1815" t="str">
        <f t="shared" si="18"/>
        <v>物业管理</v>
      </c>
      <c r="AA38" s="1812">
        <f t="shared" si="15"/>
        <v>1</v>
      </c>
      <c r="AB38" s="1812">
        <f t="shared" si="16"/>
        <v>1</v>
      </c>
      <c r="AC38" s="1812">
        <f t="shared" si="17"/>
        <v>1</v>
      </c>
    </row>
    <row r="39" spans="1:29" ht="15">
      <c r="A39" s="470"/>
      <c r="B39" s="420" t="s">
        <v>2570</v>
      </c>
      <c r="C39" s="2616"/>
      <c r="D39" s="433">
        <v>100</v>
      </c>
      <c r="E39" s="2617"/>
      <c r="F39" s="459">
        <f>SUMIF(116:116,E39,117:117)-SUMIF(116:116,C39,117:117)+100</f>
        <v>100</v>
      </c>
      <c r="G39" s="2616"/>
      <c r="H39" s="433">
        <f>SUMIF(116:116,G39,117:117)-SUMIF(116:116,C39,117:117)+100</f>
        <v>100</v>
      </c>
      <c r="I39" s="2617"/>
      <c r="J39" s="433">
        <f>SUMIF(116:116,I39,117:117)-SUMIF(116:116,C39,117:117)+100</f>
        <v>100</v>
      </c>
      <c r="K39" s="424"/>
      <c r="L39" s="1141"/>
      <c r="M39" s="1132"/>
      <c r="N39" s="1132"/>
      <c r="O39" s="1132"/>
      <c r="P39" s="3237"/>
      <c r="Q39" s="1811" t="str">
        <f t="shared" si="11"/>
        <v>市政基础设施</v>
      </c>
      <c r="R39" s="772" t="s">
        <v>21</v>
      </c>
      <c r="S39" s="773">
        <f t="shared" si="12"/>
        <v>100</v>
      </c>
      <c r="T39" s="772" t="s">
        <v>21</v>
      </c>
      <c r="U39" s="773">
        <f t="shared" si="13"/>
        <v>100</v>
      </c>
      <c r="V39" s="772" t="s">
        <v>21</v>
      </c>
      <c r="W39" s="773">
        <f t="shared" si="14"/>
        <v>100</v>
      </c>
      <c r="X39" s="1814"/>
      <c r="Y39" s="3239"/>
      <c r="Z39" s="1815" t="str">
        <f t="shared" si="18"/>
        <v>市政基础设施</v>
      </c>
      <c r="AA39" s="1812">
        <f t="shared" si="15"/>
        <v>1</v>
      </c>
      <c r="AB39" s="1812">
        <f t="shared" si="16"/>
        <v>1</v>
      </c>
      <c r="AC39" s="1812">
        <f t="shared" si="17"/>
        <v>1</v>
      </c>
    </row>
    <row r="40" spans="1:29" ht="15">
      <c r="A40" s="470"/>
      <c r="B40" s="420" t="s">
        <v>2571</v>
      </c>
      <c r="C40" s="2616"/>
      <c r="D40" s="433">
        <v>100</v>
      </c>
      <c r="E40" s="2617"/>
      <c r="F40" s="459">
        <f>SUMIF(118:118,E40,119:119)-SUMIF(118:118,C40,119:119)+100</f>
        <v>100</v>
      </c>
      <c r="G40" s="2616"/>
      <c r="H40" s="433">
        <f>SUMIF(118:118,G40,119:119)-SUMIF(118:118,C40,119:119)+100</f>
        <v>100</v>
      </c>
      <c r="I40" s="2617"/>
      <c r="J40" s="433">
        <f>SUMIF(118:118,I40,119:119)-SUMIF(118:118,C40,119:119)+100</f>
        <v>100</v>
      </c>
      <c r="K40" s="424"/>
      <c r="L40" s="1141"/>
      <c r="M40" s="1132"/>
      <c r="N40" s="1132"/>
      <c r="O40" s="1132"/>
      <c r="P40" s="3237"/>
      <c r="Q40" s="1811" t="str">
        <f t="shared" si="11"/>
        <v>房型</v>
      </c>
      <c r="R40" s="772" t="s">
        <v>21</v>
      </c>
      <c r="S40" s="773">
        <f t="shared" si="12"/>
        <v>100</v>
      </c>
      <c r="T40" s="772" t="s">
        <v>21</v>
      </c>
      <c r="U40" s="773">
        <f t="shared" si="13"/>
        <v>100</v>
      </c>
      <c r="V40" s="772" t="s">
        <v>21</v>
      </c>
      <c r="W40" s="773">
        <f t="shared" si="14"/>
        <v>100</v>
      </c>
      <c r="X40" s="1814"/>
      <c r="Y40" s="3239"/>
      <c r="Z40" s="1815" t="str">
        <f t="shared" si="18"/>
        <v>房型</v>
      </c>
      <c r="AA40" s="1812">
        <f t="shared" si="15"/>
        <v>1</v>
      </c>
      <c r="AB40" s="1812">
        <f t="shared" si="16"/>
        <v>1</v>
      </c>
      <c r="AC40" s="1812">
        <f t="shared" si="17"/>
        <v>1</v>
      </c>
    </row>
    <row r="41" spans="1:29" s="469" customFormat="1" ht="28.5">
      <c r="A41" s="466"/>
      <c r="B41" s="420" t="s">
        <v>2572</v>
      </c>
      <c r="C41" s="467"/>
      <c r="D41" s="135">
        <v>100</v>
      </c>
      <c r="E41" s="428"/>
      <c r="F41" s="423">
        <f>SUMIF(120:120,E41,121:121)-SUMIF(120:120,C41,121:121)+100</f>
        <v>100</v>
      </c>
      <c r="G41" s="427"/>
      <c r="H41" s="135">
        <f>SUMIF(120:120,G41,121:121)-SUMIF(120:120,C41,121:121)+100</f>
        <v>100</v>
      </c>
      <c r="I41" s="475"/>
      <c r="J41" s="433">
        <f>SUMIF(120:120,I41,121:121)-SUMIF(120:120,C41,121:121)+100</f>
        <v>100</v>
      </c>
      <c r="K41" s="2604"/>
      <c r="L41" s="1139"/>
      <c r="M41" s="1142"/>
      <c r="N41" s="1142"/>
      <c r="O41" s="1142"/>
      <c r="P41" s="3237"/>
      <c r="Q41" s="774" t="str">
        <f t="shared" si="11"/>
        <v>单套/主力户型建筑面积</v>
      </c>
      <c r="R41" s="775" t="s">
        <v>21</v>
      </c>
      <c r="S41" s="776">
        <f t="shared" si="12"/>
        <v>100</v>
      </c>
      <c r="T41" s="775" t="s">
        <v>21</v>
      </c>
      <c r="U41" s="776">
        <f t="shared" si="13"/>
        <v>100</v>
      </c>
      <c r="V41" s="775" t="s">
        <v>21</v>
      </c>
      <c r="W41" s="776">
        <f t="shared" si="14"/>
        <v>100</v>
      </c>
      <c r="X41" s="777"/>
      <c r="Y41" s="3239"/>
      <c r="Z41" s="778" t="str">
        <f t="shared" si="18"/>
        <v>单套/主力户型建筑面积</v>
      </c>
      <c r="AA41" s="1812">
        <f t="shared" si="15"/>
        <v>1</v>
      </c>
      <c r="AB41" s="1812">
        <f t="shared" si="16"/>
        <v>1</v>
      </c>
      <c r="AC41" s="1812">
        <f t="shared" si="17"/>
        <v>1</v>
      </c>
    </row>
    <row r="42" spans="1:29" ht="15">
      <c r="A42" s="470"/>
      <c r="B42" s="420" t="s">
        <v>2573</v>
      </c>
      <c r="C42" s="2616"/>
      <c r="D42" s="433">
        <v>100</v>
      </c>
      <c r="E42" s="2617"/>
      <c r="F42" s="459">
        <f>SUMIF(122:122,E42,123:123)-SUMIF(122:122,C42,123:123)+100</f>
        <v>100</v>
      </c>
      <c r="G42" s="2616"/>
      <c r="H42" s="433">
        <f>SUMIF(122:122,G42,123:123)-SUMIF(122:122,C42,123:123)+100</f>
        <v>100</v>
      </c>
      <c r="I42" s="2617"/>
      <c r="J42" s="433">
        <f>SUMIF(122:122,I42,123:123)-SUMIF(122:122,C42,123:123)+100</f>
        <v>100</v>
      </c>
      <c r="K42" s="424"/>
      <c r="L42" s="1141"/>
      <c r="M42" s="1132"/>
      <c r="N42" s="1132"/>
      <c r="O42" s="1132"/>
      <c r="P42" s="3237"/>
      <c r="Q42" s="1811" t="str">
        <f t="shared" si="11"/>
        <v>内部装修</v>
      </c>
      <c r="R42" s="772" t="s">
        <v>21</v>
      </c>
      <c r="S42" s="773">
        <f t="shared" si="12"/>
        <v>100</v>
      </c>
      <c r="T42" s="772" t="s">
        <v>21</v>
      </c>
      <c r="U42" s="773">
        <f t="shared" si="13"/>
        <v>100</v>
      </c>
      <c r="V42" s="772" t="s">
        <v>21</v>
      </c>
      <c r="W42" s="773">
        <f t="shared" si="14"/>
        <v>100</v>
      </c>
      <c r="X42" s="1814"/>
      <c r="Y42" s="3239"/>
      <c r="Z42" s="1815" t="str">
        <f t="shared" si="18"/>
        <v>内部装修</v>
      </c>
      <c r="AA42" s="1812">
        <f t="shared" si="15"/>
        <v>1</v>
      </c>
      <c r="AB42" s="1812">
        <f t="shared" si="16"/>
        <v>1</v>
      </c>
      <c r="AC42" s="1812">
        <f t="shared" si="17"/>
        <v>1</v>
      </c>
    </row>
    <row r="43" spans="1:29" ht="15">
      <c r="A43" s="470"/>
      <c r="B43" s="420" t="s">
        <v>2574</v>
      </c>
      <c r="C43" s="2616"/>
      <c r="D43" s="433">
        <v>100</v>
      </c>
      <c r="E43" s="2617"/>
      <c r="F43" s="459">
        <f>SUMIF(124:124,E43,125:125)-SUMIF(124:124,C43,125:125)+100</f>
        <v>100</v>
      </c>
      <c r="G43" s="2616"/>
      <c r="H43" s="433">
        <f>SUMIF(124:124,G43,125:125)-SUMIF(124:124,C43,125:125)+100</f>
        <v>100</v>
      </c>
      <c r="I43" s="2617"/>
      <c r="J43" s="433">
        <f>SUMIF(124:124,I43,125:125)-SUMIF(124:124,C43,125:125)+100</f>
        <v>100</v>
      </c>
      <c r="K43" s="424"/>
      <c r="L43" s="1141"/>
      <c r="M43" s="1132"/>
      <c r="N43" s="1132"/>
      <c r="O43" s="1132"/>
      <c r="P43" s="3237"/>
      <c r="Q43" s="1811" t="str">
        <f t="shared" si="11"/>
        <v>内部装修维护情况</v>
      </c>
      <c r="R43" s="772" t="s">
        <v>21</v>
      </c>
      <c r="S43" s="773">
        <f t="shared" si="12"/>
        <v>100</v>
      </c>
      <c r="T43" s="772" t="s">
        <v>21</v>
      </c>
      <c r="U43" s="773">
        <f t="shared" si="13"/>
        <v>100</v>
      </c>
      <c r="V43" s="772" t="s">
        <v>21</v>
      </c>
      <c r="W43" s="773">
        <f t="shared" si="14"/>
        <v>100</v>
      </c>
      <c r="X43" s="1814"/>
      <c r="Y43" s="3239"/>
      <c r="Z43" s="1815" t="str">
        <f t="shared" si="18"/>
        <v>内部装修维护情况</v>
      </c>
      <c r="AA43" s="1812">
        <f t="shared" si="15"/>
        <v>1</v>
      </c>
      <c r="AB43" s="1812">
        <f t="shared" si="16"/>
        <v>1</v>
      </c>
      <c r="AC43" s="1812">
        <f t="shared" si="17"/>
        <v>1</v>
      </c>
    </row>
    <row r="44" spans="1:29" s="116" customFormat="1" ht="15">
      <c r="A44" s="471"/>
      <c r="B44" s="1387">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604"/>
      <c r="L44" s="1133"/>
      <c r="M44" s="1134"/>
      <c r="N44" s="1134"/>
      <c r="O44" s="1134"/>
      <c r="P44" s="3237"/>
      <c r="Q44" s="1796">
        <f t="shared" si="11"/>
        <v>111</v>
      </c>
      <c r="R44" s="768" t="s">
        <v>21</v>
      </c>
      <c r="S44" s="769">
        <f t="shared" si="12"/>
        <v>100</v>
      </c>
      <c r="T44" s="768" t="s">
        <v>21</v>
      </c>
      <c r="U44" s="769">
        <f t="shared" si="13"/>
        <v>100</v>
      </c>
      <c r="V44" s="768" t="s">
        <v>21</v>
      </c>
      <c r="W44" s="769">
        <f t="shared" si="14"/>
        <v>100</v>
      </c>
      <c r="X44" s="770"/>
      <c r="Y44" s="3239"/>
      <c r="Z44" s="54">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4"/>
      <c r="L45" s="1141"/>
      <c r="M45" s="1132"/>
      <c r="N45" s="1132"/>
      <c r="O45" s="1132"/>
      <c r="P45" s="3237"/>
      <c r="Q45" s="1811">
        <f t="shared" si="11"/>
        <v>111</v>
      </c>
      <c r="R45" s="772" t="s">
        <v>21</v>
      </c>
      <c r="S45" s="773">
        <f t="shared" si="12"/>
        <v>100</v>
      </c>
      <c r="T45" s="772" t="s">
        <v>21</v>
      </c>
      <c r="U45" s="773">
        <f t="shared" si="13"/>
        <v>100</v>
      </c>
      <c r="V45" s="772" t="s">
        <v>21</v>
      </c>
      <c r="W45" s="773">
        <f t="shared" si="14"/>
        <v>100</v>
      </c>
      <c r="X45" s="1814"/>
      <c r="Y45" s="3239"/>
      <c r="Z45" s="1815">
        <f t="shared" si="18"/>
        <v>111</v>
      </c>
      <c r="AA45" s="1812">
        <f t="shared" si="15"/>
        <v>1</v>
      </c>
      <c r="AB45" s="1812">
        <f t="shared" si="16"/>
        <v>1</v>
      </c>
      <c r="AC45" s="1812">
        <f t="shared" si="17"/>
        <v>1</v>
      </c>
    </row>
    <row r="46" spans="1:29" ht="15.75" thickBot="1">
      <c r="A46" s="476"/>
      <c r="B46" s="260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4"/>
      <c r="L46" s="1141"/>
      <c r="M46" s="1132"/>
      <c r="N46" s="1132"/>
      <c r="O46" s="1132"/>
      <c r="P46" s="3238"/>
      <c r="Q46" s="1811">
        <f t="shared" si="11"/>
        <v>111</v>
      </c>
      <c r="R46" s="772" t="s">
        <v>20</v>
      </c>
      <c r="S46" s="773">
        <f t="shared" si="12"/>
        <v>100</v>
      </c>
      <c r="T46" s="772" t="s">
        <v>20</v>
      </c>
      <c r="U46" s="773">
        <f t="shared" si="13"/>
        <v>100</v>
      </c>
      <c r="V46" s="772" t="s">
        <v>20</v>
      </c>
      <c r="W46" s="773">
        <f t="shared" si="14"/>
        <v>100</v>
      </c>
      <c r="X46" s="1814"/>
      <c r="Y46" s="3240"/>
      <c r="Z46" s="1815">
        <f t="shared" si="18"/>
        <v>111</v>
      </c>
      <c r="AA46" s="1812">
        <f t="shared" si="15"/>
        <v>1</v>
      </c>
      <c r="AB46" s="1812">
        <f t="shared" si="16"/>
        <v>1</v>
      </c>
      <c r="AC46" s="1812">
        <f t="shared" si="17"/>
        <v>1</v>
      </c>
    </row>
    <row r="47" spans="1:29" ht="15">
      <c r="A47" s="477" t="s">
        <v>2575</v>
      </c>
      <c r="B47" s="478"/>
      <c r="C47" s="1408" t="s">
        <v>19</v>
      </c>
      <c r="D47" s="1409"/>
      <c r="E47" s="1410"/>
      <c r="F47" s="1411"/>
      <c r="G47" s="1412"/>
      <c r="H47" s="1413"/>
      <c r="I47" s="1410"/>
      <c r="J47" s="1413"/>
      <c r="K47" s="2624"/>
      <c r="L47" s="1144"/>
      <c r="M47" s="1145"/>
      <c r="N47" s="1132"/>
      <c r="O47" s="1145"/>
      <c r="P47" s="3232" t="str">
        <f>A47</f>
        <v>成交单价（元/平方米）</v>
      </c>
      <c r="Q47" s="3232"/>
      <c r="R47" s="3233">
        <f>E47</f>
        <v>0</v>
      </c>
      <c r="S47" s="3233"/>
      <c r="T47" s="3233">
        <f>G47</f>
        <v>0</v>
      </c>
      <c r="U47" s="3233"/>
      <c r="V47" s="3233">
        <f>I47</f>
        <v>0</v>
      </c>
      <c r="W47" s="3233"/>
      <c r="X47" s="757"/>
      <c r="Y47" s="779"/>
      <c r="Z47" s="757"/>
      <c r="AA47" s="757"/>
      <c r="AB47" s="757"/>
      <c r="AC47" s="757"/>
    </row>
    <row r="48" spans="1:29" ht="15.75" thickBot="1">
      <c r="A48" s="484" t="s">
        <v>2576</v>
      </c>
      <c r="B48" s="485"/>
      <c r="C48" s="1414" t="e">
        <f>R49</f>
        <v>#DIV/0!</v>
      </c>
      <c r="D48" s="1415"/>
      <c r="E48" s="1416" t="e">
        <f>R48</f>
        <v>#DIV/0!</v>
      </c>
      <c r="F48" s="1416"/>
      <c r="G48" s="1414" t="e">
        <f>T48</f>
        <v>#DIV/0!</v>
      </c>
      <c r="H48" s="1415"/>
      <c r="I48" s="1416" t="e">
        <f>V48</f>
        <v>#DIV/0!</v>
      </c>
      <c r="J48" s="1415"/>
      <c r="K48" s="2625"/>
      <c r="L48" s="1144"/>
      <c r="M48" s="1145"/>
      <c r="N48" s="1145"/>
      <c r="O48" s="1145"/>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7"/>
      <c r="Y48" s="757"/>
      <c r="Z48" s="757"/>
      <c r="AA48" s="757"/>
      <c r="AB48" s="757"/>
      <c r="AC48" s="757"/>
    </row>
    <row r="49" spans="1:29" ht="15.75" thickBot="1">
      <c r="A49" s="490" t="s">
        <v>2577</v>
      </c>
      <c r="B49" s="491"/>
      <c r="C49" s="1417" t="e">
        <f>R49</f>
        <v>#DIV/0!</v>
      </c>
      <c r="D49" s="1418"/>
      <c r="E49" s="1418"/>
      <c r="F49" s="1418"/>
      <c r="G49" s="1418"/>
      <c r="H49" s="1418"/>
      <c r="I49" s="1418"/>
      <c r="J49" s="1418"/>
      <c r="K49" s="2626"/>
      <c r="L49" s="1144"/>
      <c r="M49" s="1145"/>
      <c r="N49" s="1145"/>
      <c r="O49" s="1145"/>
      <c r="P49" s="3229" t="str">
        <f>A49</f>
        <v>估价对象XX用房的比较价值（楼面单价，元/平方米）</v>
      </c>
      <c r="Q49" s="3230"/>
      <c r="R49" s="3231" t="e">
        <f>IF(F1="售价",ROUND(AVERAGE(R48:V48),0),ROUND(AVERAGE(R48:V48),1))</f>
        <v>#DIV/0!</v>
      </c>
      <c r="S49" s="3231"/>
      <c r="T49" s="3231"/>
      <c r="U49" s="3231"/>
      <c r="V49" s="3231"/>
      <c r="W49" s="323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9"/>
      <c r="Q57" s="502"/>
    </row>
    <row r="58" spans="1:29" s="506" customFormat="1" ht="15">
      <c r="A58" s="503" t="s">
        <v>2582</v>
      </c>
      <c r="B58" s="504"/>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6" customFormat="1" ht="15">
      <c r="A59" s="507"/>
      <c r="B59" s="2630"/>
      <c r="C59" s="1574">
        <v>100</v>
      </c>
      <c r="D59" s="509"/>
      <c r="E59" s="510"/>
      <c r="F59" s="510"/>
      <c r="G59" s="510"/>
      <c r="H59" s="510"/>
      <c r="I59" s="510"/>
      <c r="J59" s="510"/>
      <c r="K59" s="510"/>
      <c r="L59" s="510"/>
      <c r="M59" s="511"/>
      <c r="N59" s="510"/>
      <c r="O59" s="511"/>
      <c r="P59" s="2631"/>
    </row>
    <row r="60" spans="1:29" s="116" customFormat="1" ht="15.75" thickBot="1">
      <c r="A60" s="513" t="s">
        <v>2583</v>
      </c>
      <c r="B60" s="514"/>
      <c r="C60" s="515"/>
      <c r="D60" s="516"/>
      <c r="E60" s="516"/>
      <c r="F60" s="516"/>
      <c r="G60" s="516"/>
      <c r="H60" s="516"/>
      <c r="I60" s="516"/>
      <c r="J60" s="516"/>
      <c r="K60" s="516"/>
      <c r="L60" s="516"/>
      <c r="M60" s="517"/>
      <c r="N60" s="516"/>
      <c r="O60" s="517"/>
      <c r="P60" s="2631"/>
      <c r="Q60" s="502"/>
    </row>
    <row r="61" spans="1:29" s="116" customFormat="1" ht="15">
      <c r="A61" s="519" t="s">
        <v>2584</v>
      </c>
      <c r="B61" s="508"/>
      <c r="C61" s="520" t="s">
        <v>2585</v>
      </c>
      <c r="D61" s="521"/>
      <c r="E61" s="521"/>
      <c r="F61" s="521"/>
      <c r="G61" s="521"/>
      <c r="H61" s="521"/>
      <c r="I61" s="521"/>
      <c r="J61" s="521"/>
      <c r="K61" s="521"/>
      <c r="L61" s="522"/>
      <c r="M61" s="523"/>
      <c r="N61" s="1152"/>
      <c r="O61" s="1152"/>
      <c r="P61" s="2632"/>
      <c r="Q61" s="502"/>
    </row>
    <row r="62" spans="1:29" s="116"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2586</v>
      </c>
      <c r="B63" s="526" t="s">
        <v>2552</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53"/>
      <c r="O65" s="1153"/>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7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58"/>
      <c r="E73" s="558"/>
      <c r="F73" s="558"/>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2098</v>
      </c>
      <c r="C82" s="537" t="s">
        <v>2602</v>
      </c>
      <c r="D82" s="537" t="s">
        <v>2603</v>
      </c>
      <c r="E82" s="537" t="s">
        <v>2604</v>
      </c>
      <c r="F82" s="537" t="s">
        <v>2605</v>
      </c>
      <c r="G82" s="537" t="s">
        <v>2606</v>
      </c>
      <c r="H82" s="537"/>
      <c r="I82" s="537"/>
      <c r="J82" s="537"/>
      <c r="K82" s="537"/>
      <c r="L82" s="537"/>
      <c r="M82" s="1383"/>
      <c r="N82" s="1154"/>
      <c r="O82" s="1154"/>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3"/>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6" customFormat="1" ht="15.75" thickTop="1">
      <c r="A86" s="577"/>
      <c r="B86" s="536" t="s">
        <v>2608</v>
      </c>
      <c r="C86" s="552"/>
      <c r="D86" s="552"/>
      <c r="E86" s="552"/>
      <c r="F86" s="552"/>
      <c r="G86" s="552"/>
      <c r="H86" s="552"/>
      <c r="I86" s="552"/>
      <c r="J86" s="552"/>
      <c r="K86" s="552"/>
      <c r="L86" s="578"/>
      <c r="M86" s="579"/>
      <c r="N86" s="1152"/>
      <c r="O86" s="1152"/>
      <c r="P86" s="2633"/>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3"/>
      <c r="Q87" s="502"/>
    </row>
    <row r="88" spans="1:17" s="116" customFormat="1" ht="15.75" thickTop="1">
      <c r="A88" s="577"/>
      <c r="B88" s="536" t="s">
        <v>2609</v>
      </c>
      <c r="C88" s="552"/>
      <c r="D88" s="552"/>
      <c r="E88" s="552"/>
      <c r="F88" s="2638"/>
      <c r="G88" s="552"/>
      <c r="H88" s="552"/>
      <c r="I88" s="552"/>
      <c r="J88" s="552"/>
      <c r="K88" s="552"/>
      <c r="L88" s="552"/>
      <c r="M88" s="579"/>
      <c r="N88" s="1152"/>
      <c r="O88" s="1152"/>
      <c r="P88" s="2633"/>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5.75" thickTop="1">
      <c r="A90" s="551"/>
      <c r="B90" s="536">
        <f>B27</f>
        <v>111</v>
      </c>
      <c r="C90" s="552"/>
      <c r="D90" s="552"/>
      <c r="E90" s="552"/>
      <c r="F90" s="552"/>
      <c r="G90" s="552"/>
      <c r="H90" s="553"/>
      <c r="I90" s="553"/>
      <c r="J90" s="553"/>
      <c r="K90" s="553"/>
      <c r="L90" s="554"/>
      <c r="M90" s="555"/>
      <c r="N90" s="1155"/>
      <c r="O90" s="1155"/>
      <c r="P90" s="2634"/>
      <c r="Q90" s="557"/>
    </row>
    <row r="91" spans="1:17" s="469" customFormat="1" ht="15.75" thickBot="1">
      <c r="A91" s="551"/>
      <c r="B91" s="541"/>
      <c r="C91" s="558"/>
      <c r="D91" s="558"/>
      <c r="E91" s="558"/>
      <c r="F91" s="558"/>
      <c r="G91" s="558"/>
      <c r="H91" s="560"/>
      <c r="I91" s="560"/>
      <c r="J91" s="560"/>
      <c r="K91" s="560"/>
      <c r="L91" s="560"/>
      <c r="M91" s="561"/>
      <c r="N91" s="1155"/>
      <c r="O91" s="1155"/>
      <c r="P91" s="2634"/>
      <c r="Q91" s="557"/>
    </row>
    <row r="92" spans="1:17" ht="15.75" thickTop="1">
      <c r="A92" s="532"/>
      <c r="B92" s="536">
        <f>B28</f>
        <v>111</v>
      </c>
      <c r="C92" s="552"/>
      <c r="D92" s="552"/>
      <c r="E92" s="552"/>
      <c r="F92" s="552"/>
      <c r="G92" s="581"/>
      <c r="H92" s="581"/>
      <c r="I92" s="581"/>
      <c r="J92" s="581"/>
      <c r="K92" s="582"/>
      <c r="L92" s="583"/>
      <c r="M92" s="584"/>
      <c r="N92" s="1153"/>
      <c r="O92" s="1153"/>
      <c r="P92" s="2633"/>
      <c r="Q92" s="502"/>
    </row>
    <row r="93" spans="1:17" ht="15.75" thickBot="1">
      <c r="A93" s="532"/>
      <c r="B93" s="541"/>
      <c r="C93" s="558"/>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58"/>
      <c r="E95" s="558"/>
      <c r="F95" s="558"/>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68"/>
      <c r="D97" s="568"/>
      <c r="E97" s="568"/>
      <c r="F97" s="568"/>
      <c r="G97" s="534"/>
      <c r="H97" s="534"/>
      <c r="I97" s="534"/>
      <c r="J97" s="534"/>
      <c r="K97" s="534"/>
      <c r="L97" s="534"/>
      <c r="M97" s="535"/>
      <c r="N97" s="1154"/>
      <c r="O97" s="1154"/>
      <c r="P97" s="2633"/>
      <c r="Q97" s="502"/>
    </row>
    <row r="98" spans="1:17" ht="15.75" thickTop="1">
      <c r="A98" s="532"/>
      <c r="B98" s="544">
        <f>B31</f>
        <v>111</v>
      </c>
      <c r="C98" s="585"/>
      <c r="D98" s="585"/>
      <c r="E98" s="585"/>
      <c r="F98" s="585"/>
      <c r="G98" s="585"/>
      <c r="H98" s="585"/>
      <c r="I98" s="585"/>
      <c r="J98" s="585"/>
      <c r="K98" s="586"/>
      <c r="L98" s="587"/>
      <c r="M98" s="588"/>
      <c r="N98" s="1153"/>
      <c r="O98" s="1153"/>
      <c r="P98" s="2633"/>
      <c r="Q98" s="502"/>
    </row>
    <row r="99" spans="1:17" ht="15.75" thickBot="1">
      <c r="A99" s="2639"/>
      <c r="B99" s="567"/>
      <c r="C99" s="589"/>
      <c r="D99" s="589"/>
      <c r="E99" s="589"/>
      <c r="F99" s="589"/>
      <c r="G99" s="589"/>
      <c r="H99" s="589"/>
      <c r="I99" s="589"/>
      <c r="J99" s="589"/>
      <c r="K99" s="589"/>
      <c r="L99" s="589"/>
      <c r="M99" s="590"/>
      <c r="N99" s="1154"/>
      <c r="O99" s="1154"/>
      <c r="P99" s="2633"/>
      <c r="Q99" s="502"/>
    </row>
    <row r="100" spans="1:17">
      <c r="A100" s="525" t="s">
        <v>2561</v>
      </c>
      <c r="B100" s="526" t="s">
        <v>2610</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3"/>
      <c r="Q101" s="502"/>
    </row>
    <row r="102" spans="1:17" ht="15.7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2612</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2613</v>
      </c>
      <c r="C107" s="581"/>
      <c r="D107" s="581"/>
      <c r="E107" s="581"/>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2614</v>
      </c>
      <c r="C109" s="552"/>
      <c r="D109" s="552"/>
      <c r="E109" s="552"/>
      <c r="F109" s="581"/>
      <c r="G109" s="581"/>
      <c r="H109" s="581"/>
      <c r="I109" s="581"/>
      <c r="J109" s="581"/>
      <c r="K109" s="582"/>
      <c r="L109" s="583"/>
      <c r="M109" s="584"/>
      <c r="N109" s="1153"/>
      <c r="O109" s="1153"/>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15" thickTop="1">
      <c r="A114" s="597"/>
      <c r="B114" s="536" t="s">
        <v>2615</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2616</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2617</v>
      </c>
      <c r="C118" s="581"/>
      <c r="D118" s="581"/>
      <c r="E118" s="581"/>
      <c r="F118" s="581"/>
      <c r="G118" s="581"/>
      <c r="H118" s="581"/>
      <c r="I118" s="581"/>
      <c r="J118" s="581"/>
      <c r="K118" s="582"/>
      <c r="L118" s="583"/>
      <c r="M118" s="584"/>
      <c r="N118" s="1153"/>
      <c r="O118" s="1153"/>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8.5" thickTop="1">
      <c r="A120" s="591"/>
      <c r="B120" s="536" t="s">
        <v>2572</v>
      </c>
      <c r="C120" s="552"/>
      <c r="D120" s="552"/>
      <c r="E120" s="552"/>
      <c r="F120" s="552"/>
      <c r="G120" s="552"/>
      <c r="H120" s="552"/>
      <c r="I120" s="552"/>
      <c r="J120" s="552"/>
      <c r="K120" s="552"/>
      <c r="L120" s="578"/>
      <c r="M120" s="579"/>
      <c r="N120" s="1155"/>
      <c r="O120" s="1155"/>
      <c r="P120" s="263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2618</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58"/>
      <c r="E129" s="558"/>
      <c r="F129" s="558"/>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5" t="s">
        <v>2623</v>
      </c>
      <c r="D138" s="145" t="s">
        <v>2624</v>
      </c>
      <c r="E138" s="2648" t="s">
        <v>2625</v>
      </c>
      <c r="F138" s="2649" t="s">
        <v>2626</v>
      </c>
      <c r="G138" s="145" t="s">
        <v>2624</v>
      </c>
      <c r="H138" s="146" t="s">
        <v>2625</v>
      </c>
      <c r="I138" s="2650"/>
      <c r="J138" s="145" t="s">
        <v>2627</v>
      </c>
      <c r="K138" s="146" t="s">
        <v>2628</v>
      </c>
    </row>
    <row r="139" spans="1:17" ht="15">
      <c r="B139" s="1085">
        <v>6</v>
      </c>
      <c r="C139" s="1086">
        <v>96</v>
      </c>
      <c r="D139" s="2651" t="s">
        <v>2629</v>
      </c>
      <c r="E139" s="1087">
        <v>100</v>
      </c>
      <c r="F139" s="1088">
        <v>102.5</v>
      </c>
      <c r="G139" s="2651" t="s">
        <v>2629</v>
      </c>
      <c r="H139" s="1089">
        <v>105</v>
      </c>
      <c r="I139" s="2652" t="s">
        <v>2630</v>
      </c>
      <c r="J139" s="1086">
        <v>20</v>
      </c>
      <c r="K139" s="1090">
        <f>C145/(J139-2)</f>
        <v>4.0555555555555553E-3</v>
      </c>
    </row>
    <row r="140" spans="1:17" ht="15">
      <c r="B140" s="1091">
        <v>5</v>
      </c>
      <c r="C140" s="1092">
        <v>100</v>
      </c>
      <c r="D140" s="1092"/>
      <c r="E140" s="1093"/>
      <c r="F140" s="1094">
        <v>102</v>
      </c>
      <c r="G140" s="1092"/>
      <c r="H140" s="1095"/>
      <c r="I140" s="2653" t="s">
        <v>2631</v>
      </c>
      <c r="J140" s="314">
        <f>ROUNDUP((J139-1)/2,0)</f>
        <v>10</v>
      </c>
      <c r="K140" s="1096">
        <v>100</v>
      </c>
    </row>
    <row r="141" spans="1:17" ht="15">
      <c r="B141" s="1091">
        <v>4</v>
      </c>
      <c r="C141" s="1092">
        <v>102</v>
      </c>
      <c r="D141" s="1092"/>
      <c r="E141" s="1093"/>
      <c r="F141" s="1094">
        <v>101.5</v>
      </c>
      <c r="G141" s="1092"/>
      <c r="H141" s="1095"/>
      <c r="I141" s="2653" t="s">
        <v>2632</v>
      </c>
      <c r="J141" s="314">
        <v>1</v>
      </c>
      <c r="K141" s="1097">
        <f>ROUND(100+(J141-J140)*K139*100,1)</f>
        <v>96.4</v>
      </c>
    </row>
    <row r="142" spans="1:17" ht="15">
      <c r="B142" s="1091">
        <v>3</v>
      </c>
      <c r="C142" s="1092">
        <v>103</v>
      </c>
      <c r="D142" s="1092"/>
      <c r="E142" s="1093"/>
      <c r="F142" s="1094">
        <v>101</v>
      </c>
      <c r="G142" s="1092"/>
      <c r="H142" s="1095"/>
      <c r="I142" s="2653" t="s">
        <v>2633</v>
      </c>
      <c r="J142" s="314">
        <f>J139</f>
        <v>20</v>
      </c>
      <c r="K142" s="1098">
        <v>95</v>
      </c>
    </row>
    <row r="143" spans="1:17" ht="15">
      <c r="B143" s="1091">
        <v>2</v>
      </c>
      <c r="C143" s="1092">
        <v>100</v>
      </c>
      <c r="D143" s="1092"/>
      <c r="E143" s="1093"/>
      <c r="F143" s="1094">
        <v>100.5</v>
      </c>
      <c r="G143" s="1092"/>
      <c r="H143" s="1095"/>
      <c r="I143" s="2653" t="s">
        <v>2634</v>
      </c>
      <c r="J143" s="1092">
        <v>15</v>
      </c>
      <c r="K143" s="1097">
        <f>ROUND(100+(J143-J140)*K139*100,1)</f>
        <v>102</v>
      </c>
    </row>
    <row r="144" spans="1:17" ht="15">
      <c r="B144" s="1091">
        <v>1</v>
      </c>
      <c r="C144" s="1092">
        <v>98</v>
      </c>
      <c r="D144" s="2654" t="s">
        <v>2635</v>
      </c>
      <c r="E144" s="1093">
        <v>102</v>
      </c>
      <c r="F144" s="1099">
        <v>100</v>
      </c>
      <c r="G144" s="2654" t="s">
        <v>2635</v>
      </c>
      <c r="H144" s="1095">
        <v>105</v>
      </c>
      <c r="I144" s="2653" t="s">
        <v>2634</v>
      </c>
      <c r="J144" s="1092">
        <v>18</v>
      </c>
      <c r="K144" s="1097">
        <f>ROUND(100+(J144-J140)*K139*100,1)</f>
        <v>103.2</v>
      </c>
    </row>
    <row r="145" spans="2:11" ht="15.75" thickBot="1">
      <c r="B145" s="2655" t="s">
        <v>2636</v>
      </c>
      <c r="C145" s="1100">
        <f>ROUND(MAX(C139:C144)/MIN(C139:C144)-1,3)</f>
        <v>7.2999999999999995E-2</v>
      </c>
      <c r="D145" s="1101"/>
      <c r="E145" s="1101"/>
      <c r="F145" s="2656" t="s">
        <v>2637</v>
      </c>
      <c r="G145" s="2657"/>
      <c r="H145" s="2658"/>
      <c r="I145" s="2659" t="s">
        <v>2634</v>
      </c>
      <c r="J145" s="1102">
        <v>8</v>
      </c>
      <c r="K145" s="1103">
        <f>ROUND(100+(J145-J140)*K139*100,1)</f>
        <v>99.2</v>
      </c>
    </row>
    <row r="147" spans="2:11">
      <c r="B147" s="2640" t="s">
        <v>2638</v>
      </c>
    </row>
    <row r="148" spans="2:11">
      <c r="B148" s="264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8" zoomScaleNormal="100" workbookViewId="0">
      <selection activeCell="J56" sqref="J5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2526</v>
      </c>
      <c r="B1" s="2585" t="s">
        <v>2640</v>
      </c>
      <c r="C1" s="1635" t="s">
        <v>2528</v>
      </c>
      <c r="D1" s="1622" t="s">
        <v>1373</v>
      </c>
      <c r="E1" s="2660"/>
      <c r="F1" s="2587" t="s">
        <v>3071</v>
      </c>
      <c r="G1" s="1632" t="s">
        <v>2641</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2328</v>
      </c>
      <c r="B2" s="1419">
        <f>IF(C2="——",ROUND(C49*D3/10000,0),ROUND(C49*D3/10000,0)-D2)</f>
        <v>136068</v>
      </c>
      <c r="C2" s="2589" t="s">
        <v>70</v>
      </c>
      <c r="D2" s="1366">
        <f ca="1">SUMIF(INDIRECT("'"&amp;F2&amp;"'"&amp;"!A:A"),"承租人权益价值",INDIRECT("'"&amp;F2&amp;"'"&amp;"!c:c"))</f>
        <v>0</v>
      </c>
      <c r="E2" s="2590" t="s">
        <v>2329</v>
      </c>
      <c r="F2" s="2591" t="s">
        <v>3067</v>
      </c>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7" customFormat="1" ht="28.5" customHeight="1" thickBot="1">
      <c r="A3" s="246" t="s">
        <v>2330</v>
      </c>
      <c r="B3" s="607">
        <f>IF(C2="——",C49,ROUND(B2*10000/D3,0))</f>
        <v>17665</v>
      </c>
      <c r="C3" s="399" t="s">
        <v>2642</v>
      </c>
      <c r="D3" s="398">
        <f>IF(D1="",'数据-汇总表'!E3,SUMIF('数据-汇总表'!$C19:$C33,D1,'数据-汇总表'!$E19:$E33))</f>
        <v>77026.790000000008</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02" t="s">
        <v>2645</v>
      </c>
      <c r="S4" s="3203"/>
      <c r="T4" s="3202" t="s">
        <v>2646</v>
      </c>
      <c r="U4" s="3203"/>
      <c r="V4" s="3227" t="s">
        <v>2647</v>
      </c>
      <c r="W4" s="3227"/>
      <c r="X4" s="1814"/>
      <c r="Y4" s="3202" t="s">
        <v>2649</v>
      </c>
      <c r="Z4" s="3203"/>
      <c r="AA4" s="3197" t="s">
        <v>2645</v>
      </c>
      <c r="AB4" s="3227" t="s">
        <v>2646</v>
      </c>
      <c r="AC4" s="3197" t="s">
        <v>2647</v>
      </c>
    </row>
    <row r="5" spans="1:29" ht="15">
      <c r="A5" s="403"/>
      <c r="B5" s="404"/>
      <c r="C5" s="3208" t="s">
        <v>2540</v>
      </c>
      <c r="D5" s="3209"/>
      <c r="E5" s="3243" t="s">
        <v>3111</v>
      </c>
      <c r="F5" s="3207"/>
      <c r="G5" s="3243" t="s">
        <v>3112</v>
      </c>
      <c r="H5" s="3207"/>
      <c r="I5" s="3243" t="s">
        <v>3113</v>
      </c>
      <c r="J5" s="3207"/>
      <c r="K5" s="608"/>
      <c r="L5" s="1131"/>
      <c r="M5" s="1132"/>
      <c r="N5" s="1132"/>
      <c r="O5" s="1132"/>
      <c r="P5" s="3221"/>
      <c r="Q5" s="3222"/>
      <c r="R5" s="3204"/>
      <c r="S5" s="3205"/>
      <c r="T5" s="3204"/>
      <c r="U5" s="3205"/>
      <c r="V5" s="3227"/>
      <c r="W5" s="3227"/>
      <c r="X5" s="1814"/>
      <c r="Y5" s="3204"/>
      <c r="Z5" s="3205"/>
      <c r="AA5" s="3198"/>
      <c r="AB5" s="3227"/>
      <c r="AC5" s="3198"/>
    </row>
    <row r="6" spans="1:29" ht="15.75" thickBot="1">
      <c r="A6" s="405"/>
      <c r="B6" s="406"/>
      <c r="C6" s="3210" t="s">
        <v>2544</v>
      </c>
      <c r="D6" s="3211"/>
      <c r="E6" s="3212" t="s">
        <v>2544</v>
      </c>
      <c r="F6" s="3213"/>
      <c r="G6" s="3210" t="s">
        <v>2544</v>
      </c>
      <c r="H6" s="3211"/>
      <c r="I6" s="3210" t="s">
        <v>2544</v>
      </c>
      <c r="J6" s="3211"/>
      <c r="K6" s="608" t="s">
        <v>2545</v>
      </c>
      <c r="L6" s="1131"/>
      <c r="M6" s="1132"/>
      <c r="N6" s="1132"/>
      <c r="O6" s="1132"/>
      <c r="P6" s="3223"/>
      <c r="Q6" s="3224"/>
      <c r="R6" s="3204"/>
      <c r="S6" s="3205"/>
      <c r="T6" s="3225"/>
      <c r="U6" s="3226"/>
      <c r="V6" s="3227"/>
      <c r="W6" s="3227"/>
      <c r="X6" s="1814"/>
      <c r="Y6" s="3225"/>
      <c r="Z6" s="3226"/>
      <c r="AA6" s="3199"/>
      <c r="AB6" s="3227"/>
      <c r="AC6" s="3199"/>
    </row>
    <row r="7" spans="1:29" s="116" customFormat="1" ht="15.75" thickBot="1">
      <c r="A7" s="407" t="s">
        <v>2546</v>
      </c>
      <c r="B7" s="408"/>
      <c r="C7" s="409">
        <f>'数据-取费表'!B2</f>
        <v>43546</v>
      </c>
      <c r="D7" s="410">
        <v>100</v>
      </c>
      <c r="E7" s="411">
        <v>43521</v>
      </c>
      <c r="F7" s="412">
        <f>SUMIF(58:58,YEAR(E7)&amp;"-"&amp;MONTH(E7),59:59)</f>
        <v>100</v>
      </c>
      <c r="G7" s="411">
        <v>43235</v>
      </c>
      <c r="H7" s="410">
        <f>SUMIF(58:58,YEAR(G7)&amp;"-"&amp;MONTH(G7),59:59)</f>
        <v>99.8</v>
      </c>
      <c r="I7" s="411">
        <v>42947</v>
      </c>
      <c r="J7" s="410">
        <f>SUMIF(58:58,YEAR(I7)&amp;"-"&amp;MONTH(I7),59:59)</f>
        <v>99.7</v>
      </c>
      <c r="K7" s="609"/>
      <c r="L7" s="1133"/>
      <c r="M7" s="1134"/>
      <c r="N7" s="1134"/>
      <c r="O7" s="1134"/>
      <c r="P7" s="3200" t="s">
        <v>2547</v>
      </c>
      <c r="Q7" s="3228"/>
      <c r="R7" s="768" t="s">
        <v>17</v>
      </c>
      <c r="S7" s="769">
        <f t="shared" ref="S7:S15" si="0">F7</f>
        <v>100</v>
      </c>
      <c r="T7" s="768" t="s">
        <v>17</v>
      </c>
      <c r="U7" s="769">
        <f t="shared" ref="U7:U15" si="1">H7</f>
        <v>99.8</v>
      </c>
      <c r="V7" s="768" t="s">
        <v>17</v>
      </c>
      <c r="W7" s="769">
        <f t="shared" ref="W7:W15" si="2">J7</f>
        <v>99.7</v>
      </c>
      <c r="X7" s="770"/>
      <c r="Y7" s="3200" t="s">
        <v>2547</v>
      </c>
      <c r="Z7" s="3201"/>
      <c r="AA7" s="771">
        <f>D7/F7</f>
        <v>1</v>
      </c>
      <c r="AB7" s="771">
        <f>D7/H7</f>
        <v>1.0020040080160322</v>
      </c>
      <c r="AC7" s="771">
        <f>D7/J7</f>
        <v>1.0030090270812437</v>
      </c>
    </row>
    <row r="8" spans="1:29" s="116" customFormat="1" ht="15.75" thickBot="1">
      <c r="A8" s="407" t="s">
        <v>2548</v>
      </c>
      <c r="B8" s="408"/>
      <c r="C8" s="413" t="s">
        <v>2650</v>
      </c>
      <c r="D8" s="410">
        <v>100</v>
      </c>
      <c r="E8" s="413" t="s">
        <v>3080</v>
      </c>
      <c r="F8" s="412">
        <f>SUMIF(61:61,E8,62:62)-SUMIF(61:61,C8,62:62)+100</f>
        <v>100</v>
      </c>
      <c r="G8" s="413" t="s">
        <v>3080</v>
      </c>
      <c r="H8" s="410">
        <f>SUMIF(61:61,G8,62:62)-SUMIF(61:61,C8,62:62)+100</f>
        <v>100</v>
      </c>
      <c r="I8" s="413" t="s">
        <v>3080</v>
      </c>
      <c r="J8" s="410">
        <f>SUMIF(61:61,I8,62:62)-SUMIF(61:61,C8,62:62)+100</f>
        <v>100</v>
      </c>
      <c r="K8" s="609"/>
      <c r="L8" s="1133"/>
      <c r="M8" s="1134"/>
      <c r="N8" s="1134"/>
      <c r="O8" s="1134"/>
      <c r="P8" s="3200" t="s">
        <v>2550</v>
      </c>
      <c r="Q8" s="3201"/>
      <c r="R8" s="768" t="s">
        <v>17</v>
      </c>
      <c r="S8" s="769">
        <f t="shared" si="0"/>
        <v>100</v>
      </c>
      <c r="T8" s="768" t="s">
        <v>17</v>
      </c>
      <c r="U8" s="769">
        <f t="shared" si="1"/>
        <v>100</v>
      </c>
      <c r="V8" s="768" t="s">
        <v>17</v>
      </c>
      <c r="W8" s="769">
        <f t="shared" si="2"/>
        <v>100</v>
      </c>
      <c r="X8" s="770"/>
      <c r="Y8" s="3200" t="s">
        <v>2550</v>
      </c>
      <c r="Z8" s="3201"/>
      <c r="AA8" s="771">
        <f t="shared" ref="AA8:AA46" si="3">D8/F8</f>
        <v>1</v>
      </c>
      <c r="AB8" s="771">
        <f t="shared" ref="AB8:AB46" si="4">D8/H8</f>
        <v>1</v>
      </c>
      <c r="AC8" s="771">
        <f t="shared" ref="AC8:AC46" si="5">D8/J8</f>
        <v>1</v>
      </c>
    </row>
    <row r="9" spans="1:29" s="116" customFormat="1">
      <c r="A9" s="414" t="s">
        <v>2551</v>
      </c>
      <c r="B9" s="70" t="s">
        <v>2552</v>
      </c>
      <c r="C9" s="2959" t="s">
        <v>3081</v>
      </c>
      <c r="D9" s="134">
        <v>100</v>
      </c>
      <c r="E9" s="2960" t="s">
        <v>3081</v>
      </c>
      <c r="F9" s="417">
        <f>SUMIF(63:63,E9,64:64)-SUMIF(63:63,C9,64:64)+100</f>
        <v>100</v>
      </c>
      <c r="G9" s="2960" t="s">
        <v>3081</v>
      </c>
      <c r="H9" s="134">
        <f>SUMIF(63:63,G9,64:64)-SUMIF(63:63,C9,64:64)+100</f>
        <v>100</v>
      </c>
      <c r="I9" s="2960" t="s">
        <v>3081</v>
      </c>
      <c r="J9" s="134">
        <f>SUMIF(63:63,I9,64:64)-SUMIF(63:63,C9,64:64)+100</f>
        <v>100</v>
      </c>
      <c r="K9" s="609"/>
      <c r="L9" s="1133"/>
      <c r="M9" s="1134"/>
      <c r="N9" s="1134"/>
      <c r="O9" s="1134"/>
      <c r="P9" s="3214" t="s">
        <v>2553</v>
      </c>
      <c r="Q9" s="1796" t="str">
        <f t="shared" ref="Q9:Q15" si="6">B9</f>
        <v>用途</v>
      </c>
      <c r="R9" s="768" t="s">
        <v>17</v>
      </c>
      <c r="S9" s="769">
        <f t="shared" si="0"/>
        <v>100</v>
      </c>
      <c r="T9" s="768" t="s">
        <v>17</v>
      </c>
      <c r="U9" s="769">
        <f t="shared" si="1"/>
        <v>100</v>
      </c>
      <c r="V9" s="768" t="s">
        <v>17</v>
      </c>
      <c r="W9" s="769">
        <f t="shared" si="2"/>
        <v>100</v>
      </c>
      <c r="X9" s="770"/>
      <c r="Y9" s="3047" t="s">
        <v>2554</v>
      </c>
      <c r="Z9" s="54" t="str">
        <f t="shared" ref="Z9:Z15" si="7">Q9</f>
        <v>用途</v>
      </c>
      <c r="AA9" s="771">
        <f t="shared" si="3"/>
        <v>1</v>
      </c>
      <c r="AB9" s="771">
        <f t="shared" si="4"/>
        <v>1</v>
      </c>
      <c r="AC9" s="771">
        <f t="shared" si="5"/>
        <v>1</v>
      </c>
    </row>
    <row r="10" spans="1:29" s="425" customFormat="1" ht="27">
      <c r="A10" s="419"/>
      <c r="B10" s="420" t="s">
        <v>2555</v>
      </c>
      <c r="C10" s="421" t="s">
        <v>3082</v>
      </c>
      <c r="D10" s="135">
        <v>100</v>
      </c>
      <c r="E10" s="422" t="s">
        <v>3082</v>
      </c>
      <c r="F10" s="423">
        <f>SUMIF(65:65,E10,66:66)-SUMIF(65:65,C10,66:66)+100</f>
        <v>100</v>
      </c>
      <c r="G10" s="421" t="s">
        <v>3082</v>
      </c>
      <c r="H10" s="135">
        <f>SUMIF(65:65,G10,66:66)-SUMIF(65:65,C10,66:66)+100</f>
        <v>100</v>
      </c>
      <c r="I10" s="421" t="s">
        <v>3082</v>
      </c>
      <c r="J10" s="135">
        <f>SUMIF(65:65,I10,66:66)-SUMIF(65:65,C10,66:66)+100</f>
        <v>100</v>
      </c>
      <c r="K10" s="610"/>
      <c r="L10" s="1136"/>
      <c r="M10" s="1137"/>
      <c r="N10" s="1137"/>
      <c r="O10" s="1137"/>
      <c r="P10" s="3214"/>
      <c r="Q10" s="1796" t="str">
        <f t="shared" si="6"/>
        <v>土地使用年限（年）</v>
      </c>
      <c r="R10" s="768" t="s">
        <v>17</v>
      </c>
      <c r="S10" s="769">
        <f t="shared" si="0"/>
        <v>100</v>
      </c>
      <c r="T10" s="768" t="s">
        <v>17</v>
      </c>
      <c r="U10" s="769">
        <f t="shared" si="1"/>
        <v>100</v>
      </c>
      <c r="V10" s="768" t="s">
        <v>17</v>
      </c>
      <c r="W10" s="769">
        <f t="shared" si="2"/>
        <v>100</v>
      </c>
      <c r="X10" s="770"/>
      <c r="Y10" s="3047"/>
      <c r="Z10" s="54" t="str">
        <f t="shared" si="7"/>
        <v>土地使用年限（年）</v>
      </c>
      <c r="AA10" s="771">
        <f t="shared" si="3"/>
        <v>1</v>
      </c>
      <c r="AB10" s="771">
        <f t="shared" si="4"/>
        <v>1</v>
      </c>
      <c r="AC10" s="771">
        <f t="shared" si="5"/>
        <v>1</v>
      </c>
    </row>
    <row r="11" spans="1:29" ht="15">
      <c r="A11" s="426"/>
      <c r="B11" s="420" t="s">
        <v>2556</v>
      </c>
      <c r="C11" s="427">
        <v>1.98</v>
      </c>
      <c r="D11" s="135">
        <v>100</v>
      </c>
      <c r="E11" s="428">
        <v>2</v>
      </c>
      <c r="F11" s="423">
        <f>LOOKUP(E11,68:68,69:69)-LOOKUP(C11,68:68,69:69)+100</f>
        <v>100</v>
      </c>
      <c r="G11" s="427">
        <v>2.75</v>
      </c>
      <c r="H11" s="135">
        <f>LOOKUP(G11,68:68,69:69)-LOOKUP(C11,68:68,69:69)+100</f>
        <v>99.5</v>
      </c>
      <c r="I11" s="427">
        <v>2.5</v>
      </c>
      <c r="J11" s="135">
        <f>LOOKUP(I11,68:68,69:69)-LOOKUP(C11,68:68,69:69)+100</f>
        <v>99.5</v>
      </c>
      <c r="K11" s="610">
        <v>0.5</v>
      </c>
      <c r="L11" s="1139"/>
      <c r="M11" s="1132"/>
      <c r="N11" s="1132"/>
      <c r="O11" s="1132"/>
      <c r="P11" s="3214"/>
      <c r="Q11" s="1796" t="str">
        <f t="shared" si="6"/>
        <v>容积率</v>
      </c>
      <c r="R11" s="768" t="s">
        <v>17</v>
      </c>
      <c r="S11" s="769">
        <f t="shared" si="0"/>
        <v>100</v>
      </c>
      <c r="T11" s="768" t="s">
        <v>17</v>
      </c>
      <c r="U11" s="769">
        <f t="shared" si="1"/>
        <v>99.5</v>
      </c>
      <c r="V11" s="768" t="s">
        <v>17</v>
      </c>
      <c r="W11" s="769">
        <f t="shared" si="2"/>
        <v>99.5</v>
      </c>
      <c r="X11" s="770"/>
      <c r="Y11" s="3047"/>
      <c r="Z11" s="54" t="str">
        <f t="shared" si="7"/>
        <v>容积率</v>
      </c>
      <c r="AA11" s="771">
        <f t="shared" si="3"/>
        <v>1</v>
      </c>
      <c r="AB11" s="771">
        <f t="shared" si="4"/>
        <v>1.0050251256281406</v>
      </c>
      <c r="AC11" s="771">
        <f t="shared" si="5"/>
        <v>1.0050251256281406</v>
      </c>
    </row>
    <row r="12" spans="1:29" s="116" customFormat="1" ht="15">
      <c r="A12" s="429"/>
      <c r="B12" s="2975"/>
      <c r="C12" s="2976"/>
      <c r="D12" s="431">
        <v>100</v>
      </c>
      <c r="E12" s="2976"/>
      <c r="F12" s="423">
        <f>SUMIF(70:70,E12,71:71)-SUMIF(70:70,C12,71:71)+100</f>
        <v>100</v>
      </c>
      <c r="G12" s="2976"/>
      <c r="H12" s="135">
        <f>SUMIF(70:70,G12,71:71)-SUMIF(70:70,C12,71:71)+100</f>
        <v>100</v>
      </c>
      <c r="I12" s="432"/>
      <c r="J12" s="135">
        <f>SUMIF(70:70,I12,71:71)-SUMIF(70:70,C12,71:71)+100</f>
        <v>100</v>
      </c>
      <c r="K12" s="611"/>
      <c r="L12" s="1133"/>
      <c r="M12" s="1134"/>
      <c r="N12" s="1134"/>
      <c r="O12" s="1134"/>
      <c r="P12" s="3214"/>
      <c r="Q12" s="1796">
        <f t="shared" si="6"/>
        <v>0</v>
      </c>
      <c r="R12" s="768" t="s">
        <v>17</v>
      </c>
      <c r="S12" s="769">
        <f t="shared" si="0"/>
        <v>100</v>
      </c>
      <c r="T12" s="768" t="s">
        <v>17</v>
      </c>
      <c r="U12" s="769">
        <f t="shared" si="1"/>
        <v>100</v>
      </c>
      <c r="V12" s="768" t="s">
        <v>17</v>
      </c>
      <c r="W12" s="769">
        <f t="shared" si="2"/>
        <v>100</v>
      </c>
      <c r="X12" s="770"/>
      <c r="Y12" s="3047"/>
      <c r="Z12" s="54">
        <f t="shared" si="7"/>
        <v>0</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14"/>
      <c r="Q13" s="1796">
        <f t="shared" si="6"/>
        <v>111</v>
      </c>
      <c r="R13" s="768" t="s">
        <v>17</v>
      </c>
      <c r="S13" s="769">
        <f t="shared" si="0"/>
        <v>100</v>
      </c>
      <c r="T13" s="768" t="s">
        <v>17</v>
      </c>
      <c r="U13" s="769">
        <f t="shared" si="1"/>
        <v>100</v>
      </c>
      <c r="V13" s="768" t="s">
        <v>17</v>
      </c>
      <c r="W13" s="769">
        <f t="shared" si="2"/>
        <v>100</v>
      </c>
      <c r="X13" s="770"/>
      <c r="Y13" s="3047"/>
      <c r="Z13" s="54">
        <f t="shared" si="7"/>
        <v>111</v>
      </c>
      <c r="AA13" s="771">
        <f t="shared" si="3"/>
        <v>1</v>
      </c>
      <c r="AB13" s="771">
        <f t="shared" si="4"/>
        <v>1</v>
      </c>
      <c r="AC13" s="771">
        <f t="shared" si="5"/>
        <v>1</v>
      </c>
    </row>
    <row r="14" spans="1:29" ht="15.75" thickBot="1">
      <c r="A14" s="434"/>
      <c r="B14" s="2605">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14"/>
      <c r="Q14" s="1796">
        <f t="shared" si="6"/>
        <v>111</v>
      </c>
      <c r="R14" s="768" t="s">
        <v>17</v>
      </c>
      <c r="S14" s="769">
        <f t="shared" si="0"/>
        <v>100</v>
      </c>
      <c r="T14" s="768" t="s">
        <v>17</v>
      </c>
      <c r="U14" s="769">
        <f t="shared" si="1"/>
        <v>100</v>
      </c>
      <c r="V14" s="768" t="s">
        <v>17</v>
      </c>
      <c r="W14" s="769">
        <f t="shared" si="2"/>
        <v>100</v>
      </c>
      <c r="X14" s="770"/>
      <c r="Y14" s="3047"/>
      <c r="Z14" s="54">
        <f t="shared" si="7"/>
        <v>111</v>
      </c>
      <c r="AA14" s="771">
        <f t="shared" si="3"/>
        <v>1</v>
      </c>
      <c r="AB14" s="771">
        <f t="shared" si="4"/>
        <v>1</v>
      </c>
      <c r="AC14" s="771">
        <f t="shared" si="5"/>
        <v>1</v>
      </c>
    </row>
    <row r="15" spans="1:29" ht="71.25">
      <c r="A15" s="438" t="s">
        <v>2557</v>
      </c>
      <c r="B15" s="68" t="s">
        <v>2651</v>
      </c>
      <c r="C15" s="2606" t="str">
        <f>估价对象房地状况!C4</f>
        <v>估价对象位于XX商圈，周边商业氛围成熟，人流量大，商业繁华度好</v>
      </c>
      <c r="D15" s="439">
        <v>100</v>
      </c>
      <c r="E15" s="440"/>
      <c r="F15" s="441">
        <f>SUMIF(76:76,E16,77:77)-SUMIF(76:76,C16,77:77)+100</f>
        <v>102</v>
      </c>
      <c r="G15" s="442"/>
      <c r="H15" s="439">
        <f>SUMIF(76:76,G16,77:77)-SUMIF(76:76,C16,77:77)+100</f>
        <v>102</v>
      </c>
      <c r="I15" s="440"/>
      <c r="J15" s="439">
        <f>SUMIF(76:76,I16,77:77)-SUMIF(76:76,C16,77:77)+100</f>
        <v>102</v>
      </c>
      <c r="K15" s="612">
        <v>2</v>
      </c>
      <c r="L15" s="1141"/>
      <c r="M15" s="1132"/>
      <c r="N15" s="1132"/>
      <c r="O15" s="1132"/>
      <c r="P15" s="3241" t="s">
        <v>2558</v>
      </c>
      <c r="Q15" s="1811" t="str">
        <f t="shared" si="6"/>
        <v>商业繁华度</v>
      </c>
      <c r="R15" s="772" t="s">
        <v>17</v>
      </c>
      <c r="S15" s="773">
        <f t="shared" si="0"/>
        <v>102</v>
      </c>
      <c r="T15" s="772" t="s">
        <v>17</v>
      </c>
      <c r="U15" s="773">
        <f t="shared" si="1"/>
        <v>102</v>
      </c>
      <c r="V15" s="772" t="s">
        <v>17</v>
      </c>
      <c r="W15" s="773">
        <f t="shared" si="2"/>
        <v>102</v>
      </c>
      <c r="X15" s="1814"/>
      <c r="Y15" s="3234" t="s">
        <v>2558</v>
      </c>
      <c r="Z15" s="1815" t="str">
        <f t="shared" si="7"/>
        <v>商业繁华度</v>
      </c>
      <c r="AA15" s="1812">
        <f t="shared" si="3"/>
        <v>0.98039215686274506</v>
      </c>
      <c r="AB15" s="1812">
        <f t="shared" si="4"/>
        <v>0.98039215686274506</v>
      </c>
      <c r="AC15" s="1812">
        <f t="shared" si="5"/>
        <v>0.98039215686274506</v>
      </c>
    </row>
    <row r="16" spans="1:29" ht="15">
      <c r="A16" s="426"/>
      <c r="B16" s="444"/>
      <c r="C16" s="445" t="s">
        <v>3083</v>
      </c>
      <c r="D16" s="446"/>
      <c r="E16" s="445" t="s">
        <v>3084</v>
      </c>
      <c r="F16" s="447"/>
      <c r="G16" s="445" t="s">
        <v>3084</v>
      </c>
      <c r="H16" s="448"/>
      <c r="I16" s="445" t="s">
        <v>3084</v>
      </c>
      <c r="J16" s="446"/>
      <c r="K16" s="613"/>
      <c r="L16" s="1141"/>
      <c r="M16" s="1132"/>
      <c r="N16" s="1132"/>
      <c r="O16" s="1132"/>
      <c r="P16" s="3242"/>
      <c r="Q16" s="1811"/>
      <c r="R16" s="772"/>
      <c r="S16" s="773"/>
      <c r="T16" s="772"/>
      <c r="U16" s="773"/>
      <c r="V16" s="772"/>
      <c r="W16" s="773"/>
      <c r="X16" s="1814"/>
      <c r="Y16" s="3235"/>
      <c r="Z16" s="1815"/>
      <c r="AA16" s="1812">
        <v>1</v>
      </c>
      <c r="AB16" s="1812">
        <v>1</v>
      </c>
      <c r="AC16" s="1812">
        <v>1</v>
      </c>
    </row>
    <row r="17" spans="1:29" ht="85.5">
      <c r="A17" s="426"/>
      <c r="B17" s="449" t="s">
        <v>2097</v>
      </c>
      <c r="C17" s="2610" t="str">
        <f>估价对象房地状况!C6</f>
        <v>估价对象周边道路状况、公共交通通达情况、停车便捷程度，综合评价交通便捷度较好</v>
      </c>
      <c r="D17" s="448">
        <v>100</v>
      </c>
      <c r="E17" s="450"/>
      <c r="F17" s="451">
        <f>SUMIF(78:78,E18,79:79)-SUMIF(78:78,C18,79:79)+100</f>
        <v>102</v>
      </c>
      <c r="G17" s="452"/>
      <c r="H17" s="453">
        <f>SUMIF(78:78,G18,79:79)-SUMIF(78:78,C18,79:79)+100</f>
        <v>102</v>
      </c>
      <c r="I17" s="450"/>
      <c r="J17" s="453">
        <f>SUMIF(78:78,I18,79:79)-SUMIF(78:78,C18,79:79)+100</f>
        <v>102</v>
      </c>
      <c r="K17" s="612">
        <v>2</v>
      </c>
      <c r="L17" s="1141"/>
      <c r="M17" s="1132"/>
      <c r="N17" s="1132"/>
      <c r="O17" s="1132"/>
      <c r="P17" s="3242"/>
      <c r="Q17" s="1811" t="str">
        <f>B17</f>
        <v>交通便捷度</v>
      </c>
      <c r="R17" s="772" t="s">
        <v>17</v>
      </c>
      <c r="S17" s="773">
        <f>F17</f>
        <v>102</v>
      </c>
      <c r="T17" s="772" t="s">
        <v>17</v>
      </c>
      <c r="U17" s="773">
        <f>H17</f>
        <v>102</v>
      </c>
      <c r="V17" s="772" t="s">
        <v>17</v>
      </c>
      <c r="W17" s="773">
        <f>J17</f>
        <v>102</v>
      </c>
      <c r="X17" s="1814"/>
      <c r="Y17" s="3235"/>
      <c r="Z17" s="1815" t="str">
        <f>Q17</f>
        <v>交通便捷度</v>
      </c>
      <c r="AA17" s="1812">
        <f t="shared" si="3"/>
        <v>0.98039215686274506</v>
      </c>
      <c r="AB17" s="1812">
        <f t="shared" si="4"/>
        <v>0.98039215686274506</v>
      </c>
      <c r="AC17" s="1812">
        <f t="shared" si="5"/>
        <v>0.98039215686274506</v>
      </c>
    </row>
    <row r="18" spans="1:29" ht="15">
      <c r="A18" s="426"/>
      <c r="B18" s="454"/>
      <c r="C18" s="2611" t="s">
        <v>3083</v>
      </c>
      <c r="D18" s="448"/>
      <c r="E18" s="2613" t="s">
        <v>3084</v>
      </c>
      <c r="F18" s="451"/>
      <c r="G18" s="2612" t="s">
        <v>3084</v>
      </c>
      <c r="H18" s="446"/>
      <c r="I18" s="2613" t="s">
        <v>3084</v>
      </c>
      <c r="J18" s="446"/>
      <c r="K18" s="613"/>
      <c r="L18" s="1141"/>
      <c r="M18" s="1132"/>
      <c r="N18" s="1132"/>
      <c r="O18" s="1132"/>
      <c r="P18" s="3242"/>
      <c r="Q18" s="1811"/>
      <c r="R18" s="772"/>
      <c r="S18" s="773"/>
      <c r="T18" s="772"/>
      <c r="U18" s="773"/>
      <c r="V18" s="772"/>
      <c r="W18" s="773"/>
      <c r="X18" s="1814"/>
      <c r="Y18" s="3235"/>
      <c r="Z18" s="1815"/>
      <c r="AA18" s="1812">
        <v>1</v>
      </c>
      <c r="AB18" s="1812">
        <v>1</v>
      </c>
      <c r="AC18" s="1812">
        <v>1</v>
      </c>
    </row>
    <row r="19" spans="1:29" ht="42.75">
      <c r="A19" s="426"/>
      <c r="B19" s="449" t="s">
        <v>2652</v>
      </c>
      <c r="C19" s="2610" t="str">
        <f>估价对象房地状况!C7</f>
        <v>估价对象所在区域公共配套设施齐备情况</v>
      </c>
      <c r="D19" s="453">
        <v>100</v>
      </c>
      <c r="E19" s="455"/>
      <c r="F19" s="456">
        <f>SUMIF(80:80,E20,81:81)-SUMIF(80:80,C20,81:81)+100</f>
        <v>102</v>
      </c>
      <c r="G19" s="457"/>
      <c r="H19" s="448">
        <f>SUMIF(80:80,G20,81:81)-SUMIF(80:80,C20,81:81)+100</f>
        <v>102</v>
      </c>
      <c r="I19" s="455"/>
      <c r="J19" s="448">
        <f>SUMIF(80:80,I20,81:81)-SUMIF(80:80,C20,81:81)+100</f>
        <v>102</v>
      </c>
      <c r="K19" s="612">
        <v>2</v>
      </c>
      <c r="L19" s="1141"/>
      <c r="M19" s="1132"/>
      <c r="N19" s="1132"/>
      <c r="O19" s="1132"/>
      <c r="P19" s="3242"/>
      <c r="Q19" s="1811" t="str">
        <f>B19</f>
        <v>公共配套设施</v>
      </c>
      <c r="R19" s="772" t="s">
        <v>17</v>
      </c>
      <c r="S19" s="773">
        <f>F19</f>
        <v>102</v>
      </c>
      <c r="T19" s="772" t="s">
        <v>17</v>
      </c>
      <c r="U19" s="773">
        <f>H19</f>
        <v>102</v>
      </c>
      <c r="V19" s="772" t="s">
        <v>17</v>
      </c>
      <c r="W19" s="773">
        <f>J19</f>
        <v>102</v>
      </c>
      <c r="X19" s="1814"/>
      <c r="Y19" s="3235"/>
      <c r="Z19" s="1815" t="str">
        <f>Q19</f>
        <v>公共配套设施</v>
      </c>
      <c r="AA19" s="1812">
        <f t="shared" si="3"/>
        <v>0.98039215686274506</v>
      </c>
      <c r="AB19" s="1812">
        <f t="shared" si="4"/>
        <v>0.98039215686274506</v>
      </c>
      <c r="AC19" s="1812">
        <f t="shared" si="5"/>
        <v>0.98039215686274506</v>
      </c>
    </row>
    <row r="20" spans="1:29" ht="15">
      <c r="A20" s="426"/>
      <c r="B20" s="454"/>
      <c r="C20" s="445" t="s">
        <v>3083</v>
      </c>
      <c r="D20" s="446"/>
      <c r="E20" s="2608" t="s">
        <v>3084</v>
      </c>
      <c r="F20" s="447"/>
      <c r="G20" s="2607" t="s">
        <v>3084</v>
      </c>
      <c r="H20" s="446"/>
      <c r="I20" s="2608" t="s">
        <v>3084</v>
      </c>
      <c r="J20" s="446"/>
      <c r="K20" s="613"/>
      <c r="L20" s="1141"/>
      <c r="M20" s="1132"/>
      <c r="N20" s="1132"/>
      <c r="O20" s="1132"/>
      <c r="P20" s="3242"/>
      <c r="Q20" s="1811"/>
      <c r="R20" s="772"/>
      <c r="S20" s="773"/>
      <c r="T20" s="772"/>
      <c r="U20" s="773"/>
      <c r="V20" s="772"/>
      <c r="W20" s="773"/>
      <c r="X20" s="1814"/>
      <c r="Y20" s="3235"/>
      <c r="Z20" s="1815"/>
      <c r="AA20" s="1812">
        <v>1</v>
      </c>
      <c r="AB20" s="1812">
        <v>1</v>
      </c>
      <c r="AC20" s="1812">
        <v>1</v>
      </c>
    </row>
    <row r="21" spans="1:29" ht="28.5">
      <c r="A21" s="426"/>
      <c r="B21" s="1385" t="s">
        <v>2653</v>
      </c>
      <c r="C21" s="261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42"/>
      <c r="Q21" s="1811" t="str">
        <f>B21</f>
        <v>基础设施水平</v>
      </c>
      <c r="R21" s="772" t="s">
        <v>17</v>
      </c>
      <c r="S21" s="773">
        <f>F21</f>
        <v>100</v>
      </c>
      <c r="T21" s="772" t="s">
        <v>17</v>
      </c>
      <c r="U21" s="773">
        <f>H21</f>
        <v>100</v>
      </c>
      <c r="V21" s="772" t="s">
        <v>17</v>
      </c>
      <c r="W21" s="773">
        <f>J21</f>
        <v>100</v>
      </c>
      <c r="X21" s="1814"/>
      <c r="Y21" s="3235"/>
      <c r="Z21" s="1815" t="str">
        <f>Q21</f>
        <v>基础设施水平</v>
      </c>
      <c r="AA21" s="1812">
        <f t="shared" ref="AA21" si="8">D21/F21</f>
        <v>1</v>
      </c>
      <c r="AB21" s="1812">
        <f t="shared" ref="AB21" si="9">D21/H21</f>
        <v>1</v>
      </c>
      <c r="AC21" s="1812">
        <f t="shared" ref="AC21" si="10">D21/J21</f>
        <v>1</v>
      </c>
    </row>
    <row r="22" spans="1:29" ht="15">
      <c r="A22" s="426"/>
      <c r="B22" s="1385"/>
      <c r="C22" s="2611" t="s">
        <v>3085</v>
      </c>
      <c r="D22" s="446"/>
      <c r="E22" s="445" t="s">
        <v>3085</v>
      </c>
      <c r="F22" s="447"/>
      <c r="G22" s="445" t="s">
        <v>3085</v>
      </c>
      <c r="H22" s="446"/>
      <c r="I22" s="445" t="s">
        <v>3085</v>
      </c>
      <c r="J22" s="446"/>
      <c r="K22" s="1384"/>
      <c r="L22" s="1141"/>
      <c r="M22" s="1132"/>
      <c r="N22" s="1132"/>
      <c r="O22" s="1132"/>
      <c r="P22" s="3242"/>
      <c r="Q22" s="1811"/>
      <c r="R22" s="772"/>
      <c r="S22" s="773"/>
      <c r="T22" s="772"/>
      <c r="U22" s="773"/>
      <c r="V22" s="772"/>
      <c r="W22" s="773"/>
      <c r="X22" s="1814"/>
      <c r="Y22" s="3235"/>
      <c r="Z22" s="1815"/>
      <c r="AA22" s="1812">
        <v>1</v>
      </c>
      <c r="AB22" s="1812">
        <v>1</v>
      </c>
      <c r="AC22" s="1812">
        <v>1</v>
      </c>
    </row>
    <row r="23" spans="1:29" ht="57">
      <c r="A23" s="426"/>
      <c r="B23" s="449" t="s">
        <v>2102</v>
      </c>
      <c r="C23" s="266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41"/>
      <c r="M23" s="1132"/>
      <c r="N23" s="1132"/>
      <c r="O23" s="1132"/>
      <c r="P23" s="3242"/>
      <c r="Q23" s="1811" t="str">
        <f>B23</f>
        <v>自然及人文环境</v>
      </c>
      <c r="R23" s="772" t="s">
        <v>17</v>
      </c>
      <c r="S23" s="773">
        <f>F23</f>
        <v>100</v>
      </c>
      <c r="T23" s="772" t="s">
        <v>17</v>
      </c>
      <c r="U23" s="773">
        <f>H23</f>
        <v>100</v>
      </c>
      <c r="V23" s="772" t="s">
        <v>17</v>
      </c>
      <c r="W23" s="773">
        <f>J23</f>
        <v>100</v>
      </c>
      <c r="X23" s="1814"/>
      <c r="Y23" s="3235"/>
      <c r="Z23" s="1815" t="str">
        <f>Q23</f>
        <v>自然及人文环境</v>
      </c>
      <c r="AA23" s="1812">
        <f t="shared" si="3"/>
        <v>1</v>
      </c>
      <c r="AB23" s="1812">
        <f t="shared" si="4"/>
        <v>1</v>
      </c>
      <c r="AC23" s="1812">
        <f t="shared" si="5"/>
        <v>1</v>
      </c>
    </row>
    <row r="24" spans="1:29" ht="15">
      <c r="A24" s="426"/>
      <c r="B24" s="454"/>
      <c r="C24" s="445" t="s">
        <v>3084</v>
      </c>
      <c r="D24" s="446"/>
      <c r="E24" s="2608" t="s">
        <v>3084</v>
      </c>
      <c r="F24" s="447"/>
      <c r="G24" s="2607" t="s">
        <v>3084</v>
      </c>
      <c r="H24" s="446"/>
      <c r="I24" s="2608" t="s">
        <v>3084</v>
      </c>
      <c r="J24" s="446"/>
      <c r="K24" s="613"/>
      <c r="L24" s="1141"/>
      <c r="M24" s="1132"/>
      <c r="N24" s="1132"/>
      <c r="O24" s="1132"/>
      <c r="P24" s="3242"/>
      <c r="Q24" s="1811"/>
      <c r="R24" s="772"/>
      <c r="S24" s="773"/>
      <c r="T24" s="772"/>
      <c r="U24" s="773"/>
      <c r="V24" s="772"/>
      <c r="W24" s="773"/>
      <c r="X24" s="1814"/>
      <c r="Y24" s="3235"/>
      <c r="Z24" s="1815"/>
      <c r="AA24" s="1812">
        <v>1</v>
      </c>
      <c r="AB24" s="1812">
        <v>1</v>
      </c>
      <c r="AC24" s="1812">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42"/>
      <c r="Q25" s="1811" t="str">
        <f t="shared" ref="Q25:Q46" si="11">B25</f>
        <v>临街状况</v>
      </c>
      <c r="R25" s="772" t="s">
        <v>17</v>
      </c>
      <c r="S25" s="773">
        <f>F25</f>
        <v>100</v>
      </c>
      <c r="T25" s="772" t="s">
        <v>17</v>
      </c>
      <c r="U25" s="773">
        <f>H25</f>
        <v>100</v>
      </c>
      <c r="V25" s="772" t="s">
        <v>17</v>
      </c>
      <c r="W25" s="773">
        <f>J25</f>
        <v>100</v>
      </c>
      <c r="X25" s="1814"/>
      <c r="Y25" s="3235"/>
      <c r="Z25" s="1815" t="str">
        <f>Q25</f>
        <v>临街状况</v>
      </c>
      <c r="AA25" s="1812">
        <f t="shared" si="3"/>
        <v>1</v>
      </c>
      <c r="AB25" s="1812">
        <f t="shared" si="4"/>
        <v>1</v>
      </c>
      <c r="AC25" s="1812">
        <f t="shared" si="5"/>
        <v>1</v>
      </c>
    </row>
    <row r="26" spans="1:29" ht="15">
      <c r="A26" s="426"/>
      <c r="B26" s="1387" t="s">
        <v>2655</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42"/>
      <c r="Q26" s="1811" t="str">
        <f t="shared" si="11"/>
        <v>平面位置/可视性</v>
      </c>
      <c r="R26" s="772" t="s">
        <v>17</v>
      </c>
      <c r="S26" s="773">
        <f>F26</f>
        <v>100</v>
      </c>
      <c r="T26" s="772" t="s">
        <v>17</v>
      </c>
      <c r="U26" s="773">
        <f>H26</f>
        <v>100</v>
      </c>
      <c r="V26" s="772" t="s">
        <v>17</v>
      </c>
      <c r="W26" s="773">
        <f>J26</f>
        <v>100</v>
      </c>
      <c r="X26" s="1814"/>
      <c r="Y26" s="3235"/>
      <c r="Z26" s="1815" t="str">
        <f>Q26</f>
        <v>平面位置/可视性</v>
      </c>
      <c r="AA26" s="1812">
        <f t="shared" si="3"/>
        <v>1</v>
      </c>
      <c r="AB26" s="1812">
        <f t="shared" si="4"/>
        <v>1</v>
      </c>
      <c r="AC26" s="1812">
        <f t="shared" si="5"/>
        <v>1</v>
      </c>
    </row>
    <row r="27" spans="1:29" s="116" customFormat="1" ht="15">
      <c r="A27" s="429"/>
      <c r="B27" s="449" t="s">
        <v>2656</v>
      </c>
      <c r="C27" s="2668"/>
      <c r="D27" s="460">
        <v>100</v>
      </c>
      <c r="E27" s="2668"/>
      <c r="F27" s="462">
        <f>SUMIF(90:90,E27,91:91)-SUMIF(90:90,C27,91:91)+100</f>
        <v>100</v>
      </c>
      <c r="G27" s="2668"/>
      <c r="H27" s="460">
        <f>SUMIF(90:90,G27,91:91)-SUMIF(90:90,C27,91:91)+100</f>
        <v>100</v>
      </c>
      <c r="I27" s="2668"/>
      <c r="J27" s="460">
        <f>SUMIF(90:90,I27,91:91)-SUMIF(90:90,C27,91:91)+100</f>
        <v>100</v>
      </c>
      <c r="K27" s="610"/>
      <c r="L27" s="1133"/>
      <c r="M27" s="1134"/>
      <c r="N27" s="1134"/>
      <c r="O27" s="1134"/>
      <c r="P27" s="3242"/>
      <c r="Q27" s="1796" t="str">
        <f t="shared" si="11"/>
        <v>人流量</v>
      </c>
      <c r="R27" s="768" t="s">
        <v>17</v>
      </c>
      <c r="S27" s="769">
        <f>F27</f>
        <v>100</v>
      </c>
      <c r="T27" s="768" t="s">
        <v>17</v>
      </c>
      <c r="U27" s="769">
        <f>H27</f>
        <v>100</v>
      </c>
      <c r="V27" s="768" t="s">
        <v>17</v>
      </c>
      <c r="W27" s="769">
        <f>J27</f>
        <v>100</v>
      </c>
      <c r="X27" s="770"/>
      <c r="Y27" s="3235"/>
      <c r="Z27" s="54" t="str">
        <f>Q27</f>
        <v>人流量</v>
      </c>
      <c r="AA27" s="1812">
        <f>D27/F27</f>
        <v>1</v>
      </c>
      <c r="AB27" s="1812">
        <f>D27/H27</f>
        <v>1</v>
      </c>
      <c r="AC27" s="1812">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42"/>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35"/>
      <c r="Z28" s="1815" t="str">
        <f t="shared" ref="Z28:Z46" si="15">Q28</f>
        <v>楼层</v>
      </c>
      <c r="AA28" s="1812">
        <f t="shared" si="3"/>
        <v>1</v>
      </c>
      <c r="AB28" s="1812">
        <f t="shared" si="4"/>
        <v>1</v>
      </c>
      <c r="AC28" s="1812">
        <f t="shared" si="5"/>
        <v>1</v>
      </c>
    </row>
    <row r="29" spans="1:29" ht="27">
      <c r="A29" s="426"/>
      <c r="B29" s="2961" t="s">
        <v>3086</v>
      </c>
      <c r="C29" s="2964" t="s">
        <v>3096</v>
      </c>
      <c r="D29" s="433">
        <v>100</v>
      </c>
      <c r="E29" s="2964" t="s">
        <v>3093</v>
      </c>
      <c r="F29" s="459">
        <f>SUMIF(94:94,E29,95:95)-SUMIF(94:94,C29,95:95)+100</f>
        <v>102</v>
      </c>
      <c r="G29" s="2964" t="s">
        <v>3094</v>
      </c>
      <c r="H29" s="433">
        <f>SUMIF(94:94,G29,95:95)-SUMIF(94:94,C29,95:95)+100</f>
        <v>100</v>
      </c>
      <c r="I29" s="2964" t="s">
        <v>3095</v>
      </c>
      <c r="J29" s="433">
        <f>SUMIF(94:94,I29,95:95)-SUMIF(94:94,C29,95:95)+100</f>
        <v>100</v>
      </c>
      <c r="K29" s="611"/>
      <c r="L29" s="1141"/>
      <c r="M29" s="1132"/>
      <c r="N29" s="1132"/>
      <c r="O29" s="1132"/>
      <c r="P29" s="3242"/>
      <c r="Q29" s="1811" t="str">
        <f t="shared" si="11"/>
        <v>毗邻道路</v>
      </c>
      <c r="R29" s="772" t="s">
        <v>17</v>
      </c>
      <c r="S29" s="773">
        <f t="shared" si="12"/>
        <v>102</v>
      </c>
      <c r="T29" s="772" t="s">
        <v>17</v>
      </c>
      <c r="U29" s="773">
        <f t="shared" si="13"/>
        <v>100</v>
      </c>
      <c r="V29" s="772" t="s">
        <v>17</v>
      </c>
      <c r="W29" s="773">
        <f t="shared" si="14"/>
        <v>100</v>
      </c>
      <c r="X29" s="1814"/>
      <c r="Y29" s="3235"/>
      <c r="Z29" s="1815" t="str">
        <f t="shared" si="15"/>
        <v>毗邻道路</v>
      </c>
      <c r="AA29" s="1812">
        <f t="shared" si="3"/>
        <v>0.98039215686274506</v>
      </c>
      <c r="AB29" s="1812">
        <f t="shared" si="4"/>
        <v>1</v>
      </c>
      <c r="AC29" s="1812">
        <f t="shared" si="5"/>
        <v>1</v>
      </c>
    </row>
    <row r="30" spans="1:29" ht="15">
      <c r="A30" s="426"/>
      <c r="B30" s="2975" t="s">
        <v>3098</v>
      </c>
      <c r="C30" s="2976" t="s">
        <v>3099</v>
      </c>
      <c r="D30" s="433">
        <v>100</v>
      </c>
      <c r="E30" s="2976" t="s">
        <v>3100</v>
      </c>
      <c r="F30" s="459">
        <f>SUMIF(96:96,E30,97:97)-SUMIF(96:96,C30,97:97)+100</f>
        <v>102</v>
      </c>
      <c r="G30" s="2976" t="s">
        <v>3100</v>
      </c>
      <c r="H30" s="433">
        <f>SUMIF(96:96,G30,97:97)-SUMIF(96:96,C30,97:97)+100</f>
        <v>102</v>
      </c>
      <c r="I30" s="2976" t="s">
        <v>3100</v>
      </c>
      <c r="J30" s="433">
        <f>SUMIF(96:96,I30,97:97)-SUMIF(96:96,C30,97:97)+100</f>
        <v>102</v>
      </c>
      <c r="K30" s="611"/>
      <c r="L30" s="1141"/>
      <c r="M30" s="1132"/>
      <c r="N30" s="1132"/>
      <c r="O30" s="1132"/>
      <c r="P30" s="3242"/>
      <c r="Q30" s="1811" t="str">
        <f t="shared" si="11"/>
        <v>项目位置</v>
      </c>
      <c r="R30" s="772" t="s">
        <v>17</v>
      </c>
      <c r="S30" s="773">
        <f t="shared" si="12"/>
        <v>102</v>
      </c>
      <c r="T30" s="772" t="s">
        <v>17</v>
      </c>
      <c r="U30" s="773">
        <f t="shared" si="13"/>
        <v>102</v>
      </c>
      <c r="V30" s="772" t="s">
        <v>17</v>
      </c>
      <c r="W30" s="773">
        <f t="shared" si="14"/>
        <v>102</v>
      </c>
      <c r="X30" s="1814"/>
      <c r="Y30" s="3235"/>
      <c r="Z30" s="1815" t="str">
        <f t="shared" si="15"/>
        <v>项目位置</v>
      </c>
      <c r="AA30" s="1812">
        <f t="shared" si="3"/>
        <v>0.98039215686274506</v>
      </c>
      <c r="AB30" s="1812">
        <f t="shared" si="4"/>
        <v>0.98039215686274506</v>
      </c>
      <c r="AC30" s="1812">
        <f t="shared" si="5"/>
        <v>0.98039215686274506</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42"/>
      <c r="Q31" s="1811">
        <f t="shared" si="11"/>
        <v>111</v>
      </c>
      <c r="R31" s="772" t="s">
        <v>17</v>
      </c>
      <c r="S31" s="773">
        <f t="shared" si="12"/>
        <v>100</v>
      </c>
      <c r="T31" s="772" t="s">
        <v>17</v>
      </c>
      <c r="U31" s="773">
        <f t="shared" si="13"/>
        <v>100</v>
      </c>
      <c r="V31" s="772" t="s">
        <v>17</v>
      </c>
      <c r="W31" s="773">
        <f t="shared" si="14"/>
        <v>100</v>
      </c>
      <c r="X31" s="1814"/>
      <c r="Y31" s="3235"/>
      <c r="Z31" s="1815">
        <f t="shared" si="15"/>
        <v>111</v>
      </c>
      <c r="AA31" s="1812">
        <f t="shared" si="3"/>
        <v>1</v>
      </c>
      <c r="AB31" s="1812">
        <f t="shared" si="4"/>
        <v>1</v>
      </c>
      <c r="AC31" s="1812">
        <f t="shared" si="5"/>
        <v>1</v>
      </c>
    </row>
    <row r="32" spans="1:29" ht="15">
      <c r="A32" s="438" t="s">
        <v>2561</v>
      </c>
      <c r="B32" s="70" t="s">
        <v>2658</v>
      </c>
      <c r="C32" s="2620"/>
      <c r="D32" s="465">
        <v>100</v>
      </c>
      <c r="E32" s="2620"/>
      <c r="F32" s="459">
        <f>SUMIF(100:100,E32,101:101)-SUMIF(100:100,C32,101:101)+100</f>
        <v>100</v>
      </c>
      <c r="G32" s="2620"/>
      <c r="H32" s="433">
        <f>SUMIF(100:100,G32,101:101)-SUMIF(100:100,C32,101:101)+100</f>
        <v>100</v>
      </c>
      <c r="I32" s="2620"/>
      <c r="J32" s="465">
        <f>SUMIF(100:100,I32,101:101)-SUMIF(100:100,C32,101:101)+100</f>
        <v>100</v>
      </c>
      <c r="K32" s="610"/>
      <c r="L32" s="1141"/>
      <c r="M32" s="1132"/>
      <c r="N32" s="1132"/>
      <c r="O32" s="1132"/>
      <c r="P32" s="3236" t="s">
        <v>2563</v>
      </c>
      <c r="Q32" s="1811" t="str">
        <f t="shared" si="11"/>
        <v>商业类型</v>
      </c>
      <c r="R32" s="772" t="s">
        <v>17</v>
      </c>
      <c r="S32" s="773">
        <f t="shared" si="12"/>
        <v>100</v>
      </c>
      <c r="T32" s="772" t="s">
        <v>17</v>
      </c>
      <c r="U32" s="773">
        <f t="shared" si="13"/>
        <v>100</v>
      </c>
      <c r="V32" s="772" t="s">
        <v>17</v>
      </c>
      <c r="W32" s="773">
        <f t="shared" si="14"/>
        <v>100</v>
      </c>
      <c r="X32" s="1814"/>
      <c r="Y32" s="3239" t="s">
        <v>2563</v>
      </c>
      <c r="Z32" s="1815" t="str">
        <f t="shared" si="15"/>
        <v>商业类型</v>
      </c>
      <c r="AA32" s="1812">
        <f t="shared" si="3"/>
        <v>1</v>
      </c>
      <c r="AB32" s="1812">
        <f t="shared" si="4"/>
        <v>1</v>
      </c>
      <c r="AC32" s="1812">
        <f t="shared" si="5"/>
        <v>1</v>
      </c>
    </row>
    <row r="33" spans="1:29" s="469" customFormat="1" ht="15">
      <c r="A33" s="466"/>
      <c r="B33" s="420" t="s">
        <v>2564</v>
      </c>
      <c r="C33" s="467">
        <v>42748</v>
      </c>
      <c r="D33" s="135">
        <v>100</v>
      </c>
      <c r="E33" s="428">
        <v>9601.7000000000007</v>
      </c>
      <c r="F33" s="423">
        <f>LOOKUP(E33,103:103,104:104)-LOOKUP(C33,103:103,104:104)+100</f>
        <v>90</v>
      </c>
      <c r="G33" s="427">
        <v>41868.199999999997</v>
      </c>
      <c r="H33" s="135">
        <f>LOOKUP(G33,103:103,104:104)-LOOKUP(C33,103:103,104:104)+100</f>
        <v>100</v>
      </c>
      <c r="I33" s="427">
        <v>70857.399999999994</v>
      </c>
      <c r="J33" s="135">
        <f>LOOKUP(I33,103:103,104:104)-LOOKUP(C33,103:103,104:104)+100</f>
        <v>105</v>
      </c>
      <c r="K33" s="611"/>
      <c r="L33" s="1139"/>
      <c r="M33" s="1142"/>
      <c r="N33" s="1142"/>
      <c r="O33" s="1142"/>
      <c r="P33" s="3237"/>
      <c r="Q33" s="774" t="str">
        <f t="shared" si="11"/>
        <v>项目建筑规模</v>
      </c>
      <c r="R33" s="775" t="s">
        <v>17</v>
      </c>
      <c r="S33" s="776">
        <f t="shared" si="12"/>
        <v>90</v>
      </c>
      <c r="T33" s="775" t="s">
        <v>17</v>
      </c>
      <c r="U33" s="776">
        <f t="shared" si="13"/>
        <v>100</v>
      </c>
      <c r="V33" s="775" t="s">
        <v>17</v>
      </c>
      <c r="W33" s="776">
        <f t="shared" si="14"/>
        <v>105</v>
      </c>
      <c r="X33" s="777"/>
      <c r="Y33" s="3239"/>
      <c r="Z33" s="778" t="str">
        <f t="shared" si="15"/>
        <v>项目建筑规模</v>
      </c>
      <c r="AA33" s="1812">
        <f t="shared" si="3"/>
        <v>1.1111111111111112</v>
      </c>
      <c r="AB33" s="1812">
        <f t="shared" si="4"/>
        <v>1</v>
      </c>
      <c r="AC33" s="1812">
        <f t="shared" si="5"/>
        <v>0.95238095238095233</v>
      </c>
    </row>
    <row r="34" spans="1:29" ht="15" hidden="1">
      <c r="A34" s="470"/>
      <c r="B34" s="420" t="s">
        <v>2565</v>
      </c>
      <c r="C34" s="2622"/>
      <c r="D34" s="433">
        <v>100</v>
      </c>
      <c r="E34" s="2622"/>
      <c r="F34" s="459">
        <f>SUMIF(105:105,E34,106:106)-SUMIF(105:105,C34,106:106)+100</f>
        <v>100</v>
      </c>
      <c r="G34" s="2622"/>
      <c r="H34" s="433">
        <f>SUMIF(105:105,G34,106:106)-SUMIF(105:105,C34,106:106)+100</f>
        <v>100</v>
      </c>
      <c r="I34" s="2622"/>
      <c r="J34" s="433">
        <f>SUMIF(105:105,I34,106:106)-SUMIF(105:105,C34,106:106)+100</f>
        <v>100</v>
      </c>
      <c r="K34" s="610"/>
      <c r="L34" s="1141"/>
      <c r="M34" s="1132"/>
      <c r="N34" s="1132"/>
      <c r="O34" s="1132"/>
      <c r="P34" s="3237"/>
      <c r="Q34" s="1811" t="str">
        <f t="shared" si="11"/>
        <v>建筑结构</v>
      </c>
      <c r="R34" s="772" t="s">
        <v>17</v>
      </c>
      <c r="S34" s="773">
        <f t="shared" si="12"/>
        <v>100</v>
      </c>
      <c r="T34" s="772" t="s">
        <v>17</v>
      </c>
      <c r="U34" s="773">
        <f t="shared" si="13"/>
        <v>100</v>
      </c>
      <c r="V34" s="772" t="s">
        <v>17</v>
      </c>
      <c r="W34" s="773">
        <f t="shared" si="14"/>
        <v>100</v>
      </c>
      <c r="X34" s="1814"/>
      <c r="Y34" s="3239"/>
      <c r="Z34" s="1815" t="str">
        <f t="shared" si="15"/>
        <v>建筑结构</v>
      </c>
      <c r="AA34" s="1812">
        <f t="shared" si="3"/>
        <v>1</v>
      </c>
      <c r="AB34" s="1812">
        <f t="shared" si="4"/>
        <v>1</v>
      </c>
      <c r="AC34" s="1812">
        <f t="shared" si="5"/>
        <v>1</v>
      </c>
    </row>
    <row r="35" spans="1:29" ht="15" hidden="1">
      <c r="A35" s="470"/>
      <c r="B35" s="420" t="s">
        <v>2659</v>
      </c>
      <c r="C35" s="2616"/>
      <c r="D35" s="433">
        <v>100</v>
      </c>
      <c r="E35" s="2616"/>
      <c r="F35" s="459">
        <f>SUMIF(107:107,E35,108:108)-SUMIF(107:107,C35,108:108)+100</f>
        <v>100</v>
      </c>
      <c r="G35" s="2616"/>
      <c r="H35" s="433">
        <f>SUMIF(107:107,G35,108:108)-SUMIF(107:107,C35,108:108)+100</f>
        <v>100</v>
      </c>
      <c r="I35" s="2616"/>
      <c r="J35" s="433">
        <f>SUMIF(107:107,I35,108:108)-SUMIF(107:107,C35,108:108)+100</f>
        <v>100</v>
      </c>
      <c r="K35" s="610"/>
      <c r="L35" s="1141"/>
      <c r="M35" s="1132"/>
      <c r="N35" s="1132"/>
      <c r="O35" s="1132"/>
      <c r="P35" s="3237"/>
      <c r="Q35" s="1811" t="str">
        <f t="shared" si="11"/>
        <v>公共部分装修</v>
      </c>
      <c r="R35" s="772" t="s">
        <v>17</v>
      </c>
      <c r="S35" s="773">
        <f t="shared" si="12"/>
        <v>100</v>
      </c>
      <c r="T35" s="772" t="s">
        <v>17</v>
      </c>
      <c r="U35" s="773">
        <f t="shared" si="13"/>
        <v>100</v>
      </c>
      <c r="V35" s="772" t="s">
        <v>17</v>
      </c>
      <c r="W35" s="773">
        <f t="shared" si="14"/>
        <v>100</v>
      </c>
      <c r="X35" s="1814"/>
      <c r="Y35" s="3239"/>
      <c r="Z35" s="1815" t="str">
        <f t="shared" si="15"/>
        <v>公共部分装修</v>
      </c>
      <c r="AA35" s="1812">
        <f t="shared" si="3"/>
        <v>1</v>
      </c>
      <c r="AB35" s="1812">
        <f t="shared" si="4"/>
        <v>1</v>
      </c>
      <c r="AC35" s="1812">
        <f t="shared" si="5"/>
        <v>1</v>
      </c>
    </row>
    <row r="36" spans="1:29" ht="15" hidden="1">
      <c r="A36" s="470"/>
      <c r="B36" s="420" t="s">
        <v>2660</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c r="L36" s="1141"/>
      <c r="M36" s="1132"/>
      <c r="N36" s="1132"/>
      <c r="O36" s="1132"/>
      <c r="P36" s="3237"/>
      <c r="Q36" s="1811" t="str">
        <f t="shared" si="11"/>
        <v>成新度</v>
      </c>
      <c r="R36" s="772" t="s">
        <v>17</v>
      </c>
      <c r="S36" s="773">
        <f t="shared" si="12"/>
        <v>100</v>
      </c>
      <c r="T36" s="772" t="s">
        <v>17</v>
      </c>
      <c r="U36" s="773">
        <f t="shared" si="13"/>
        <v>100</v>
      </c>
      <c r="V36" s="772" t="s">
        <v>17</v>
      </c>
      <c r="W36" s="773">
        <f t="shared" si="14"/>
        <v>100</v>
      </c>
      <c r="X36" s="1814"/>
      <c r="Y36" s="3239"/>
      <c r="Z36" s="1815" t="str">
        <f t="shared" si="15"/>
        <v>成新度</v>
      </c>
      <c r="AA36" s="1812">
        <f t="shared" si="3"/>
        <v>1</v>
      </c>
      <c r="AB36" s="1812">
        <f t="shared" si="4"/>
        <v>1</v>
      </c>
      <c r="AC36" s="1812">
        <f t="shared" si="5"/>
        <v>1</v>
      </c>
    </row>
    <row r="37" spans="1:29" s="116" customFormat="1" ht="15" hidden="1">
      <c r="A37" s="471"/>
      <c r="B37" s="420" t="s">
        <v>2661</v>
      </c>
      <c r="C37" s="2616"/>
      <c r="D37" s="135">
        <v>100</v>
      </c>
      <c r="E37" s="2616"/>
      <c r="F37" s="459">
        <f>SUMIF(112:112,E37,113:113)-SUMIF(112:112,C37,113:113)+100</f>
        <v>100</v>
      </c>
      <c r="G37" s="2616"/>
      <c r="H37" s="433">
        <f>SUMIF(112:112,G37,113:113)-SUMIF(112:112,C37,113:113)+100</f>
        <v>100</v>
      </c>
      <c r="I37" s="2616"/>
      <c r="J37" s="433">
        <f>SUMIF(112:112,I37,113:113)-SUMIF(112:112,C37,113:113)+100</f>
        <v>100</v>
      </c>
      <c r="K37" s="610"/>
      <c r="L37" s="1133"/>
      <c r="M37" s="1134"/>
      <c r="N37" s="1134"/>
      <c r="O37" s="1134"/>
      <c r="P37" s="3237"/>
      <c r="Q37" s="1796" t="str">
        <f t="shared" si="11"/>
        <v>市政基础设施</v>
      </c>
      <c r="R37" s="768" t="s">
        <v>17</v>
      </c>
      <c r="S37" s="769">
        <f t="shared" si="12"/>
        <v>100</v>
      </c>
      <c r="T37" s="768" t="s">
        <v>17</v>
      </c>
      <c r="U37" s="769">
        <f t="shared" si="13"/>
        <v>100</v>
      </c>
      <c r="V37" s="768" t="s">
        <v>17</v>
      </c>
      <c r="W37" s="769">
        <f t="shared" si="14"/>
        <v>100</v>
      </c>
      <c r="X37" s="770"/>
      <c r="Y37" s="3239"/>
      <c r="Z37" s="54" t="str">
        <f t="shared" si="15"/>
        <v>市政基础设施</v>
      </c>
      <c r="AA37" s="771">
        <f t="shared" si="3"/>
        <v>1</v>
      </c>
      <c r="AB37" s="771">
        <f t="shared" si="4"/>
        <v>1</v>
      </c>
      <c r="AC37" s="771">
        <f t="shared" si="5"/>
        <v>1</v>
      </c>
    </row>
    <row r="38" spans="1:29" ht="15" hidden="1">
      <c r="A38" s="470"/>
      <c r="B38" s="420" t="s">
        <v>2662</v>
      </c>
      <c r="C38" s="2616"/>
      <c r="D38" s="433">
        <v>100</v>
      </c>
      <c r="E38" s="2616"/>
      <c r="F38" s="459">
        <f>SUMIF(114:114,E38,115:115)-SUMIF(114:114,C38,115:115)+100</f>
        <v>100</v>
      </c>
      <c r="G38" s="2616"/>
      <c r="H38" s="433">
        <f>SUMIF(114:114,G38,115:115)-SUMIF(114:114,C38,115:115)+100</f>
        <v>100</v>
      </c>
      <c r="I38" s="2616"/>
      <c r="J38" s="433">
        <f>SUMIF(114:114,I38,115:115)-SUMIF(114:114,C38,115:115)+100</f>
        <v>100</v>
      </c>
      <c r="K38" s="610"/>
      <c r="L38" s="1141"/>
      <c r="M38" s="1132"/>
      <c r="N38" s="1132"/>
      <c r="O38" s="1132"/>
      <c r="P38" s="3237" t="s">
        <v>2563</v>
      </c>
      <c r="Q38" s="1811" t="str">
        <f t="shared" si="11"/>
        <v>业态</v>
      </c>
      <c r="R38" s="772" t="s">
        <v>17</v>
      </c>
      <c r="S38" s="773">
        <f t="shared" si="12"/>
        <v>100</v>
      </c>
      <c r="T38" s="772" t="s">
        <v>17</v>
      </c>
      <c r="U38" s="773">
        <f t="shared" si="13"/>
        <v>100</v>
      </c>
      <c r="V38" s="772" t="s">
        <v>17</v>
      </c>
      <c r="W38" s="773">
        <f t="shared" si="14"/>
        <v>100</v>
      </c>
      <c r="X38" s="1814"/>
      <c r="Y38" s="3239" t="s">
        <v>2563</v>
      </c>
      <c r="Z38" s="1815" t="str">
        <f t="shared" si="15"/>
        <v>业态</v>
      </c>
      <c r="AA38" s="1812">
        <f t="shared" si="3"/>
        <v>1</v>
      </c>
      <c r="AB38" s="1812">
        <f t="shared" si="4"/>
        <v>1</v>
      </c>
      <c r="AC38" s="1812">
        <f t="shared" si="5"/>
        <v>1</v>
      </c>
    </row>
    <row r="39" spans="1:29" ht="15" hidden="1">
      <c r="A39" s="470"/>
      <c r="B39" s="420" t="s">
        <v>2663</v>
      </c>
      <c r="C39" s="2616"/>
      <c r="D39" s="433">
        <v>100</v>
      </c>
      <c r="E39" s="2616"/>
      <c r="F39" s="459">
        <f>SUMIF(116:116,E39,117:117)-SUMIF(116:116,C39,117:117)+100</f>
        <v>100</v>
      </c>
      <c r="G39" s="2616"/>
      <c r="H39" s="433">
        <f>SUMIF(116:116,G39,117:117)-SUMIF(116:116,C39,117:117)+100</f>
        <v>100</v>
      </c>
      <c r="I39" s="2616"/>
      <c r="J39" s="433">
        <f>SUMIF(116:116,I39,117:117)-SUMIF(116:116,C39,117:117)+100</f>
        <v>100</v>
      </c>
      <c r="K39" s="610"/>
      <c r="L39" s="1141"/>
      <c r="M39" s="1132"/>
      <c r="N39" s="1132"/>
      <c r="O39" s="1132"/>
      <c r="P39" s="3237"/>
      <c r="Q39" s="1811" t="str">
        <f t="shared" si="11"/>
        <v>层高</v>
      </c>
      <c r="R39" s="772" t="s">
        <v>17</v>
      </c>
      <c r="S39" s="773">
        <f t="shared" si="12"/>
        <v>100</v>
      </c>
      <c r="T39" s="772" t="s">
        <v>17</v>
      </c>
      <c r="U39" s="773">
        <f t="shared" si="13"/>
        <v>100</v>
      </c>
      <c r="V39" s="772" t="s">
        <v>17</v>
      </c>
      <c r="W39" s="773">
        <f t="shared" si="14"/>
        <v>100</v>
      </c>
      <c r="X39" s="1814"/>
      <c r="Y39" s="3239"/>
      <c r="Z39" s="1815" t="str">
        <f t="shared" si="15"/>
        <v>层高</v>
      </c>
      <c r="AA39" s="1812">
        <f t="shared" si="3"/>
        <v>1</v>
      </c>
      <c r="AB39" s="1812">
        <f t="shared" si="4"/>
        <v>1</v>
      </c>
      <c r="AC39" s="1812">
        <f t="shared" si="5"/>
        <v>1</v>
      </c>
    </row>
    <row r="40" spans="1:29" ht="15" hidden="1">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37"/>
      <c r="Q40" s="1811" t="str">
        <f t="shared" si="11"/>
        <v>单套建筑面积</v>
      </c>
      <c r="R40" s="772" t="s">
        <v>17</v>
      </c>
      <c r="S40" s="773">
        <f t="shared" si="12"/>
        <v>100</v>
      </c>
      <c r="T40" s="772" t="s">
        <v>17</v>
      </c>
      <c r="U40" s="773">
        <f t="shared" si="13"/>
        <v>100</v>
      </c>
      <c r="V40" s="772" t="s">
        <v>17</v>
      </c>
      <c r="W40" s="773">
        <f t="shared" si="14"/>
        <v>100</v>
      </c>
      <c r="X40" s="1814"/>
      <c r="Y40" s="3239"/>
      <c r="Z40" s="1815" t="str">
        <f t="shared" si="15"/>
        <v>单套建筑面积</v>
      </c>
      <c r="AA40" s="1812">
        <f t="shared" si="3"/>
        <v>1</v>
      </c>
      <c r="AB40" s="1812">
        <f t="shared" si="4"/>
        <v>1</v>
      </c>
      <c r="AC40" s="1812">
        <f t="shared" si="5"/>
        <v>1</v>
      </c>
    </row>
    <row r="41" spans="1:29" s="469" customFormat="1" ht="15" hidden="1">
      <c r="A41" s="466"/>
      <c r="B41" s="1813"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37"/>
      <c r="Q41" s="774" t="str">
        <f t="shared" si="11"/>
        <v>进深比</v>
      </c>
      <c r="R41" s="775" t="s">
        <v>17</v>
      </c>
      <c r="S41" s="776">
        <f t="shared" si="12"/>
        <v>100</v>
      </c>
      <c r="T41" s="775" t="s">
        <v>17</v>
      </c>
      <c r="U41" s="776">
        <f t="shared" si="13"/>
        <v>100</v>
      </c>
      <c r="V41" s="775" t="s">
        <v>17</v>
      </c>
      <c r="W41" s="776">
        <f t="shared" si="14"/>
        <v>100</v>
      </c>
      <c r="X41" s="777"/>
      <c r="Y41" s="3239"/>
      <c r="Z41" s="778" t="str">
        <f t="shared" si="15"/>
        <v>进深比</v>
      </c>
      <c r="AA41" s="1812">
        <f t="shared" si="3"/>
        <v>1</v>
      </c>
      <c r="AB41" s="1812">
        <f t="shared" si="4"/>
        <v>1</v>
      </c>
      <c r="AC41" s="1812">
        <f t="shared" si="5"/>
        <v>1</v>
      </c>
    </row>
    <row r="42" spans="1:29" ht="15" hidden="1">
      <c r="A42" s="470"/>
      <c r="B42" s="420" t="s">
        <v>2666</v>
      </c>
      <c r="C42" s="2616"/>
      <c r="D42" s="433">
        <v>100</v>
      </c>
      <c r="E42" s="2616"/>
      <c r="F42" s="459">
        <f>SUMIF(122:122,E42,123:123)-SUMIF(122:122,C42,123:123)+100</f>
        <v>100</v>
      </c>
      <c r="G42" s="2616"/>
      <c r="H42" s="433">
        <f>SUMIF(122:122,G42,123:123)-SUMIF(122:122,C42,123:123)+100</f>
        <v>100</v>
      </c>
      <c r="I42" s="2616"/>
      <c r="J42" s="433">
        <f>SUMIF(122:122,I42,123:123)-SUMIF(122:122,C42,123:123)+100</f>
        <v>100</v>
      </c>
      <c r="K42" s="610"/>
      <c r="L42" s="1141"/>
      <c r="M42" s="1132"/>
      <c r="N42" s="1132"/>
      <c r="O42" s="1132"/>
      <c r="P42" s="3237"/>
      <c r="Q42" s="1811" t="str">
        <f t="shared" si="11"/>
        <v>内部装修</v>
      </c>
      <c r="R42" s="772" t="s">
        <v>17</v>
      </c>
      <c r="S42" s="773">
        <f t="shared" si="12"/>
        <v>100</v>
      </c>
      <c r="T42" s="772" t="s">
        <v>17</v>
      </c>
      <c r="U42" s="773">
        <f t="shared" si="13"/>
        <v>100</v>
      </c>
      <c r="V42" s="772" t="s">
        <v>17</v>
      </c>
      <c r="W42" s="773">
        <f t="shared" si="14"/>
        <v>100</v>
      </c>
      <c r="X42" s="1814"/>
      <c r="Y42" s="3239"/>
      <c r="Z42" s="1815" t="str">
        <f t="shared" si="15"/>
        <v>内部装修</v>
      </c>
      <c r="AA42" s="1812">
        <f t="shared" si="3"/>
        <v>1</v>
      </c>
      <c r="AB42" s="1812">
        <f t="shared" si="4"/>
        <v>1</v>
      </c>
      <c r="AC42" s="1812">
        <f t="shared" si="5"/>
        <v>1</v>
      </c>
    </row>
    <row r="43" spans="1:29" ht="15" hidden="1">
      <c r="A43" s="470"/>
      <c r="B43" s="420" t="s">
        <v>2574</v>
      </c>
      <c r="C43" s="2616"/>
      <c r="D43" s="433">
        <v>100</v>
      </c>
      <c r="E43" s="2616"/>
      <c r="F43" s="459">
        <f>SUMIF(124:124,E43,125:125)-SUMIF(124:124,C43,125:125)+100</f>
        <v>100</v>
      </c>
      <c r="G43" s="2616"/>
      <c r="H43" s="433">
        <f>SUMIF(124:124,G43,125:125)-SUMIF(124:124,C43,125:125)+100</f>
        <v>100</v>
      </c>
      <c r="I43" s="2616"/>
      <c r="J43" s="433">
        <f>SUMIF(124:124,I43,125:125)-SUMIF(124:124,C43,125:125)+100</f>
        <v>100</v>
      </c>
      <c r="K43" s="610"/>
      <c r="L43" s="1141"/>
      <c r="M43" s="1132"/>
      <c r="N43" s="1132"/>
      <c r="O43" s="1132"/>
      <c r="P43" s="3237"/>
      <c r="Q43" s="1811" t="str">
        <f t="shared" si="11"/>
        <v>内部装修维护情况</v>
      </c>
      <c r="R43" s="772" t="s">
        <v>17</v>
      </c>
      <c r="S43" s="773">
        <f t="shared" si="12"/>
        <v>100</v>
      </c>
      <c r="T43" s="772" t="s">
        <v>17</v>
      </c>
      <c r="U43" s="773">
        <f t="shared" si="13"/>
        <v>100</v>
      </c>
      <c r="V43" s="772" t="s">
        <v>17</v>
      </c>
      <c r="W43" s="773">
        <f t="shared" si="14"/>
        <v>100</v>
      </c>
      <c r="X43" s="1814"/>
      <c r="Y43" s="3239"/>
      <c r="Z43" s="1815" t="str">
        <f t="shared" si="15"/>
        <v>内部装修维护情况</v>
      </c>
      <c r="AA43" s="1812">
        <f t="shared" si="3"/>
        <v>1</v>
      </c>
      <c r="AB43" s="1812">
        <f t="shared" si="4"/>
        <v>1</v>
      </c>
      <c r="AC43" s="1812">
        <f t="shared" si="5"/>
        <v>1</v>
      </c>
    </row>
    <row r="44" spans="1:29" s="116" customFormat="1" ht="15">
      <c r="A44" s="471"/>
      <c r="B44" s="2961" t="s">
        <v>3087</v>
      </c>
      <c r="C44" s="2963" t="s">
        <v>3090</v>
      </c>
      <c r="D44" s="135">
        <v>100</v>
      </c>
      <c r="E44" s="2963" t="s">
        <v>3090</v>
      </c>
      <c r="F44" s="423">
        <f>SUMIF(126:126,E44,127:127)-SUMIF(126:126,C44,127:127)+100</f>
        <v>100</v>
      </c>
      <c r="G44" s="2963" t="s">
        <v>3090</v>
      </c>
      <c r="H44" s="135">
        <f>SUMIF(126:126,G44,127:127)-SUMIF(126:126,C44,127:127)+100</f>
        <v>100</v>
      </c>
      <c r="I44" s="2963" t="s">
        <v>3090</v>
      </c>
      <c r="J44" s="135">
        <f>SUMIF(126:126,I44,127:127)-SUMIF(126:126,C44,127:127)+100</f>
        <v>100</v>
      </c>
      <c r="K44" s="611"/>
      <c r="L44" s="1133"/>
      <c r="M44" s="1134"/>
      <c r="N44" s="1134"/>
      <c r="O44" s="1134"/>
      <c r="P44" s="3237"/>
      <c r="Q44" s="1796" t="str">
        <f t="shared" si="11"/>
        <v>临街宽度及深度</v>
      </c>
      <c r="R44" s="768" t="s">
        <v>17</v>
      </c>
      <c r="S44" s="769">
        <f t="shared" si="12"/>
        <v>100</v>
      </c>
      <c r="T44" s="768" t="s">
        <v>17</v>
      </c>
      <c r="U44" s="769">
        <f t="shared" si="13"/>
        <v>100</v>
      </c>
      <c r="V44" s="768" t="s">
        <v>17</v>
      </c>
      <c r="W44" s="769">
        <f t="shared" si="14"/>
        <v>100</v>
      </c>
      <c r="X44" s="770"/>
      <c r="Y44" s="3239"/>
      <c r="Z44" s="54" t="str">
        <f t="shared" si="15"/>
        <v>临街宽度及深度</v>
      </c>
      <c r="AA44" s="771">
        <f t="shared" si="3"/>
        <v>1</v>
      </c>
      <c r="AB44" s="771">
        <f t="shared" si="4"/>
        <v>1</v>
      </c>
      <c r="AC44" s="771">
        <f t="shared" si="5"/>
        <v>1</v>
      </c>
    </row>
    <row r="45" spans="1:29" ht="15">
      <c r="A45" s="470"/>
      <c r="B45" s="2961" t="s">
        <v>3088</v>
      </c>
      <c r="C45" s="2964" t="s">
        <v>3090</v>
      </c>
      <c r="D45" s="433">
        <v>100</v>
      </c>
      <c r="E45" s="2964" t="s">
        <v>3090</v>
      </c>
      <c r="F45" s="459">
        <f>SUMIF(128:128,E45,129:129)-SUMIF(128:128,C45,129:129)+100</f>
        <v>100</v>
      </c>
      <c r="G45" s="2964" t="s">
        <v>3090</v>
      </c>
      <c r="H45" s="433">
        <f>SUMIF(128:128,G45,129:129)-SUMIF(128:128,C45,129:129)+100</f>
        <v>100</v>
      </c>
      <c r="I45" s="2964" t="s">
        <v>3090</v>
      </c>
      <c r="J45" s="433">
        <f>SUMIF(128:128,I45,129:129)-SUMIF(128:128,C45,129:129)+100</f>
        <v>100</v>
      </c>
      <c r="K45" s="611"/>
      <c r="L45" s="1141"/>
      <c r="M45" s="1132"/>
      <c r="N45" s="1132"/>
      <c r="O45" s="1132"/>
      <c r="P45" s="3237"/>
      <c r="Q45" s="1811" t="str">
        <f t="shared" si="11"/>
        <v>宗地开发程度</v>
      </c>
      <c r="R45" s="772" t="s">
        <v>17</v>
      </c>
      <c r="S45" s="773">
        <f t="shared" si="12"/>
        <v>100</v>
      </c>
      <c r="T45" s="772" t="s">
        <v>17</v>
      </c>
      <c r="U45" s="773">
        <f t="shared" si="13"/>
        <v>100</v>
      </c>
      <c r="V45" s="772" t="s">
        <v>17</v>
      </c>
      <c r="W45" s="773">
        <f t="shared" si="14"/>
        <v>100</v>
      </c>
      <c r="X45" s="1814"/>
      <c r="Y45" s="3239"/>
      <c r="Z45" s="1815" t="str">
        <f t="shared" si="15"/>
        <v>宗地开发程度</v>
      </c>
      <c r="AA45" s="1812">
        <f t="shared" si="3"/>
        <v>1</v>
      </c>
      <c r="AB45" s="1812">
        <f t="shared" si="4"/>
        <v>1</v>
      </c>
      <c r="AC45" s="1812">
        <f t="shared" si="5"/>
        <v>1</v>
      </c>
    </row>
    <row r="46" spans="1:29" ht="15.75" thickBot="1">
      <c r="A46" s="476"/>
      <c r="B46" s="2962" t="s">
        <v>3089</v>
      </c>
      <c r="C46" s="2965" t="s">
        <v>3090</v>
      </c>
      <c r="D46" s="436">
        <v>100</v>
      </c>
      <c r="E46" s="2965" t="s">
        <v>3090</v>
      </c>
      <c r="F46" s="437">
        <f>SUMIF(130:130,E46,131:131)-SUMIF(130:130,C46,131:131)+100</f>
        <v>100</v>
      </c>
      <c r="G46" s="2965" t="s">
        <v>3090</v>
      </c>
      <c r="H46" s="436">
        <f>SUMIF(130:130,G46,131:131)-SUMIF(130:130,C46,131:131)+100</f>
        <v>100</v>
      </c>
      <c r="I46" s="2965" t="s">
        <v>3090</v>
      </c>
      <c r="J46" s="436">
        <f>SUMIF(130:130,I46,131:131)-SUMIF(130:130,C46,131:131)+100</f>
        <v>100</v>
      </c>
      <c r="K46" s="611"/>
      <c r="L46" s="1141"/>
      <c r="M46" s="1132"/>
      <c r="N46" s="1132"/>
      <c r="O46" s="1132"/>
      <c r="P46" s="3238"/>
      <c r="Q46" s="1811" t="str">
        <f t="shared" si="11"/>
        <v>工程地质条件</v>
      </c>
      <c r="R46" s="772" t="s">
        <v>17</v>
      </c>
      <c r="S46" s="773">
        <f t="shared" si="12"/>
        <v>100</v>
      </c>
      <c r="T46" s="772" t="s">
        <v>17</v>
      </c>
      <c r="U46" s="773">
        <f t="shared" si="13"/>
        <v>100</v>
      </c>
      <c r="V46" s="772" t="s">
        <v>17</v>
      </c>
      <c r="W46" s="773">
        <f t="shared" si="14"/>
        <v>100</v>
      </c>
      <c r="X46" s="1814"/>
      <c r="Y46" s="3240"/>
      <c r="Z46" s="1815" t="str">
        <f t="shared" si="15"/>
        <v>工程地质条件</v>
      </c>
      <c r="AA46" s="1812">
        <f t="shared" si="3"/>
        <v>1</v>
      </c>
      <c r="AB46" s="1812">
        <f t="shared" si="4"/>
        <v>1</v>
      </c>
      <c r="AC46" s="1812">
        <f t="shared" si="5"/>
        <v>1</v>
      </c>
    </row>
    <row r="47" spans="1:29" ht="15">
      <c r="A47" s="477" t="s">
        <v>2575</v>
      </c>
      <c r="B47" s="478"/>
      <c r="C47" s="1408" t="s">
        <v>1</v>
      </c>
      <c r="D47" s="1409"/>
      <c r="E47" s="1410">
        <v>16360</v>
      </c>
      <c r="F47" s="1411"/>
      <c r="G47" s="1412">
        <v>20025.27</v>
      </c>
      <c r="H47" s="1413"/>
      <c r="I47" s="1410">
        <v>20181.38</v>
      </c>
      <c r="J47" s="1413"/>
      <c r="K47" s="781"/>
      <c r="L47" s="1144"/>
      <c r="M47" s="1145"/>
      <c r="N47" s="1132"/>
      <c r="O47" s="1145"/>
      <c r="P47" s="3232" t="str">
        <f>A47</f>
        <v>成交单价（元/平方米）</v>
      </c>
      <c r="Q47" s="3232"/>
      <c r="R47" s="3227">
        <f>E47</f>
        <v>16360</v>
      </c>
      <c r="S47" s="3227"/>
      <c r="T47" s="3227">
        <f>G47</f>
        <v>20025.27</v>
      </c>
      <c r="U47" s="3227"/>
      <c r="V47" s="3227">
        <f>I47</f>
        <v>20181.38</v>
      </c>
      <c r="W47" s="3227"/>
      <c r="X47" s="757"/>
      <c r="Y47" s="779"/>
      <c r="Z47" s="757"/>
      <c r="AA47" s="757"/>
      <c r="AB47" s="757"/>
      <c r="AC47" s="757"/>
    </row>
    <row r="48" spans="1:29" ht="15.75" thickBot="1">
      <c r="A48" s="484" t="s">
        <v>2667</v>
      </c>
      <c r="B48" s="485"/>
      <c r="C48" s="1414">
        <f>R49</f>
        <v>17665</v>
      </c>
      <c r="D48" s="1415"/>
      <c r="E48" s="1416">
        <f>R48</f>
        <v>16464</v>
      </c>
      <c r="F48" s="1416"/>
      <c r="G48" s="1414">
        <f>T48</f>
        <v>18630</v>
      </c>
      <c r="H48" s="1415"/>
      <c r="I48" s="1416">
        <f>V48</f>
        <v>17900</v>
      </c>
      <c r="J48" s="1415"/>
      <c r="K48" s="782"/>
      <c r="L48" s="1144"/>
      <c r="M48" s="1145"/>
      <c r="N48" s="1132"/>
      <c r="O48" s="1145"/>
      <c r="P48" s="3232" t="str">
        <f>A48</f>
        <v>比较价值（元/平方米）</v>
      </c>
      <c r="Q48" s="3232"/>
      <c r="R48" s="3233">
        <f>IF(F1="售价",ROUND(PRODUCT(R47,AA7:AA46),0),ROUND(PRODUCT(R47,AA7:AA46),1))</f>
        <v>16464</v>
      </c>
      <c r="S48" s="3233"/>
      <c r="T48" s="3233">
        <f>IF(F1="售价",ROUND(PRODUCT(T47,AB7:AB46),0),ROUND(PRODUCT(T47,AB7:AB46),1))</f>
        <v>18630</v>
      </c>
      <c r="U48" s="3233"/>
      <c r="V48" s="3233">
        <f>IF(F1="售价",ROUND(PRODUCT(V47,AC7:AC46),0),ROUND(PRODUCT(V47,AC7:AC46),1))</f>
        <v>17900</v>
      </c>
      <c r="W48" s="3233"/>
      <c r="X48" s="757"/>
      <c r="Y48" s="757"/>
      <c r="Z48" s="757"/>
      <c r="AA48" s="757"/>
      <c r="AB48" s="757"/>
      <c r="AC48" s="757"/>
    </row>
    <row r="49" spans="1:29" ht="15.75" thickBot="1">
      <c r="A49" s="490" t="s">
        <v>2668</v>
      </c>
      <c r="B49" s="491"/>
      <c r="C49" s="1418">
        <f>R49</f>
        <v>17665</v>
      </c>
      <c r="D49" s="1418"/>
      <c r="E49" s="1418"/>
      <c r="F49" s="1418"/>
      <c r="G49" s="1418"/>
      <c r="H49" s="1418"/>
      <c r="I49" s="1418"/>
      <c r="J49" s="1418"/>
      <c r="K49" s="783"/>
      <c r="L49" s="1144"/>
      <c r="M49" s="1145"/>
      <c r="N49" s="1132"/>
      <c r="O49" s="1145"/>
      <c r="P49" s="3229" t="str">
        <f>A49</f>
        <v>估价对象XX用房的比较价值（楼面单价，元/平方米）</v>
      </c>
      <c r="Q49" s="3230"/>
      <c r="R49" s="3231">
        <f>IF(F1="售价",ROUND(AVERAGE(R48:V48),0),ROUND(AVERAGE(R48:V48),1))</f>
        <v>17665</v>
      </c>
      <c r="S49" s="3231"/>
      <c r="T49" s="3231"/>
      <c r="U49" s="3231"/>
      <c r="V49" s="3231"/>
      <c r="W49" s="323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2669</v>
      </c>
      <c r="D52" s="496"/>
      <c r="E52" s="497">
        <f>IF(E47&lt;E48,E48/E47-1,E47/E48-1)</f>
        <v>6.3569682151589646E-3</v>
      </c>
      <c r="F52" s="498" t="str">
        <f>IF(OR(E52&gt;=0.3,E52&lt;=-0.3),"超过30%","")</f>
        <v/>
      </c>
      <c r="G52" s="497">
        <f>IF(G47&lt;G48,G48/G47-1,G47/G48-1)</f>
        <v>7.4893719806763404E-2</v>
      </c>
      <c r="H52" s="498" t="str">
        <f>IF(OR(G52&gt;=0.3,G52&lt;=-0.3),"超过30%","")</f>
        <v/>
      </c>
      <c r="I52" s="497">
        <f>IF(I47&lt;I48,I48/I47-1,I47/I48-1)</f>
        <v>0.12745139664804483</v>
      </c>
      <c r="J52" s="498"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2670</v>
      </c>
      <c r="D53" s="499"/>
      <c r="E53" s="497">
        <f>IF(E48&lt;G48,G48/E48-1,E48/G48-1)</f>
        <v>0.1315597667638484</v>
      </c>
      <c r="F53" s="498" t="str">
        <f>IF(OR(E53&gt;=0.2,E53&lt;=-0.2),"超过20%","")</f>
        <v/>
      </c>
      <c r="G53" s="497">
        <f>IF(G48&lt;I48,I48/G48-1,G48/I48-1)</f>
        <v>4.0782122905028029E-2</v>
      </c>
      <c r="H53" s="498" t="str">
        <f>IF(OR(G53&gt;=0.2,G53&lt;=-0.2),"超过20%","")</f>
        <v/>
      </c>
      <c r="I53" s="497">
        <f>IF(I48&lt;E48,E48/I48-1,I48/E48-1)</f>
        <v>8.7220602526725033E-2</v>
      </c>
      <c r="J53" s="498"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2671</v>
      </c>
      <c r="D54" s="499"/>
      <c r="E54" s="497">
        <f>IF(E47&lt;G47,G47/E47-1,E47/G47-1)</f>
        <v>0.22403850855745722</v>
      </c>
      <c r="F54" s="498" t="str">
        <f>IF(OR(E54&gt;=0.3,E54&lt;=-0.3),"超过30%","")</f>
        <v/>
      </c>
      <c r="G54" s="497">
        <f>IF(G47&lt;I47,I47/G47-1,G47/I47-1)</f>
        <v>7.7956501959774993E-3</v>
      </c>
      <c r="H54" s="498" t="str">
        <f>IF(OR(G54&gt;=0.3,G54&lt;=-0.3),"超过30%","")</f>
        <v/>
      </c>
      <c r="I54" s="497">
        <f>IF(I47&lt;E47,E47/I47-1,I47/E47-1)</f>
        <v>0.2335806845965771</v>
      </c>
      <c r="J54" s="498"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5">
      <c r="A58" s="503" t="s">
        <v>2546</v>
      </c>
      <c r="B58" s="504"/>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2966">
        <f t="shared" ref="P58:Q58" si="17">EDATE(O58,-1)</f>
        <v>43132</v>
      </c>
      <c r="Q58" s="2966">
        <f t="shared" si="17"/>
        <v>43101</v>
      </c>
      <c r="R58" s="2966">
        <f t="shared" ref="R58:S58" si="18">EDATE(Q58,-1)</f>
        <v>43070</v>
      </c>
      <c r="S58" s="2966">
        <f t="shared" si="18"/>
        <v>43040</v>
      </c>
      <c r="T58" s="2966">
        <f t="shared" ref="T58:U58" si="19">EDATE(S58,-1)</f>
        <v>43009</v>
      </c>
      <c r="U58" s="2966">
        <f t="shared" si="19"/>
        <v>42979</v>
      </c>
      <c r="V58" s="2966">
        <f t="shared" ref="V58:W58" si="20">EDATE(U58,-1)</f>
        <v>42948</v>
      </c>
      <c r="W58" s="2966">
        <f t="shared" si="20"/>
        <v>42917</v>
      </c>
      <c r="X58" s="2966">
        <f t="shared" ref="X58:Y58" si="21">EDATE(W58,-1)</f>
        <v>42887</v>
      </c>
      <c r="Y58" s="2966">
        <f t="shared" si="21"/>
        <v>42856</v>
      </c>
      <c r="Z58" s="2966">
        <f t="shared" ref="Z58" si="22">EDATE(Y58,-1)</f>
        <v>42826</v>
      </c>
    </row>
    <row r="59" spans="1:29" s="116" customFormat="1" ht="15">
      <c r="A59" s="507"/>
      <c r="B59" s="508"/>
      <c r="C59" s="1574">
        <v>100</v>
      </c>
      <c r="D59" s="510">
        <v>100</v>
      </c>
      <c r="E59" s="510">
        <v>100</v>
      </c>
      <c r="F59" s="510">
        <v>99.9</v>
      </c>
      <c r="G59" s="510">
        <v>99.9</v>
      </c>
      <c r="H59" s="510">
        <v>99.9</v>
      </c>
      <c r="I59" s="510">
        <v>99.9</v>
      </c>
      <c r="J59" s="510">
        <v>99.9</v>
      </c>
      <c r="K59" s="510">
        <v>99.9</v>
      </c>
      <c r="L59" s="510">
        <v>99.8</v>
      </c>
      <c r="M59" s="511">
        <v>99.8</v>
      </c>
      <c r="N59" s="510">
        <v>99.8</v>
      </c>
      <c r="O59" s="511">
        <v>99.8</v>
      </c>
      <c r="P59" s="510">
        <v>99.8</v>
      </c>
      <c r="Q59" s="511">
        <v>99.8</v>
      </c>
      <c r="R59" s="116">
        <v>99.7</v>
      </c>
      <c r="S59" s="116">
        <v>99.7</v>
      </c>
      <c r="T59" s="116">
        <v>99.7</v>
      </c>
      <c r="U59" s="116">
        <v>99.7</v>
      </c>
      <c r="V59" s="116">
        <v>99.7</v>
      </c>
      <c r="W59" s="116">
        <v>99.7</v>
      </c>
      <c r="X59" s="116">
        <v>99.8</v>
      </c>
      <c r="Y59" s="116">
        <v>99.8</v>
      </c>
      <c r="Z59" s="116">
        <v>99.8</v>
      </c>
    </row>
    <row r="60" spans="1:29" s="116" customFormat="1" ht="15.75" thickBot="1">
      <c r="A60" s="513" t="s">
        <v>2583</v>
      </c>
      <c r="B60" s="514"/>
      <c r="C60" s="515"/>
      <c r="D60" s="516"/>
      <c r="E60" s="516"/>
      <c r="F60" s="516"/>
      <c r="G60" s="516"/>
      <c r="H60" s="516"/>
      <c r="I60" s="516"/>
      <c r="J60" s="516"/>
      <c r="K60" s="516"/>
      <c r="L60" s="516"/>
      <c r="M60" s="517"/>
      <c r="N60" s="516"/>
      <c r="O60" s="517"/>
      <c r="P60" s="2631"/>
      <c r="Q60" s="502"/>
    </row>
    <row r="61" spans="1:29" s="116" customFormat="1" ht="15">
      <c r="A61" s="519" t="s">
        <v>2548</v>
      </c>
      <c r="B61" s="508"/>
      <c r="C61" s="520" t="s">
        <v>2650</v>
      </c>
      <c r="D61" s="521"/>
      <c r="E61" s="521"/>
      <c r="F61" s="521"/>
      <c r="G61" s="521"/>
      <c r="H61" s="521"/>
      <c r="I61" s="521"/>
      <c r="J61" s="521"/>
      <c r="K61" s="521"/>
      <c r="L61" s="522"/>
      <c r="M61" s="523"/>
      <c r="N61" s="1152"/>
      <c r="O61" s="1152"/>
      <c r="P61" s="2632"/>
      <c r="Q61" s="502"/>
    </row>
    <row r="62" spans="1:29" s="116"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2586</v>
      </c>
      <c r="B63" s="526" t="s">
        <v>2552</v>
      </c>
      <c r="C63" s="527" t="str">
        <f>C9</f>
        <v>商业</v>
      </c>
      <c r="D63" s="2967" t="s">
        <v>3091</v>
      </c>
      <c r="E63" s="2967" t="s">
        <v>3092</v>
      </c>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53"/>
      <c r="O65" s="1153"/>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75" thickTop="1">
      <c r="A67" s="532"/>
      <c r="B67" s="544" t="s">
        <v>2556</v>
      </c>
      <c r="C67" s="545" t="str">
        <f>C68&amp;"（含）"&amp;"-"&amp;D68</f>
        <v>0（含）-2.1</v>
      </c>
      <c r="D67" s="545" t="str">
        <f t="shared" ref="D67:L67" si="23">D68&amp;"（含）"&amp;"-"&amp;E68</f>
        <v>2.1（含）-3</v>
      </c>
      <c r="E67" s="545" t="str">
        <f t="shared" si="23"/>
        <v>3（含）-</v>
      </c>
      <c r="F67" s="545" t="str">
        <f t="shared" si="23"/>
        <v>（含）-</v>
      </c>
      <c r="G67" s="545" t="str">
        <f t="shared" si="23"/>
        <v>（含）-</v>
      </c>
      <c r="H67" s="545" t="str">
        <f t="shared" si="23"/>
        <v>（含）-</v>
      </c>
      <c r="I67" s="545" t="str">
        <f t="shared" si="23"/>
        <v>（含）-</v>
      </c>
      <c r="J67" s="545" t="str">
        <f t="shared" si="23"/>
        <v>（含）-</v>
      </c>
      <c r="K67" s="545" t="str">
        <f t="shared" si="23"/>
        <v>（含）-</v>
      </c>
      <c r="L67" s="545" t="str">
        <f t="shared" si="23"/>
        <v>（含）-</v>
      </c>
      <c r="M67" s="446" t="str">
        <f>M68&amp;"（含）"&amp;"-"&amp;P68</f>
        <v>（含）-</v>
      </c>
      <c r="N67" s="1154"/>
      <c r="O67" s="1154"/>
      <c r="P67" s="2633"/>
      <c r="Q67" s="502"/>
    </row>
    <row r="68" spans="1:17" ht="15">
      <c r="A68" s="532"/>
      <c r="B68" s="546"/>
      <c r="C68" s="547">
        <v>0</v>
      </c>
      <c r="D68" s="547">
        <v>2.1</v>
      </c>
      <c r="E68" s="547">
        <v>3</v>
      </c>
      <c r="F68" s="547"/>
      <c r="G68" s="547"/>
      <c r="H68" s="547"/>
      <c r="I68" s="547"/>
      <c r="J68" s="547"/>
      <c r="K68" s="548"/>
      <c r="L68" s="549"/>
      <c r="M68" s="550"/>
      <c r="N68" s="1153"/>
      <c r="O68" s="1153"/>
      <c r="P68" s="2633"/>
      <c r="Q68" s="502"/>
    </row>
    <row r="69" spans="1:17" ht="15.75" thickBot="1">
      <c r="A69" s="532"/>
      <c r="B69" s="533"/>
      <c r="C69" s="542">
        <v>100</v>
      </c>
      <c r="D69" s="542">
        <f t="shared" ref="D69:M69" si="24">C69-$K11</f>
        <v>99.5</v>
      </c>
      <c r="E69" s="542">
        <f t="shared" si="24"/>
        <v>99</v>
      </c>
      <c r="F69" s="542">
        <f t="shared" si="24"/>
        <v>98.5</v>
      </c>
      <c r="G69" s="542">
        <f t="shared" si="24"/>
        <v>98</v>
      </c>
      <c r="H69" s="542">
        <f t="shared" si="24"/>
        <v>97.5</v>
      </c>
      <c r="I69" s="542">
        <f t="shared" si="24"/>
        <v>97</v>
      </c>
      <c r="J69" s="542">
        <f t="shared" si="24"/>
        <v>96.5</v>
      </c>
      <c r="K69" s="542">
        <f t="shared" si="24"/>
        <v>96</v>
      </c>
      <c r="L69" s="542">
        <f t="shared" si="24"/>
        <v>95.5</v>
      </c>
      <c r="M69" s="543">
        <f t="shared" si="24"/>
        <v>95</v>
      </c>
      <c r="N69" s="1154"/>
      <c r="O69" s="1154"/>
      <c r="P69" s="2633"/>
      <c r="Q69" s="502"/>
    </row>
    <row r="70" spans="1:17" s="469" customFormat="1" ht="15.75" thickTop="1">
      <c r="A70" s="551"/>
      <c r="B70" s="536">
        <f>B12</f>
        <v>0</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34"/>
      <c r="E73" s="534"/>
      <c r="F73" s="534"/>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53"/>
      <c r="O76" s="1153"/>
      <c r="P76" s="2637"/>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4"/>
      <c r="O77" s="1154"/>
      <c r="P77" s="2633"/>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53"/>
      <c r="O78" s="1153"/>
      <c r="P78" s="2633"/>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4"/>
      <c r="O79" s="1154"/>
      <c r="P79" s="2633"/>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53"/>
      <c r="O80" s="1153"/>
      <c r="P80" s="2633"/>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4"/>
      <c r="O81" s="1154"/>
      <c r="P81" s="2633"/>
      <c r="Q81" s="502"/>
    </row>
    <row r="82" spans="1:17" ht="15.75" thickTop="1">
      <c r="A82" s="532"/>
      <c r="B82" s="544" t="s">
        <v>2653</v>
      </c>
      <c r="C82" s="658" t="s">
        <v>2673</v>
      </c>
      <c r="D82" s="658" t="s">
        <v>2674</v>
      </c>
      <c r="E82" s="658" t="s">
        <v>2675</v>
      </c>
      <c r="F82" s="658" t="s">
        <v>2676</v>
      </c>
      <c r="G82" s="658" t="s">
        <v>2677</v>
      </c>
      <c r="H82" s="537"/>
      <c r="I82" s="537"/>
      <c r="J82" s="537"/>
      <c r="K82" s="537"/>
      <c r="L82" s="537"/>
      <c r="M82" s="1383"/>
      <c r="N82" s="1154"/>
      <c r="O82" s="1154"/>
      <c r="P82" s="2633"/>
      <c r="Q82" s="502"/>
    </row>
    <row r="83" spans="1:17" ht="15.75" thickBot="1">
      <c r="A83" s="532"/>
      <c r="B83" s="544"/>
      <c r="C83" s="542">
        <v>100</v>
      </c>
      <c r="D83" s="542">
        <f>C83-$K21</f>
        <v>100</v>
      </c>
      <c r="E83" s="542">
        <f t="shared" ref="E83:G83" si="25">D83-$K21</f>
        <v>100</v>
      </c>
      <c r="F83" s="542">
        <f t="shared" si="25"/>
        <v>100</v>
      </c>
      <c r="G83" s="542">
        <f t="shared" si="25"/>
        <v>100</v>
      </c>
      <c r="H83" s="658"/>
      <c r="I83" s="658"/>
      <c r="J83" s="658"/>
      <c r="K83" s="658"/>
      <c r="L83" s="658"/>
      <c r="M83" s="448"/>
      <c r="N83" s="1154"/>
      <c r="O83" s="1154"/>
      <c r="P83" s="2633"/>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53"/>
      <c r="O84" s="1153"/>
      <c r="P84" s="263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4"/>
      <c r="O85" s="1154"/>
      <c r="P85" s="2633"/>
      <c r="Q85" s="502"/>
    </row>
    <row r="86" spans="1:17" s="116" customFormat="1" ht="15.75" thickTop="1">
      <c r="A86" s="577"/>
      <c r="B86" s="536" t="s">
        <v>2678</v>
      </c>
      <c r="C86" s="552"/>
      <c r="D86" s="552"/>
      <c r="E86" s="552"/>
      <c r="F86" s="552"/>
      <c r="G86" s="552"/>
      <c r="H86" s="552"/>
      <c r="I86" s="552"/>
      <c r="J86" s="552"/>
      <c r="K86" s="552"/>
      <c r="L86" s="578"/>
      <c r="M86" s="579"/>
      <c r="N86" s="1152"/>
      <c r="O86" s="1152"/>
      <c r="P86" s="2633"/>
      <c r="Q86" s="502"/>
    </row>
    <row r="87" spans="1:17" s="116" customFormat="1" ht="15.75" thickBot="1">
      <c r="A87" s="577"/>
      <c r="B87" s="541"/>
      <c r="C87" s="580">
        <v>100</v>
      </c>
      <c r="D87" s="542">
        <f t="shared" ref="D87:M87" si="26">C87-$K25</f>
        <v>100</v>
      </c>
      <c r="E87" s="542">
        <f t="shared" si="26"/>
        <v>100</v>
      </c>
      <c r="F87" s="542">
        <f t="shared" si="26"/>
        <v>100</v>
      </c>
      <c r="G87" s="542">
        <f t="shared" si="26"/>
        <v>100</v>
      </c>
      <c r="H87" s="542">
        <f t="shared" si="26"/>
        <v>100</v>
      </c>
      <c r="I87" s="542">
        <f t="shared" si="26"/>
        <v>100</v>
      </c>
      <c r="J87" s="542">
        <f t="shared" si="26"/>
        <v>100</v>
      </c>
      <c r="K87" s="542">
        <f t="shared" si="26"/>
        <v>100</v>
      </c>
      <c r="L87" s="542">
        <f t="shared" si="26"/>
        <v>100</v>
      </c>
      <c r="M87" s="542">
        <f t="shared" si="26"/>
        <v>100</v>
      </c>
      <c r="N87" s="1154"/>
      <c r="O87" s="1154"/>
      <c r="P87" s="2633"/>
      <c r="Q87" s="502"/>
    </row>
    <row r="88" spans="1:17" s="116" customFormat="1" ht="15.75"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6" customFormat="1" ht="15.75" thickBot="1">
      <c r="A89" s="577"/>
      <c r="B89" s="541"/>
      <c r="C89" s="558"/>
      <c r="D89" s="534"/>
      <c r="E89" s="534"/>
      <c r="F89" s="534"/>
      <c r="G89" s="534"/>
      <c r="H89" s="534"/>
      <c r="I89" s="534"/>
      <c r="J89" s="534"/>
      <c r="K89" s="534"/>
      <c r="L89" s="534"/>
      <c r="M89" s="534"/>
      <c r="N89" s="1154"/>
      <c r="O89" s="1154"/>
      <c r="P89" s="263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5.75" thickBot="1">
      <c r="A91" s="551"/>
      <c r="B91" s="541"/>
      <c r="C91" s="580">
        <v>100</v>
      </c>
      <c r="D91" s="542">
        <f>C91-$K27</f>
        <v>100</v>
      </c>
      <c r="E91" s="542">
        <f t="shared" ref="E91:M91" si="27">D91-$K27</f>
        <v>100</v>
      </c>
      <c r="F91" s="542">
        <f t="shared" si="27"/>
        <v>100</v>
      </c>
      <c r="G91" s="542">
        <f t="shared" si="27"/>
        <v>100</v>
      </c>
      <c r="H91" s="542">
        <f t="shared" si="27"/>
        <v>100</v>
      </c>
      <c r="I91" s="542">
        <f t="shared" si="27"/>
        <v>100</v>
      </c>
      <c r="J91" s="542">
        <f t="shared" si="27"/>
        <v>100</v>
      </c>
      <c r="K91" s="542">
        <f t="shared" si="27"/>
        <v>100</v>
      </c>
      <c r="L91" s="542">
        <f t="shared" si="27"/>
        <v>100</v>
      </c>
      <c r="M91" s="542">
        <f t="shared" si="27"/>
        <v>100</v>
      </c>
      <c r="N91" s="1155"/>
      <c r="O91" s="1155"/>
      <c r="P91" s="2634"/>
      <c r="Q91" s="557"/>
    </row>
    <row r="92" spans="1:17" ht="15.75" thickTop="1">
      <c r="A92" s="532"/>
      <c r="B92" s="536" t="str">
        <f>B28</f>
        <v>楼层</v>
      </c>
      <c r="C92" s="552"/>
      <c r="D92" s="552"/>
      <c r="E92" s="552"/>
      <c r="F92" s="552"/>
      <c r="G92" s="552"/>
      <c r="H92" s="552"/>
      <c r="I92" s="552"/>
      <c r="J92" s="552"/>
      <c r="K92" s="552"/>
      <c r="L92" s="578"/>
      <c r="M92" s="579"/>
      <c r="N92" s="1153"/>
      <c r="O92" s="1153"/>
      <c r="P92" s="2633"/>
      <c r="Q92" s="502"/>
    </row>
    <row r="93" spans="1:17" ht="15.75" thickBot="1">
      <c r="A93" s="532"/>
      <c r="B93" s="541"/>
      <c r="C93" s="534"/>
      <c r="D93" s="534"/>
      <c r="E93" s="534"/>
      <c r="F93" s="534"/>
      <c r="G93" s="534"/>
      <c r="H93" s="534"/>
      <c r="I93" s="534"/>
      <c r="J93" s="534"/>
      <c r="K93" s="534"/>
      <c r="L93" s="534"/>
      <c r="M93" s="535"/>
      <c r="N93" s="1154"/>
      <c r="O93" s="1154"/>
      <c r="P93" s="2633"/>
      <c r="Q93" s="502"/>
    </row>
    <row r="94" spans="1:17" ht="27.75" thickTop="1">
      <c r="A94" s="532"/>
      <c r="B94" s="536" t="str">
        <f>B29</f>
        <v>毗邻道路</v>
      </c>
      <c r="C94" s="2964" t="s">
        <v>3096</v>
      </c>
      <c r="D94" s="2964" t="s">
        <v>3093</v>
      </c>
      <c r="E94" s="2964" t="s">
        <v>3094</v>
      </c>
      <c r="F94" s="2964" t="s">
        <v>3095</v>
      </c>
      <c r="G94" s="581"/>
      <c r="H94" s="581"/>
      <c r="I94" s="581"/>
      <c r="J94" s="581"/>
      <c r="K94" s="582"/>
      <c r="L94" s="583"/>
      <c r="M94" s="584"/>
      <c r="N94" s="1153"/>
      <c r="O94" s="1153"/>
      <c r="P94" s="2633"/>
      <c r="Q94" s="502"/>
    </row>
    <row r="95" spans="1:17" ht="15.75" thickBot="1">
      <c r="A95" s="532"/>
      <c r="B95" s="541"/>
      <c r="C95" s="558">
        <v>100</v>
      </c>
      <c r="D95" s="534">
        <v>102</v>
      </c>
      <c r="E95" s="534">
        <v>100</v>
      </c>
      <c r="F95" s="534">
        <v>100</v>
      </c>
      <c r="G95" s="534"/>
      <c r="H95" s="534"/>
      <c r="I95" s="534"/>
      <c r="J95" s="534"/>
      <c r="K95" s="534"/>
      <c r="L95" s="534"/>
      <c r="M95" s="535"/>
      <c r="N95" s="1154"/>
      <c r="O95" s="1154"/>
      <c r="P95" s="2633"/>
      <c r="Q95" s="502"/>
    </row>
    <row r="96" spans="1:17" ht="15.75" thickTop="1">
      <c r="A96" s="532"/>
      <c r="B96" s="536" t="str">
        <f>B30</f>
        <v>项目位置</v>
      </c>
      <c r="C96" s="2976" t="s">
        <v>3101</v>
      </c>
      <c r="D96" s="2976" t="s">
        <v>3102</v>
      </c>
      <c r="E96" s="552"/>
      <c r="F96" s="552"/>
      <c r="G96" s="581"/>
      <c r="H96" s="581"/>
      <c r="I96" s="581"/>
      <c r="J96" s="581"/>
      <c r="K96" s="582"/>
      <c r="L96" s="583"/>
      <c r="M96" s="584"/>
      <c r="N96" s="1153"/>
      <c r="O96" s="1153"/>
      <c r="P96" s="2633"/>
      <c r="Q96" s="502"/>
    </row>
    <row r="97" spans="1:17" ht="15.75" thickBot="1">
      <c r="A97" s="532"/>
      <c r="B97" s="541"/>
      <c r="C97" s="558">
        <v>100</v>
      </c>
      <c r="D97" s="534">
        <v>98</v>
      </c>
      <c r="E97" s="534"/>
      <c r="F97" s="534"/>
      <c r="G97" s="534"/>
      <c r="H97" s="534"/>
      <c r="I97" s="534"/>
      <c r="J97" s="534"/>
      <c r="K97" s="534"/>
      <c r="L97" s="534"/>
      <c r="M97" s="535"/>
      <c r="N97" s="1154"/>
      <c r="O97" s="1154"/>
      <c r="P97" s="2633"/>
      <c r="Q97" s="502"/>
    </row>
    <row r="98" spans="1:17" ht="15.75" thickTop="1">
      <c r="A98" s="532"/>
      <c r="B98" s="544">
        <f>B31</f>
        <v>111</v>
      </c>
      <c r="C98" s="552"/>
      <c r="D98" s="552"/>
      <c r="E98" s="552"/>
      <c r="F98" s="552"/>
      <c r="G98" s="585"/>
      <c r="H98" s="585"/>
      <c r="I98" s="585"/>
      <c r="J98" s="585"/>
      <c r="K98" s="586"/>
      <c r="L98" s="587"/>
      <c r="M98" s="588"/>
      <c r="N98" s="1153"/>
      <c r="O98" s="1153"/>
      <c r="P98" s="2633"/>
      <c r="Q98" s="502"/>
    </row>
    <row r="99" spans="1:17" ht="15.75" thickBot="1">
      <c r="A99" s="2639"/>
      <c r="B99" s="567"/>
      <c r="C99" s="568"/>
      <c r="D99" s="568"/>
      <c r="E99" s="568"/>
      <c r="F99" s="568"/>
      <c r="G99" s="589"/>
      <c r="H99" s="589"/>
      <c r="I99" s="589"/>
      <c r="J99" s="589"/>
      <c r="K99" s="589"/>
      <c r="L99" s="589"/>
      <c r="M99" s="590"/>
      <c r="N99" s="1154"/>
      <c r="O99" s="1154"/>
      <c r="P99" s="2633"/>
      <c r="Q99" s="502"/>
    </row>
    <row r="100" spans="1:17">
      <c r="A100" s="525" t="s">
        <v>2561</v>
      </c>
      <c r="B100" s="526" t="s">
        <v>2679</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8">C101-$K32</f>
        <v>100</v>
      </c>
      <c r="E101" s="542">
        <f t="shared" si="28"/>
        <v>100</v>
      </c>
      <c r="F101" s="542">
        <f t="shared" si="28"/>
        <v>100</v>
      </c>
      <c r="G101" s="542">
        <f t="shared" si="28"/>
        <v>100</v>
      </c>
      <c r="H101" s="542">
        <f t="shared" si="28"/>
        <v>100</v>
      </c>
      <c r="I101" s="542">
        <f t="shared" si="28"/>
        <v>100</v>
      </c>
      <c r="J101" s="542">
        <f t="shared" si="28"/>
        <v>100</v>
      </c>
      <c r="K101" s="542">
        <f t="shared" si="28"/>
        <v>100</v>
      </c>
      <c r="L101" s="542">
        <f t="shared" si="28"/>
        <v>100</v>
      </c>
      <c r="M101" s="543">
        <f t="shared" si="28"/>
        <v>100</v>
      </c>
      <c r="N101" s="1154"/>
      <c r="O101" s="1154"/>
      <c r="P101" s="2633"/>
      <c r="Q101" s="502"/>
    </row>
    <row r="102" spans="1:17" ht="29.25" thickTop="1">
      <c r="A102" s="532"/>
      <c r="B102" s="536" t="s">
        <v>2611</v>
      </c>
      <c r="C102" s="576" t="str">
        <f>C103&amp;"(含)"&amp;"-"&amp;D103</f>
        <v>0(含)-1000</v>
      </c>
      <c r="D102" s="576" t="str">
        <f t="shared" ref="D102:L102" si="29">D103&amp;"(含)"&amp;"-"&amp;E103</f>
        <v>1000(含)-5000</v>
      </c>
      <c r="E102" s="576" t="str">
        <f t="shared" si="29"/>
        <v>5000(含)-10000</v>
      </c>
      <c r="F102" s="576" t="str">
        <f t="shared" si="29"/>
        <v>10000(含)-25000</v>
      </c>
      <c r="G102" s="576" t="str">
        <f t="shared" si="29"/>
        <v>25000(含)-50000</v>
      </c>
      <c r="H102" s="576" t="str">
        <f t="shared" si="29"/>
        <v>50000(含)-75000</v>
      </c>
      <c r="I102" s="576" t="str">
        <f t="shared" si="29"/>
        <v>75000(含)-</v>
      </c>
      <c r="J102" s="576" t="str">
        <f t="shared" si="29"/>
        <v>(含)-</v>
      </c>
      <c r="K102" s="576" t="str">
        <f t="shared" si="29"/>
        <v>(含)-</v>
      </c>
      <c r="L102" s="576" t="str">
        <f t="shared" si="29"/>
        <v>(含)-</v>
      </c>
      <c r="M102" s="620" t="str">
        <f>M103&amp;"(含)"&amp;"-"&amp;P103</f>
        <v>(含)-</v>
      </c>
      <c r="N102" s="1152"/>
      <c r="O102" s="1152"/>
      <c r="P102" s="2633"/>
      <c r="Q102" s="502"/>
    </row>
    <row r="103" spans="1:17" s="469" customFormat="1">
      <c r="A103" s="591"/>
      <c r="B103" s="592"/>
      <c r="C103" s="593">
        <v>0</v>
      </c>
      <c r="D103" s="593">
        <v>1000</v>
      </c>
      <c r="E103" s="593">
        <v>5000</v>
      </c>
      <c r="F103" s="593">
        <v>10000</v>
      </c>
      <c r="G103" s="593">
        <v>25000</v>
      </c>
      <c r="H103" s="593">
        <v>50000</v>
      </c>
      <c r="I103" s="593">
        <v>75000</v>
      </c>
      <c r="J103" s="594"/>
      <c r="K103" s="594"/>
      <c r="L103" s="595"/>
      <c r="M103" s="596"/>
      <c r="N103" s="1155"/>
      <c r="O103" s="1155"/>
      <c r="P103" s="2634"/>
      <c r="Q103" s="557"/>
    </row>
    <row r="104" spans="1:17" s="469" customFormat="1" ht="15.75" thickBot="1">
      <c r="A104" s="551"/>
      <c r="B104" s="541"/>
      <c r="C104" s="558">
        <v>100</v>
      </c>
      <c r="D104" s="534">
        <v>105</v>
      </c>
      <c r="E104" s="534">
        <v>110</v>
      </c>
      <c r="F104" s="534">
        <v>115</v>
      </c>
      <c r="G104" s="534">
        <v>120</v>
      </c>
      <c r="H104" s="534">
        <v>125</v>
      </c>
      <c r="I104" s="534">
        <v>130</v>
      </c>
      <c r="J104" s="534"/>
      <c r="K104" s="534"/>
      <c r="L104" s="534"/>
      <c r="M104" s="535"/>
      <c r="N104" s="1154"/>
      <c r="O104" s="1154"/>
      <c r="P104" s="2634"/>
      <c r="Q104" s="557"/>
    </row>
    <row r="105" spans="1:17" ht="15" thickTop="1">
      <c r="A105" s="597"/>
      <c r="B105" s="536" t="s">
        <v>2612</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30">C106-$K34</f>
        <v>100</v>
      </c>
      <c r="E106" s="542">
        <f t="shared" si="30"/>
        <v>100</v>
      </c>
      <c r="F106" s="542">
        <f t="shared" si="30"/>
        <v>100</v>
      </c>
      <c r="G106" s="542">
        <f t="shared" si="30"/>
        <v>100</v>
      </c>
      <c r="H106" s="542">
        <f t="shared" si="30"/>
        <v>100</v>
      </c>
      <c r="I106" s="542">
        <f t="shared" si="30"/>
        <v>100</v>
      </c>
      <c r="J106" s="542">
        <f t="shared" si="30"/>
        <v>100</v>
      </c>
      <c r="K106" s="542">
        <f t="shared" si="30"/>
        <v>100</v>
      </c>
      <c r="L106" s="542">
        <f t="shared" si="30"/>
        <v>100</v>
      </c>
      <c r="M106" s="543">
        <f t="shared" si="30"/>
        <v>100</v>
      </c>
      <c r="N106" s="1154"/>
      <c r="O106" s="1154"/>
      <c r="P106" s="2633"/>
      <c r="Q106" s="502"/>
    </row>
    <row r="107" spans="1:17" ht="15" thickTop="1">
      <c r="A107" s="597"/>
      <c r="B107" s="536" t="s">
        <v>2614</v>
      </c>
      <c r="C107" s="552"/>
      <c r="D107" s="552"/>
      <c r="E107" s="552"/>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31">C108-$K35</f>
        <v>100</v>
      </c>
      <c r="E108" s="542">
        <f t="shared" si="31"/>
        <v>100</v>
      </c>
      <c r="F108" s="542">
        <f t="shared" si="31"/>
        <v>100</v>
      </c>
      <c r="G108" s="542">
        <f t="shared" si="31"/>
        <v>100</v>
      </c>
      <c r="H108" s="542">
        <f t="shared" si="31"/>
        <v>100</v>
      </c>
      <c r="I108" s="542">
        <f t="shared" si="31"/>
        <v>100</v>
      </c>
      <c r="J108" s="542">
        <f t="shared" si="31"/>
        <v>100</v>
      </c>
      <c r="K108" s="542">
        <f t="shared" si="31"/>
        <v>100</v>
      </c>
      <c r="L108" s="542">
        <f t="shared" si="31"/>
        <v>100</v>
      </c>
      <c r="M108" s="543">
        <f t="shared" si="31"/>
        <v>100</v>
      </c>
      <c r="N108" s="1154"/>
      <c r="O108" s="1154"/>
      <c r="P108" s="2633"/>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5.75" thickBot="1">
      <c r="A111" s="532"/>
      <c r="B111" s="541"/>
      <c r="C111" s="580">
        <v>100</v>
      </c>
      <c r="D111" s="542">
        <f>C111+$K36</f>
        <v>100</v>
      </c>
      <c r="E111" s="542">
        <f t="shared" ref="E111:M111" si="32">D111+$K36</f>
        <v>100</v>
      </c>
      <c r="F111" s="542">
        <f t="shared" si="32"/>
        <v>100</v>
      </c>
      <c r="G111" s="542">
        <f t="shared" si="32"/>
        <v>100</v>
      </c>
      <c r="H111" s="542">
        <f t="shared" si="32"/>
        <v>100</v>
      </c>
      <c r="I111" s="542">
        <f t="shared" si="32"/>
        <v>100</v>
      </c>
      <c r="J111" s="542">
        <f t="shared" si="32"/>
        <v>100</v>
      </c>
      <c r="K111" s="542">
        <f t="shared" si="32"/>
        <v>100</v>
      </c>
      <c r="L111" s="542">
        <f t="shared" si="32"/>
        <v>100</v>
      </c>
      <c r="M111" s="542">
        <f t="shared" si="32"/>
        <v>100</v>
      </c>
      <c r="N111" s="1154"/>
      <c r="O111" s="1154"/>
      <c r="P111" s="2633"/>
      <c r="Q111" s="502"/>
    </row>
    <row r="112" spans="1:17" s="469" customFormat="1" ht="15" thickTop="1">
      <c r="A112" s="591"/>
      <c r="B112" s="536" t="s">
        <v>2616</v>
      </c>
      <c r="C112" s="552"/>
      <c r="D112" s="552"/>
      <c r="E112" s="552"/>
      <c r="F112" s="552"/>
      <c r="G112" s="552"/>
      <c r="H112" s="581"/>
      <c r="I112" s="581"/>
      <c r="J112" s="581"/>
      <c r="K112" s="582"/>
      <c r="L112" s="583"/>
      <c r="M112" s="584"/>
      <c r="N112" s="1155"/>
      <c r="O112" s="1155"/>
      <c r="P112" s="2634"/>
      <c r="Q112" s="557"/>
    </row>
    <row r="113" spans="1:17" s="469" customFormat="1" ht="15.75" thickBot="1">
      <c r="A113" s="551"/>
      <c r="B113" s="541"/>
      <c r="C113" s="542">
        <v>100</v>
      </c>
      <c r="D113" s="542">
        <f>C113-$K37</f>
        <v>100</v>
      </c>
      <c r="E113" s="542">
        <f t="shared" ref="E113:M113" si="33">D113-$K37</f>
        <v>100</v>
      </c>
      <c r="F113" s="542">
        <f t="shared" si="33"/>
        <v>100</v>
      </c>
      <c r="G113" s="542">
        <f t="shared" si="33"/>
        <v>100</v>
      </c>
      <c r="H113" s="542">
        <f t="shared" si="33"/>
        <v>100</v>
      </c>
      <c r="I113" s="542">
        <f t="shared" si="33"/>
        <v>100</v>
      </c>
      <c r="J113" s="542">
        <f t="shared" si="33"/>
        <v>100</v>
      </c>
      <c r="K113" s="542">
        <f t="shared" si="33"/>
        <v>100</v>
      </c>
      <c r="L113" s="542">
        <f t="shared" si="33"/>
        <v>100</v>
      </c>
      <c r="M113" s="542">
        <f t="shared" si="33"/>
        <v>100</v>
      </c>
      <c r="N113" s="1155"/>
      <c r="O113" s="1155"/>
      <c r="P113" s="2634"/>
      <c r="Q113" s="557"/>
    </row>
    <row r="114" spans="1:17" ht="15" thickTop="1">
      <c r="A114" s="597"/>
      <c r="B114" s="536" t="s">
        <v>2680</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4">C115-$K38</f>
        <v>100</v>
      </c>
      <c r="E115" s="542">
        <f t="shared" si="34"/>
        <v>100</v>
      </c>
      <c r="F115" s="542">
        <f t="shared" si="34"/>
        <v>100</v>
      </c>
      <c r="G115" s="542">
        <f t="shared" si="34"/>
        <v>100</v>
      </c>
      <c r="H115" s="542">
        <f t="shared" si="34"/>
        <v>100</v>
      </c>
      <c r="I115" s="542">
        <f t="shared" si="34"/>
        <v>100</v>
      </c>
      <c r="J115" s="542">
        <f t="shared" si="34"/>
        <v>100</v>
      </c>
      <c r="K115" s="542">
        <f t="shared" si="34"/>
        <v>100</v>
      </c>
      <c r="L115" s="542">
        <f t="shared" si="34"/>
        <v>100</v>
      </c>
      <c r="M115" s="543">
        <f t="shared" si="34"/>
        <v>100</v>
      </c>
      <c r="N115" s="1154"/>
      <c r="O115" s="1154"/>
      <c r="P115" s="2633"/>
      <c r="Q115" s="502"/>
    </row>
    <row r="116" spans="1:17" ht="15" thickTop="1">
      <c r="A116" s="597"/>
      <c r="B116" s="536" t="s">
        <v>2681</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2682</v>
      </c>
      <c r="C118" s="625"/>
      <c r="D118" s="625"/>
      <c r="E118" s="625"/>
      <c r="F118" s="625"/>
      <c r="G118" s="625"/>
      <c r="H118" s="553"/>
      <c r="I118" s="553"/>
      <c r="J118" s="553"/>
      <c r="K118" s="553"/>
      <c r="L118" s="554"/>
      <c r="M118" s="555"/>
      <c r="N118" s="1153"/>
      <c r="O118" s="1153"/>
      <c r="P118" s="2633"/>
      <c r="Q118" s="502"/>
    </row>
    <row r="119" spans="1:17" ht="15.75"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2683</v>
      </c>
      <c r="C120" s="581"/>
      <c r="D120" s="581"/>
      <c r="E120" s="581"/>
      <c r="F120" s="581"/>
      <c r="G120" s="553"/>
      <c r="H120" s="553"/>
      <c r="I120" s="553"/>
      <c r="J120" s="553"/>
      <c r="K120" s="553"/>
      <c r="L120" s="554"/>
      <c r="M120" s="555"/>
      <c r="N120" s="1155"/>
      <c r="O120" s="1155"/>
      <c r="P120" s="2634"/>
      <c r="Q120" s="557"/>
    </row>
    <row r="121" spans="1:17" s="469" customFormat="1" ht="15.75" thickBot="1">
      <c r="A121" s="551"/>
      <c r="B121" s="533"/>
      <c r="C121" s="580">
        <v>100</v>
      </c>
      <c r="D121" s="542">
        <f>C121-$K41</f>
        <v>100</v>
      </c>
      <c r="E121" s="542">
        <f t="shared" ref="E121:M121" si="35">D121-$K41</f>
        <v>100</v>
      </c>
      <c r="F121" s="542">
        <f t="shared" si="35"/>
        <v>100</v>
      </c>
      <c r="G121" s="542">
        <f t="shared" si="35"/>
        <v>100</v>
      </c>
      <c r="H121" s="542">
        <f t="shared" si="35"/>
        <v>100</v>
      </c>
      <c r="I121" s="542">
        <f t="shared" si="35"/>
        <v>100</v>
      </c>
      <c r="J121" s="542">
        <f t="shared" si="35"/>
        <v>100</v>
      </c>
      <c r="K121" s="542">
        <f t="shared" si="35"/>
        <v>100</v>
      </c>
      <c r="L121" s="542">
        <f t="shared" si="35"/>
        <v>100</v>
      </c>
      <c r="M121" s="543">
        <f t="shared" si="35"/>
        <v>100</v>
      </c>
      <c r="N121" s="1155"/>
      <c r="O121" s="1155"/>
      <c r="P121" s="2634"/>
      <c r="Q121" s="557"/>
    </row>
    <row r="122" spans="1:17" ht="15" thickTop="1">
      <c r="A122" s="597"/>
      <c r="B122" s="536" t="s">
        <v>2618</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6">C123-$K42</f>
        <v>100</v>
      </c>
      <c r="E123" s="542">
        <f t="shared" si="36"/>
        <v>100</v>
      </c>
      <c r="F123" s="542">
        <f t="shared" si="36"/>
        <v>100</v>
      </c>
      <c r="G123" s="542">
        <f t="shared" si="36"/>
        <v>100</v>
      </c>
      <c r="H123" s="542">
        <f t="shared" si="36"/>
        <v>100</v>
      </c>
      <c r="I123" s="542">
        <f t="shared" si="36"/>
        <v>100</v>
      </c>
      <c r="J123" s="542">
        <f t="shared" si="36"/>
        <v>100</v>
      </c>
      <c r="K123" s="542">
        <f t="shared" si="36"/>
        <v>100</v>
      </c>
      <c r="L123" s="542">
        <f t="shared" si="36"/>
        <v>100</v>
      </c>
      <c r="M123" s="543">
        <f t="shared" si="36"/>
        <v>100</v>
      </c>
      <c r="N123" s="1154"/>
      <c r="O123" s="1154"/>
      <c r="P123" s="2633"/>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t="str">
        <f>B44</f>
        <v>临街宽度及深度</v>
      </c>
      <c r="C126" s="2968" t="s">
        <v>3090</v>
      </c>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v>100</v>
      </c>
      <c r="D127" s="534"/>
      <c r="E127" s="534"/>
      <c r="F127" s="534"/>
      <c r="G127" s="558"/>
      <c r="H127" s="560"/>
      <c r="I127" s="560"/>
      <c r="J127" s="560"/>
      <c r="K127" s="560"/>
      <c r="L127" s="560"/>
      <c r="M127" s="561"/>
      <c r="N127" s="1155"/>
      <c r="O127" s="1155"/>
      <c r="P127" s="2634"/>
      <c r="Q127" s="557"/>
    </row>
    <row r="128" spans="1:17" ht="15" thickTop="1">
      <c r="A128" s="597"/>
      <c r="B128" s="536" t="str">
        <f>B45</f>
        <v>宗地开发程度</v>
      </c>
      <c r="C128" s="2968" t="s">
        <v>3090</v>
      </c>
      <c r="D128" s="552"/>
      <c r="E128" s="552"/>
      <c r="F128" s="552"/>
      <c r="G128" s="581"/>
      <c r="H128" s="581"/>
      <c r="I128" s="581"/>
      <c r="J128" s="581"/>
      <c r="K128" s="582"/>
      <c r="L128" s="583"/>
      <c r="M128" s="584"/>
      <c r="N128" s="1153"/>
      <c r="O128" s="1153"/>
      <c r="P128" s="2633"/>
      <c r="Q128" s="502"/>
    </row>
    <row r="129" spans="1:17" ht="15.75" thickBot="1">
      <c r="A129" s="532"/>
      <c r="B129" s="541"/>
      <c r="C129" s="558">
        <v>100</v>
      </c>
      <c r="D129" s="534"/>
      <c r="E129" s="534"/>
      <c r="F129" s="534"/>
      <c r="G129" s="534"/>
      <c r="H129" s="534"/>
      <c r="I129" s="534"/>
      <c r="J129" s="534"/>
      <c r="K129" s="534"/>
      <c r="L129" s="534"/>
      <c r="M129" s="535"/>
      <c r="N129" s="1154"/>
      <c r="O129" s="1154"/>
      <c r="P129" s="2633"/>
      <c r="Q129" s="502"/>
    </row>
    <row r="130" spans="1:17" ht="15" thickTop="1">
      <c r="A130" s="597"/>
      <c r="B130" s="544" t="str">
        <f>B46</f>
        <v>工程地质条件</v>
      </c>
      <c r="C130" s="2968" t="s">
        <v>3090</v>
      </c>
      <c r="D130" s="552"/>
      <c r="E130" s="552"/>
      <c r="F130" s="552"/>
      <c r="G130" s="585"/>
      <c r="H130" s="585"/>
      <c r="I130" s="585"/>
      <c r="J130" s="585"/>
      <c r="K130" s="521"/>
      <c r="L130" s="522"/>
      <c r="M130" s="588"/>
      <c r="N130" s="1153"/>
      <c r="O130" s="1153"/>
      <c r="P130" s="2633"/>
      <c r="Q130" s="502"/>
    </row>
    <row r="131" spans="1:17" ht="15.75" thickBot="1">
      <c r="A131" s="2639"/>
      <c r="B131" s="567"/>
      <c r="C131" s="568">
        <v>100</v>
      </c>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2526</v>
      </c>
      <c r="B1" s="2672" t="s">
        <v>2684</v>
      </c>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IF(C2="——",ROUND(C50*D3/10000,0),ROUND(C50*D3/10000,0)-D2)</f>
        <v>#DIV/0!</v>
      </c>
      <c r="C2" s="2589"/>
      <c r="D2" s="1366" t="e">
        <f ca="1">SUMIF(INDIRECT("'"&amp;F2&amp;"'"&amp;"!A:A"),"承租人权益价值",INDIRECT("'"&amp;F2&amp;"'"&amp;"!c:c"))</f>
        <v>#REF!</v>
      </c>
      <c r="E2" s="2590" t="s">
        <v>2329</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7" t="e">
        <f ca="1">IF(C2="——",C50,ROUND(B2*10000/D3,0))</f>
        <v>#DIV/0!</v>
      </c>
      <c r="C3" s="399" t="s">
        <v>2642</v>
      </c>
      <c r="D3" s="398">
        <f>IF(D1="",'数据-汇总表'!E3,SUMIF('数据-汇总表'!$C19:$C33,D1,'数据-汇总表'!$E19:$E33))</f>
        <v>91239.85</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50" t="s">
        <v>2649</v>
      </c>
      <c r="Q4" s="3251"/>
      <c r="R4" s="3245" t="s">
        <v>2645</v>
      </c>
      <c r="S4" s="3246"/>
      <c r="T4" s="3245" t="s">
        <v>2646</v>
      </c>
      <c r="U4" s="3246"/>
      <c r="V4" s="3254" t="s">
        <v>2647</v>
      </c>
      <c r="W4" s="3254"/>
      <c r="X4" s="2673"/>
      <c r="Y4" s="3245" t="s">
        <v>2649</v>
      </c>
      <c r="Z4" s="3246"/>
      <c r="AA4" s="3244" t="s">
        <v>2645</v>
      </c>
      <c r="AB4" s="3244" t="s">
        <v>2646</v>
      </c>
      <c r="AC4" s="3247" t="s">
        <v>2647</v>
      </c>
    </row>
    <row r="5" spans="1:29" ht="15">
      <c r="A5" s="403"/>
      <c r="B5" s="404"/>
      <c r="C5" s="3208" t="s">
        <v>2540</v>
      </c>
      <c r="D5" s="3209"/>
      <c r="E5" s="3206" t="s">
        <v>2541</v>
      </c>
      <c r="F5" s="3207"/>
      <c r="G5" s="3208" t="s">
        <v>2542</v>
      </c>
      <c r="H5" s="3209"/>
      <c r="I5" s="3208" t="s">
        <v>2543</v>
      </c>
      <c r="J5" s="3209"/>
      <c r="K5" s="608"/>
      <c r="L5" s="1131"/>
      <c r="M5" s="1132"/>
      <c r="N5" s="1132"/>
      <c r="O5" s="1132"/>
      <c r="P5" s="3252"/>
      <c r="Q5" s="3222"/>
      <c r="R5" s="3204"/>
      <c r="S5" s="3205"/>
      <c r="T5" s="3204"/>
      <c r="U5" s="3205"/>
      <c r="V5" s="3227"/>
      <c r="W5" s="3227"/>
      <c r="X5" s="1814"/>
      <c r="Y5" s="3204"/>
      <c r="Z5" s="3205"/>
      <c r="AA5" s="3198"/>
      <c r="AB5" s="3198"/>
      <c r="AC5" s="3248"/>
    </row>
    <row r="6" spans="1:29" ht="15.75" thickBot="1">
      <c r="A6" s="405"/>
      <c r="B6" s="406"/>
      <c r="C6" s="3210" t="s">
        <v>2544</v>
      </c>
      <c r="D6" s="3211"/>
      <c r="E6" s="3212" t="s">
        <v>2544</v>
      </c>
      <c r="F6" s="3213"/>
      <c r="G6" s="3210" t="s">
        <v>2544</v>
      </c>
      <c r="H6" s="3211"/>
      <c r="I6" s="3210" t="s">
        <v>2544</v>
      </c>
      <c r="J6" s="3211"/>
      <c r="K6" s="608" t="s">
        <v>2545</v>
      </c>
      <c r="L6" s="1131"/>
      <c r="M6" s="1132"/>
      <c r="N6" s="1132"/>
      <c r="O6" s="1132"/>
      <c r="P6" s="3253"/>
      <c r="Q6" s="3224"/>
      <c r="R6" s="3204"/>
      <c r="S6" s="3205"/>
      <c r="T6" s="3225"/>
      <c r="U6" s="3226"/>
      <c r="V6" s="3227"/>
      <c r="W6" s="3227"/>
      <c r="X6" s="1814"/>
      <c r="Y6" s="3225"/>
      <c r="Z6" s="3226"/>
      <c r="AA6" s="3199"/>
      <c r="AB6" s="3199"/>
      <c r="AC6" s="3249"/>
    </row>
    <row r="7" spans="1:29" s="116" customFormat="1" ht="15.75" thickBot="1">
      <c r="A7" s="407" t="s">
        <v>2546</v>
      </c>
      <c r="B7" s="408"/>
      <c r="C7" s="409">
        <f>'数据-取费表'!B2</f>
        <v>43546</v>
      </c>
      <c r="D7" s="410">
        <v>100</v>
      </c>
      <c r="E7" s="411"/>
      <c r="F7" s="412">
        <f>SUMIF(59:59,YEAR(E7)&amp;"-"&amp;MONTH(E7),60:60)</f>
        <v>0</v>
      </c>
      <c r="G7" s="411"/>
      <c r="H7" s="410">
        <f>SUMIF(59:59,YEAR(G7)&amp;"-"&amp;MONTH(G7),60:60)</f>
        <v>0</v>
      </c>
      <c r="I7" s="411"/>
      <c r="J7" s="410">
        <f>SUMIF(59:59,YEAR(I7)&amp;"-"&amp;MONTH(I7),60:60)</f>
        <v>0</v>
      </c>
      <c r="K7" s="609"/>
      <c r="L7" s="1133"/>
      <c r="M7" s="1134"/>
      <c r="N7" s="1134"/>
      <c r="O7" s="1134"/>
      <c r="P7" s="3255" t="s">
        <v>2547</v>
      </c>
      <c r="Q7" s="3228"/>
      <c r="R7" s="768" t="s">
        <v>17</v>
      </c>
      <c r="S7" s="769">
        <f t="shared" ref="S7:S15" si="0">F7</f>
        <v>0</v>
      </c>
      <c r="T7" s="768" t="s">
        <v>17</v>
      </c>
      <c r="U7" s="769">
        <f t="shared" ref="U7:U15" si="1">H7</f>
        <v>0</v>
      </c>
      <c r="V7" s="768" t="s">
        <v>17</v>
      </c>
      <c r="W7" s="769">
        <f t="shared" ref="W7:W15" si="2">J7</f>
        <v>0</v>
      </c>
      <c r="X7" s="770"/>
      <c r="Y7" s="3200" t="s">
        <v>2547</v>
      </c>
      <c r="Z7" s="3201"/>
      <c r="AA7" s="771" t="e">
        <f>D7/F7</f>
        <v>#DIV/0!</v>
      </c>
      <c r="AB7" s="771" t="e">
        <f>D7/H7</f>
        <v>#DIV/0!</v>
      </c>
      <c r="AC7" s="2674"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09"/>
      <c r="L8" s="1133"/>
      <c r="M8" s="1134"/>
      <c r="N8" s="1134"/>
      <c r="O8" s="1134"/>
      <c r="P8" s="3255" t="s">
        <v>2550</v>
      </c>
      <c r="Q8" s="3201"/>
      <c r="R8" s="768" t="s">
        <v>17</v>
      </c>
      <c r="S8" s="769">
        <f t="shared" si="0"/>
        <v>0</v>
      </c>
      <c r="T8" s="768" t="s">
        <v>17</v>
      </c>
      <c r="U8" s="769">
        <f t="shared" si="1"/>
        <v>0</v>
      </c>
      <c r="V8" s="768" t="s">
        <v>17</v>
      </c>
      <c r="W8" s="769">
        <f t="shared" si="2"/>
        <v>0</v>
      </c>
      <c r="X8" s="770"/>
      <c r="Y8" s="3200" t="s">
        <v>2550</v>
      </c>
      <c r="Z8" s="3201"/>
      <c r="AA8" s="771" t="e">
        <f t="shared" ref="AA8:AA47" si="3">D8/F8</f>
        <v>#DIV/0!</v>
      </c>
      <c r="AB8" s="771" t="e">
        <f t="shared" ref="AB8:AB47" si="4">D8/H8</f>
        <v>#DIV/0!</v>
      </c>
      <c r="AC8" s="2674"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09"/>
      <c r="L9" s="1133"/>
      <c r="M9" s="1134"/>
      <c r="N9" s="1134"/>
      <c r="O9" s="1134"/>
      <c r="P9" s="3214" t="s">
        <v>2553</v>
      </c>
      <c r="Q9" s="1796" t="str">
        <f t="shared" ref="Q9:Q15" si="6">B9</f>
        <v>用途</v>
      </c>
      <c r="R9" s="768" t="s">
        <v>17</v>
      </c>
      <c r="S9" s="769">
        <f t="shared" si="0"/>
        <v>100</v>
      </c>
      <c r="T9" s="768" t="s">
        <v>17</v>
      </c>
      <c r="U9" s="769">
        <f t="shared" si="1"/>
        <v>100</v>
      </c>
      <c r="V9" s="768" t="s">
        <v>17</v>
      </c>
      <c r="W9" s="769">
        <f t="shared" si="2"/>
        <v>100</v>
      </c>
      <c r="X9" s="770"/>
      <c r="Y9" s="3047" t="s">
        <v>2554</v>
      </c>
      <c r="Z9" s="54" t="str">
        <f t="shared" ref="Z9:Z15" si="7">Q9</f>
        <v>用途</v>
      </c>
      <c r="AA9" s="771">
        <f t="shared" si="3"/>
        <v>1</v>
      </c>
      <c r="AB9" s="771">
        <f t="shared" si="4"/>
        <v>1</v>
      </c>
      <c r="AC9" s="2674">
        <f t="shared" si="5"/>
        <v>1</v>
      </c>
    </row>
    <row r="10" spans="1:29" s="425" customFormat="1" ht="27">
      <c r="A10" s="419"/>
      <c r="B10" s="420" t="s">
        <v>2555</v>
      </c>
      <c r="C10" s="421"/>
      <c r="D10" s="135">
        <v>100</v>
      </c>
      <c r="E10" s="421"/>
      <c r="F10" s="135">
        <f>SUMIF(66:66,E10,67:67)-SUMIF(66:66,C10,67:67)+100</f>
        <v>100</v>
      </c>
      <c r="G10" s="422"/>
      <c r="H10" s="135">
        <f>SUMIF(66:66,G10,67:67)-SUMIF(66:66,C10,67:67)+100</f>
        <v>100</v>
      </c>
      <c r="I10" s="421"/>
      <c r="J10" s="135">
        <f>SUMIF(66:66,I10,67:67)-SUMIF(66:66,C10,67:67)+100</f>
        <v>100</v>
      </c>
      <c r="K10" s="610"/>
      <c r="L10" s="1136"/>
      <c r="M10" s="1137"/>
      <c r="N10" s="1137"/>
      <c r="O10" s="1137"/>
      <c r="P10" s="3214"/>
      <c r="Q10" s="1796" t="str">
        <f t="shared" si="6"/>
        <v>土地使用年限（年）</v>
      </c>
      <c r="R10" s="768" t="s">
        <v>17</v>
      </c>
      <c r="S10" s="769">
        <f t="shared" si="0"/>
        <v>100</v>
      </c>
      <c r="T10" s="768" t="s">
        <v>17</v>
      </c>
      <c r="U10" s="769">
        <f t="shared" si="1"/>
        <v>100</v>
      </c>
      <c r="V10" s="768" t="s">
        <v>17</v>
      </c>
      <c r="W10" s="769">
        <f t="shared" si="2"/>
        <v>100</v>
      </c>
      <c r="X10" s="770"/>
      <c r="Y10" s="3047"/>
      <c r="Z10" s="54" t="str">
        <f t="shared" si="7"/>
        <v>土地使用年限（年）</v>
      </c>
      <c r="AA10" s="771">
        <f t="shared" si="3"/>
        <v>1</v>
      </c>
      <c r="AB10" s="771">
        <f t="shared" si="4"/>
        <v>1</v>
      </c>
      <c r="AC10" s="2674">
        <f t="shared" si="5"/>
        <v>1</v>
      </c>
    </row>
    <row r="11" spans="1:29" ht="15">
      <c r="A11" s="426"/>
      <c r="B11" s="420" t="s">
        <v>2556</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9"/>
      <c r="M11" s="1132"/>
      <c r="N11" s="1132"/>
      <c r="O11" s="1132"/>
      <c r="P11" s="3214"/>
      <c r="Q11" s="1796" t="str">
        <f t="shared" si="6"/>
        <v>容积率</v>
      </c>
      <c r="R11" s="768" t="s">
        <v>17</v>
      </c>
      <c r="S11" s="769" t="e">
        <f t="shared" si="0"/>
        <v>#N/A</v>
      </c>
      <c r="T11" s="768" t="s">
        <v>17</v>
      </c>
      <c r="U11" s="769" t="e">
        <f t="shared" si="1"/>
        <v>#N/A</v>
      </c>
      <c r="V11" s="768" t="s">
        <v>17</v>
      </c>
      <c r="W11" s="769" t="e">
        <f t="shared" si="2"/>
        <v>#N/A</v>
      </c>
      <c r="X11" s="770"/>
      <c r="Y11" s="3047"/>
      <c r="Z11" s="54" t="str">
        <f t="shared" si="7"/>
        <v>容积率</v>
      </c>
      <c r="AA11" s="771" t="e">
        <f t="shared" si="3"/>
        <v>#N/A</v>
      </c>
      <c r="AB11" s="771" t="e">
        <f t="shared" si="4"/>
        <v>#N/A</v>
      </c>
      <c r="AC11" s="2674" t="e">
        <f t="shared" si="5"/>
        <v>#N/A</v>
      </c>
    </row>
    <row r="12" spans="1:29" s="116" customFormat="1" ht="15">
      <c r="A12" s="429"/>
      <c r="B12" s="2603">
        <v>111</v>
      </c>
      <c r="C12" s="430"/>
      <c r="D12" s="431">
        <v>100</v>
      </c>
      <c r="E12" s="430"/>
      <c r="F12" s="135">
        <f>SUMIF(71:71,E12,72:72)-SUMIF(71:71,C12,72:72)+100</f>
        <v>100</v>
      </c>
      <c r="G12" s="2675"/>
      <c r="H12" s="135">
        <f>SUMIF(71:71,G12,72:72)-SUMIF(71:71,C12,72:72)+100</f>
        <v>100</v>
      </c>
      <c r="I12" s="430"/>
      <c r="J12" s="135">
        <f>SUMIF(71:71,I12,72:72)-SUMIF(71:71,C12,72:72)+100</f>
        <v>100</v>
      </c>
      <c r="K12" s="611"/>
      <c r="L12" s="1133"/>
      <c r="M12" s="1134"/>
      <c r="N12" s="1134"/>
      <c r="O12" s="1134"/>
      <c r="P12" s="3214"/>
      <c r="Q12" s="1796">
        <f t="shared" si="6"/>
        <v>111</v>
      </c>
      <c r="R12" s="768" t="s">
        <v>17</v>
      </c>
      <c r="S12" s="769">
        <f t="shared" si="0"/>
        <v>100</v>
      </c>
      <c r="T12" s="768" t="s">
        <v>17</v>
      </c>
      <c r="U12" s="769">
        <f t="shared" si="1"/>
        <v>100</v>
      </c>
      <c r="V12" s="768" t="s">
        <v>17</v>
      </c>
      <c r="W12" s="769">
        <f t="shared" si="2"/>
        <v>100</v>
      </c>
      <c r="X12" s="770"/>
      <c r="Y12" s="3047"/>
      <c r="Z12" s="54">
        <f t="shared" si="7"/>
        <v>111</v>
      </c>
      <c r="AA12" s="771">
        <f>D12/F12</f>
        <v>1</v>
      </c>
      <c r="AB12" s="771">
        <f>D12/H12</f>
        <v>1</v>
      </c>
      <c r="AC12" s="2674">
        <f>D12/J12</f>
        <v>1</v>
      </c>
    </row>
    <row r="13" spans="1:29" ht="15">
      <c r="A13" s="426"/>
      <c r="B13" s="2603">
        <v>111</v>
      </c>
      <c r="C13" s="432"/>
      <c r="D13" s="433">
        <v>100</v>
      </c>
      <c r="E13" s="430"/>
      <c r="F13" s="135">
        <f>SUMIF(73:73,E13,74:74)-SUMIF(73:73,C13,74:74)+100</f>
        <v>100</v>
      </c>
      <c r="G13" s="2675"/>
      <c r="H13" s="433">
        <f>SUMIF(73:73,G13,74:74)-SUMIF(73:73,C13,74:74)+100</f>
        <v>100</v>
      </c>
      <c r="I13" s="430"/>
      <c r="J13" s="433">
        <f>SUMIF(73:73,I13,74:74)-SUMIF(73:73,C13,74:74)+100</f>
        <v>100</v>
      </c>
      <c r="K13" s="611"/>
      <c r="L13" s="1141"/>
      <c r="M13" s="1132"/>
      <c r="N13" s="1132"/>
      <c r="O13" s="1132"/>
      <c r="P13" s="3214"/>
      <c r="Q13" s="1796">
        <f t="shared" si="6"/>
        <v>111</v>
      </c>
      <c r="R13" s="768" t="s">
        <v>17</v>
      </c>
      <c r="S13" s="769">
        <f t="shared" si="0"/>
        <v>100</v>
      </c>
      <c r="T13" s="768" t="s">
        <v>17</v>
      </c>
      <c r="U13" s="769">
        <f t="shared" si="1"/>
        <v>100</v>
      </c>
      <c r="V13" s="768" t="s">
        <v>17</v>
      </c>
      <c r="W13" s="769">
        <f t="shared" si="2"/>
        <v>100</v>
      </c>
      <c r="X13" s="770"/>
      <c r="Y13" s="3047"/>
      <c r="Z13" s="54">
        <f t="shared" si="7"/>
        <v>111</v>
      </c>
      <c r="AA13" s="771">
        <f t="shared" si="3"/>
        <v>1</v>
      </c>
      <c r="AB13" s="771">
        <f t="shared" si="4"/>
        <v>1</v>
      </c>
      <c r="AC13" s="2674">
        <f t="shared" si="5"/>
        <v>1</v>
      </c>
    </row>
    <row r="14" spans="1:29" ht="15.75" thickBot="1">
      <c r="A14" s="434"/>
      <c r="B14" s="2605">
        <v>111</v>
      </c>
      <c r="C14" s="435"/>
      <c r="D14" s="436">
        <v>100</v>
      </c>
      <c r="E14" s="626"/>
      <c r="F14" s="436">
        <f>SUMIF(75:75,E14,76:76)-SUMIF(75:75,C14,76:76)+100</f>
        <v>100</v>
      </c>
      <c r="G14" s="2675"/>
      <c r="H14" s="436">
        <f>SUMIF(75:75,G14,76:76)-SUMIF(75:75,C14,76:76)+100</f>
        <v>100</v>
      </c>
      <c r="I14" s="430"/>
      <c r="J14" s="436">
        <f>SUMIF(75:75,I14,76:76)-SUMIF(75:75,C14,76:76)+100</f>
        <v>100</v>
      </c>
      <c r="K14" s="611"/>
      <c r="L14" s="1141"/>
      <c r="M14" s="1132"/>
      <c r="N14" s="1132"/>
      <c r="O14" s="1132"/>
      <c r="P14" s="3214"/>
      <c r="Q14" s="1796">
        <f t="shared" si="6"/>
        <v>111</v>
      </c>
      <c r="R14" s="768" t="s">
        <v>17</v>
      </c>
      <c r="S14" s="769">
        <f t="shared" si="0"/>
        <v>100</v>
      </c>
      <c r="T14" s="768" t="s">
        <v>17</v>
      </c>
      <c r="U14" s="769">
        <f t="shared" si="1"/>
        <v>100</v>
      </c>
      <c r="V14" s="768" t="s">
        <v>17</v>
      </c>
      <c r="W14" s="769">
        <f t="shared" si="2"/>
        <v>100</v>
      </c>
      <c r="X14" s="770"/>
      <c r="Y14" s="3047"/>
      <c r="Z14" s="54">
        <f t="shared" si="7"/>
        <v>111</v>
      </c>
      <c r="AA14" s="771">
        <f t="shared" si="3"/>
        <v>1</v>
      </c>
      <c r="AB14" s="771">
        <f t="shared" si="4"/>
        <v>1</v>
      </c>
      <c r="AC14" s="2674">
        <f t="shared" si="5"/>
        <v>1</v>
      </c>
    </row>
    <row r="15" spans="1:29" ht="71.25">
      <c r="A15" s="438" t="s">
        <v>2557</v>
      </c>
      <c r="B15" s="627" t="s">
        <v>2685</v>
      </c>
      <c r="C15" s="267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41" t="s">
        <v>2558</v>
      </c>
      <c r="Q15" s="1811" t="str">
        <f t="shared" si="6"/>
        <v>办公集聚程度</v>
      </c>
      <c r="R15" s="772" t="s">
        <v>17</v>
      </c>
      <c r="S15" s="773">
        <f t="shared" si="0"/>
        <v>100</v>
      </c>
      <c r="T15" s="772" t="s">
        <v>17</v>
      </c>
      <c r="U15" s="773">
        <f t="shared" si="1"/>
        <v>100</v>
      </c>
      <c r="V15" s="772" t="s">
        <v>17</v>
      </c>
      <c r="W15" s="773">
        <f t="shared" si="2"/>
        <v>100</v>
      </c>
      <c r="X15" s="1814"/>
      <c r="Y15" s="3234" t="s">
        <v>2558</v>
      </c>
      <c r="Z15" s="1815" t="str">
        <f t="shared" si="7"/>
        <v>办公集聚程度</v>
      </c>
      <c r="AA15" s="1812">
        <f t="shared" si="3"/>
        <v>1</v>
      </c>
      <c r="AB15" s="1812">
        <f t="shared" si="4"/>
        <v>1</v>
      </c>
      <c r="AC15" s="2677">
        <f t="shared" si="5"/>
        <v>1</v>
      </c>
    </row>
    <row r="16" spans="1:29" ht="15">
      <c r="A16" s="426"/>
      <c r="B16" s="628"/>
      <c r="C16" s="2614"/>
      <c r="D16" s="446"/>
      <c r="E16" s="445"/>
      <c r="F16" s="446"/>
      <c r="G16" s="2614"/>
      <c r="H16" s="448"/>
      <c r="I16" s="445"/>
      <c r="J16" s="446"/>
      <c r="K16" s="613"/>
      <c r="L16" s="1141"/>
      <c r="M16" s="1132"/>
      <c r="N16" s="1132"/>
      <c r="O16" s="1132"/>
      <c r="P16" s="3242"/>
      <c r="Q16" s="1811"/>
      <c r="R16" s="772"/>
      <c r="S16" s="773"/>
      <c r="T16" s="772"/>
      <c r="U16" s="773"/>
      <c r="V16" s="772"/>
      <c r="W16" s="773"/>
      <c r="X16" s="1814"/>
      <c r="Y16" s="3235"/>
      <c r="Z16" s="1815"/>
      <c r="AA16" s="1812">
        <v>1</v>
      </c>
      <c r="AB16" s="1812">
        <v>1</v>
      </c>
      <c r="AC16" s="2677">
        <v>1</v>
      </c>
    </row>
    <row r="17" spans="1:29" ht="71.25">
      <c r="A17" s="426"/>
      <c r="B17" s="629" t="s">
        <v>2097</v>
      </c>
      <c r="C17" s="267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42"/>
      <c r="Q17" s="1811" t="str">
        <f>B17</f>
        <v>交通便捷度</v>
      </c>
      <c r="R17" s="772" t="s">
        <v>17</v>
      </c>
      <c r="S17" s="773">
        <f>F17</f>
        <v>100</v>
      </c>
      <c r="T17" s="772" t="s">
        <v>17</v>
      </c>
      <c r="U17" s="773">
        <f>H17</f>
        <v>100</v>
      </c>
      <c r="V17" s="772" t="s">
        <v>17</v>
      </c>
      <c r="W17" s="773">
        <f>J17</f>
        <v>100</v>
      </c>
      <c r="X17" s="1814"/>
      <c r="Y17" s="3235"/>
      <c r="Z17" s="1815" t="str">
        <f>Q17</f>
        <v>交通便捷度</v>
      </c>
      <c r="AA17" s="1812">
        <f t="shared" si="3"/>
        <v>1</v>
      </c>
      <c r="AB17" s="1812">
        <f t="shared" si="4"/>
        <v>1</v>
      </c>
      <c r="AC17" s="2677">
        <f t="shared" si="5"/>
        <v>1</v>
      </c>
    </row>
    <row r="18" spans="1:29" ht="15">
      <c r="A18" s="426"/>
      <c r="B18" s="630"/>
      <c r="C18" s="2679"/>
      <c r="D18" s="448"/>
      <c r="E18" s="2612"/>
      <c r="F18" s="448"/>
      <c r="G18" s="2613"/>
      <c r="H18" s="446"/>
      <c r="I18" s="2613"/>
      <c r="J18" s="446"/>
      <c r="K18" s="613"/>
      <c r="L18" s="1141"/>
      <c r="M18" s="1132"/>
      <c r="N18" s="1132"/>
      <c r="O18" s="1132"/>
      <c r="P18" s="3242"/>
      <c r="Q18" s="1811"/>
      <c r="R18" s="772"/>
      <c r="S18" s="773"/>
      <c r="T18" s="772"/>
      <c r="U18" s="773"/>
      <c r="V18" s="772"/>
      <c r="W18" s="773"/>
      <c r="X18" s="1814"/>
      <c r="Y18" s="3235"/>
      <c r="Z18" s="1815"/>
      <c r="AA18" s="1812">
        <v>1</v>
      </c>
      <c r="AB18" s="1812">
        <v>1</v>
      </c>
      <c r="AC18" s="2677">
        <v>1</v>
      </c>
    </row>
    <row r="19" spans="1:29" ht="42.75">
      <c r="A19" s="426"/>
      <c r="B19" s="629" t="s">
        <v>2686</v>
      </c>
      <c r="C19" s="267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42"/>
      <c r="Q19" s="1811" t="str">
        <f>B19</f>
        <v>公共配套设施</v>
      </c>
      <c r="R19" s="772" t="s">
        <v>17</v>
      </c>
      <c r="S19" s="773">
        <f>F19</f>
        <v>100</v>
      </c>
      <c r="T19" s="772" t="s">
        <v>17</v>
      </c>
      <c r="U19" s="773">
        <f>H19</f>
        <v>100</v>
      </c>
      <c r="V19" s="772" t="s">
        <v>17</v>
      </c>
      <c r="W19" s="773">
        <f>J19</f>
        <v>100</v>
      </c>
      <c r="X19" s="1814"/>
      <c r="Y19" s="3235"/>
      <c r="Z19" s="1815" t="str">
        <f>Q19</f>
        <v>公共配套设施</v>
      </c>
      <c r="AA19" s="1812">
        <f t="shared" si="3"/>
        <v>1</v>
      </c>
      <c r="AB19" s="1812">
        <f t="shared" si="4"/>
        <v>1</v>
      </c>
      <c r="AC19" s="2677">
        <f t="shared" si="5"/>
        <v>1</v>
      </c>
    </row>
    <row r="20" spans="1:29" ht="15">
      <c r="A20" s="426"/>
      <c r="B20" s="630"/>
      <c r="C20" s="2614"/>
      <c r="D20" s="446"/>
      <c r="E20" s="2607"/>
      <c r="F20" s="446"/>
      <c r="G20" s="2608"/>
      <c r="H20" s="446"/>
      <c r="I20" s="2608"/>
      <c r="J20" s="446"/>
      <c r="K20" s="613"/>
      <c r="L20" s="1141"/>
      <c r="M20" s="1132"/>
      <c r="N20" s="1132"/>
      <c r="O20" s="1132"/>
      <c r="P20" s="3242"/>
      <c r="Q20" s="1811"/>
      <c r="R20" s="772"/>
      <c r="S20" s="773"/>
      <c r="T20" s="772"/>
      <c r="U20" s="773"/>
      <c r="V20" s="772"/>
      <c r="W20" s="773"/>
      <c r="X20" s="1814"/>
      <c r="Y20" s="3235"/>
      <c r="Z20" s="1815"/>
      <c r="AA20" s="1812">
        <v>1</v>
      </c>
      <c r="AB20" s="1812">
        <v>1</v>
      </c>
      <c r="AC20" s="2677">
        <v>1</v>
      </c>
    </row>
    <row r="21" spans="1:29" ht="28.5">
      <c r="A21" s="426"/>
      <c r="B21" s="631" t="s">
        <v>2687</v>
      </c>
      <c r="C21" s="267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42"/>
      <c r="Q21" s="1811" t="str">
        <f>B21</f>
        <v>基础设施水平</v>
      </c>
      <c r="R21" s="772" t="s">
        <v>17</v>
      </c>
      <c r="S21" s="773">
        <f>F21</f>
        <v>100</v>
      </c>
      <c r="T21" s="772" t="s">
        <v>17</v>
      </c>
      <c r="U21" s="773">
        <f>H21</f>
        <v>100</v>
      </c>
      <c r="V21" s="772" t="s">
        <v>17</v>
      </c>
      <c r="W21" s="773">
        <f>J21</f>
        <v>100</v>
      </c>
      <c r="X21" s="1814"/>
      <c r="Y21" s="3235"/>
      <c r="Z21" s="1815" t="str">
        <f>Q21</f>
        <v>基础设施水平</v>
      </c>
      <c r="AA21" s="1812">
        <f t="shared" ref="AA21" si="8">D21/F21</f>
        <v>1</v>
      </c>
      <c r="AB21" s="1812">
        <f t="shared" ref="AB21" si="9">D21/H21</f>
        <v>1</v>
      </c>
      <c r="AC21" s="2677">
        <f t="shared" ref="AC21" si="10">D21/J21</f>
        <v>1</v>
      </c>
    </row>
    <row r="22" spans="1:29" ht="15">
      <c r="A22" s="426"/>
      <c r="B22" s="631"/>
      <c r="C22" s="2679"/>
      <c r="D22" s="446"/>
      <c r="E22" s="445"/>
      <c r="F22" s="446"/>
      <c r="G22" s="2614"/>
      <c r="H22" s="446"/>
      <c r="I22" s="2614"/>
      <c r="J22" s="446"/>
      <c r="K22" s="1384"/>
      <c r="L22" s="1141"/>
      <c r="M22" s="1132"/>
      <c r="N22" s="1132"/>
      <c r="O22" s="1132"/>
      <c r="P22" s="3242"/>
      <c r="Q22" s="1811"/>
      <c r="R22" s="772"/>
      <c r="S22" s="773"/>
      <c r="T22" s="772"/>
      <c r="U22" s="773"/>
      <c r="V22" s="772"/>
      <c r="W22" s="773"/>
      <c r="X22" s="1814"/>
      <c r="Y22" s="3235"/>
      <c r="Z22" s="1815"/>
      <c r="AA22" s="1812">
        <v>1</v>
      </c>
      <c r="AB22" s="1812">
        <v>1</v>
      </c>
      <c r="AC22" s="2677">
        <v>1</v>
      </c>
    </row>
    <row r="23" spans="1:29" ht="42.75">
      <c r="A23" s="426"/>
      <c r="B23" s="629" t="s">
        <v>2688</v>
      </c>
      <c r="C23" s="267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42"/>
      <c r="Q23" s="1811" t="str">
        <f>B23</f>
        <v>环境质量</v>
      </c>
      <c r="R23" s="772" t="s">
        <v>17</v>
      </c>
      <c r="S23" s="773">
        <f>F23</f>
        <v>100</v>
      </c>
      <c r="T23" s="772" t="s">
        <v>17</v>
      </c>
      <c r="U23" s="773">
        <f>H23</f>
        <v>100</v>
      </c>
      <c r="V23" s="772" t="s">
        <v>17</v>
      </c>
      <c r="W23" s="773">
        <f>J23</f>
        <v>100</v>
      </c>
      <c r="X23" s="1814"/>
      <c r="Y23" s="3235"/>
      <c r="Z23" s="1815" t="str">
        <f>Q23</f>
        <v>环境质量</v>
      </c>
      <c r="AA23" s="1812">
        <f t="shared" si="3"/>
        <v>1</v>
      </c>
      <c r="AB23" s="1812">
        <f t="shared" si="4"/>
        <v>1</v>
      </c>
      <c r="AC23" s="2677">
        <f t="shared" si="5"/>
        <v>1</v>
      </c>
    </row>
    <row r="24" spans="1:29" ht="15">
      <c r="A24" s="426"/>
      <c r="B24" s="631"/>
      <c r="C24" s="2614"/>
      <c r="D24" s="446"/>
      <c r="E24" s="2607"/>
      <c r="F24" s="446"/>
      <c r="G24" s="2608"/>
      <c r="H24" s="446"/>
      <c r="I24" s="2608"/>
      <c r="J24" s="446"/>
      <c r="K24" s="613"/>
      <c r="L24" s="1141"/>
      <c r="M24" s="1132"/>
      <c r="N24" s="1132"/>
      <c r="O24" s="1132"/>
      <c r="P24" s="3242"/>
      <c r="Q24" s="1811"/>
      <c r="R24" s="772"/>
      <c r="S24" s="773"/>
      <c r="T24" s="772"/>
      <c r="U24" s="773"/>
      <c r="V24" s="772"/>
      <c r="W24" s="773"/>
      <c r="X24" s="1814"/>
      <c r="Y24" s="3235"/>
      <c r="Z24" s="1815"/>
      <c r="AA24" s="1812">
        <v>1</v>
      </c>
      <c r="AB24" s="1812">
        <v>1</v>
      </c>
      <c r="AC24" s="2677">
        <v>1</v>
      </c>
    </row>
    <row r="25" spans="1:29" ht="27">
      <c r="A25" s="403"/>
      <c r="B25" s="629" t="s">
        <v>2689</v>
      </c>
      <c r="C25" s="2618"/>
      <c r="D25" s="433">
        <v>100</v>
      </c>
      <c r="E25" s="432"/>
      <c r="F25" s="433">
        <f>SUMIF(87:87,E26,88:88)-SUMIF(87:87,C26,88:88)+100</f>
        <v>100</v>
      </c>
      <c r="G25" s="2618"/>
      <c r="H25" s="433">
        <f>SUMIF(87:87,G26,88:88)-SUMIF(87:87,C26,88:88)+100</f>
        <v>100</v>
      </c>
      <c r="I25" s="432"/>
      <c r="J25" s="433">
        <f>SUMIF(87:87,I26,88:88)-SUMIF(87:87,C26,88:88)+100</f>
        <v>100</v>
      </c>
      <c r="K25" s="612"/>
      <c r="L25" s="1141"/>
      <c r="M25" s="1132"/>
      <c r="N25" s="1132"/>
      <c r="O25" s="1132"/>
      <c r="P25" s="3242"/>
      <c r="Q25" s="1811" t="str">
        <f>B25</f>
        <v>毗邻道路的类型与等级</v>
      </c>
      <c r="R25" s="772" t="s">
        <v>17</v>
      </c>
      <c r="S25" s="773">
        <f>F25</f>
        <v>100</v>
      </c>
      <c r="T25" s="772" t="s">
        <v>17</v>
      </c>
      <c r="U25" s="773">
        <f>H25</f>
        <v>100</v>
      </c>
      <c r="V25" s="772" t="s">
        <v>17</v>
      </c>
      <c r="W25" s="773">
        <f>J25</f>
        <v>100</v>
      </c>
      <c r="X25" s="1814"/>
      <c r="Y25" s="3235"/>
      <c r="Z25" s="1815" t="str">
        <f>Q25</f>
        <v>毗邻道路的类型与等级</v>
      </c>
      <c r="AA25" s="1812">
        <f t="shared" si="3"/>
        <v>1</v>
      </c>
      <c r="AB25" s="1812">
        <f t="shared" si="4"/>
        <v>1</v>
      </c>
      <c r="AC25" s="2677">
        <f t="shared" si="5"/>
        <v>1</v>
      </c>
    </row>
    <row r="26" spans="1:29" ht="15">
      <c r="A26" s="403"/>
      <c r="B26" s="630"/>
      <c r="C26" s="632"/>
      <c r="D26" s="433"/>
      <c r="E26" s="614"/>
      <c r="F26" s="433"/>
      <c r="G26" s="632"/>
      <c r="H26" s="433"/>
      <c r="I26" s="614"/>
      <c r="J26" s="433"/>
      <c r="K26" s="613"/>
      <c r="L26" s="1141"/>
      <c r="M26" s="1132"/>
      <c r="N26" s="1132"/>
      <c r="O26" s="1132"/>
      <c r="P26" s="3242"/>
      <c r="Q26" s="1811"/>
      <c r="R26" s="772"/>
      <c r="S26" s="773"/>
      <c r="T26" s="772"/>
      <c r="U26" s="773"/>
      <c r="V26" s="772"/>
      <c r="W26" s="773"/>
      <c r="X26" s="1814"/>
      <c r="Y26" s="3235"/>
      <c r="Z26" s="1815"/>
      <c r="AA26" s="1812">
        <v>1</v>
      </c>
      <c r="AB26" s="1812">
        <v>1</v>
      </c>
      <c r="AC26" s="2677">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42"/>
      <c r="Q27" s="1811" t="str">
        <f t="shared" ref="Q27:Q47" si="11">B27</f>
        <v>楼层</v>
      </c>
      <c r="R27" s="772" t="s">
        <v>17</v>
      </c>
      <c r="S27" s="773">
        <f>F27</f>
        <v>100</v>
      </c>
      <c r="T27" s="772" t="s">
        <v>17</v>
      </c>
      <c r="U27" s="773">
        <f>H27</f>
        <v>100</v>
      </c>
      <c r="V27" s="772" t="s">
        <v>17</v>
      </c>
      <c r="W27" s="773">
        <f>J27</f>
        <v>100</v>
      </c>
      <c r="X27" s="1814"/>
      <c r="Y27" s="3235"/>
      <c r="Z27" s="1815" t="str">
        <f>Q27</f>
        <v>楼层</v>
      </c>
      <c r="AA27" s="1812">
        <f t="shared" si="3"/>
        <v>1</v>
      </c>
      <c r="AB27" s="1812">
        <f t="shared" si="4"/>
        <v>1</v>
      </c>
      <c r="AC27" s="2677">
        <f t="shared" si="5"/>
        <v>1</v>
      </c>
    </row>
    <row r="28" spans="1:29" s="116" customFormat="1" ht="15">
      <c r="A28" s="429"/>
      <c r="B28" s="629" t="s">
        <v>2690</v>
      </c>
      <c r="C28" s="2680"/>
      <c r="D28" s="460">
        <v>100</v>
      </c>
      <c r="E28" s="2668"/>
      <c r="F28" s="460">
        <f>SUMIF(91:91,E28,92:92)-SUMIF(91:91,C28,92:92)+100</f>
        <v>100</v>
      </c>
      <c r="G28" s="2680"/>
      <c r="H28" s="460">
        <f>SUMIF(91:91,G28,92:92)-SUMIF(91:91,C28,92:92)+100</f>
        <v>100</v>
      </c>
      <c r="I28" s="2668"/>
      <c r="J28" s="460">
        <f>SUMIF(91:91,I28,92:92)-SUMIF(91:91,C28,92:92)+100</f>
        <v>100</v>
      </c>
      <c r="K28" s="610"/>
      <c r="L28" s="1133"/>
      <c r="M28" s="1134"/>
      <c r="N28" s="1134"/>
      <c r="O28" s="1134"/>
      <c r="P28" s="3242"/>
      <c r="Q28" s="1796" t="str">
        <f t="shared" si="11"/>
        <v>朝向</v>
      </c>
      <c r="R28" s="768" t="s">
        <v>17</v>
      </c>
      <c r="S28" s="769">
        <f>F28</f>
        <v>100</v>
      </c>
      <c r="T28" s="768" t="s">
        <v>17</v>
      </c>
      <c r="U28" s="769">
        <f>H28</f>
        <v>100</v>
      </c>
      <c r="V28" s="768" t="s">
        <v>17</v>
      </c>
      <c r="W28" s="769">
        <f>J28</f>
        <v>100</v>
      </c>
      <c r="X28" s="770"/>
      <c r="Y28" s="3235"/>
      <c r="Z28" s="54" t="str">
        <f>Q28</f>
        <v>朝向</v>
      </c>
      <c r="AA28" s="1812">
        <f>D28/F28</f>
        <v>1</v>
      </c>
      <c r="AB28" s="1812">
        <f>D28/H28</f>
        <v>1</v>
      </c>
      <c r="AC28" s="2677">
        <f>D28/J28</f>
        <v>1</v>
      </c>
    </row>
    <row r="29" spans="1:29" ht="15">
      <c r="A29" s="426"/>
      <c r="B29" s="2681">
        <v>111</v>
      </c>
      <c r="C29" s="2618"/>
      <c r="D29" s="433">
        <v>100</v>
      </c>
      <c r="E29" s="430"/>
      <c r="F29" s="433">
        <f>SUMIF(93:93,E29,94:94)-SUMIF(93:93,C29,94:94)+100</f>
        <v>100</v>
      </c>
      <c r="G29" s="2675"/>
      <c r="H29" s="433">
        <f>SUMIF(93:93,G29,94:94)-SUMIF(93:93,C29,94:94)+100</f>
        <v>100</v>
      </c>
      <c r="I29" s="430"/>
      <c r="J29" s="433">
        <f>SUMIF(93:93,I29,94:94)-SUMIF(93:93,C29,94:94)+100</f>
        <v>100</v>
      </c>
      <c r="K29" s="611"/>
      <c r="L29" s="1141"/>
      <c r="M29" s="1132"/>
      <c r="N29" s="1132"/>
      <c r="O29" s="1132"/>
      <c r="P29" s="3242"/>
      <c r="Q29" s="1811">
        <f t="shared" si="11"/>
        <v>111</v>
      </c>
      <c r="R29" s="772" t="s">
        <v>17</v>
      </c>
      <c r="S29" s="773">
        <f t="shared" ref="S29:S47" si="12">F29</f>
        <v>100</v>
      </c>
      <c r="T29" s="772" t="s">
        <v>17</v>
      </c>
      <c r="U29" s="773">
        <f t="shared" ref="U29:U47" si="13">H29</f>
        <v>100</v>
      </c>
      <c r="V29" s="772" t="s">
        <v>17</v>
      </c>
      <c r="W29" s="773">
        <f t="shared" ref="W29:W47" si="14">J29</f>
        <v>100</v>
      </c>
      <c r="X29" s="1814"/>
      <c r="Y29" s="3235"/>
      <c r="Z29" s="1815">
        <f t="shared" ref="Z29:Z47" si="15">Q29</f>
        <v>111</v>
      </c>
      <c r="AA29" s="1812">
        <f t="shared" si="3"/>
        <v>1</v>
      </c>
      <c r="AB29" s="1812">
        <f t="shared" si="4"/>
        <v>1</v>
      </c>
      <c r="AC29" s="2677">
        <f t="shared" si="5"/>
        <v>1</v>
      </c>
    </row>
    <row r="30" spans="1:29" ht="15">
      <c r="A30" s="426"/>
      <c r="B30" s="2681">
        <v>111</v>
      </c>
      <c r="C30" s="2618"/>
      <c r="D30" s="433">
        <v>100</v>
      </c>
      <c r="E30" s="430"/>
      <c r="F30" s="433">
        <f>SUMIF(95:95,E30,96:96)-SUMIF(95:95,C30,96:96)+100</f>
        <v>100</v>
      </c>
      <c r="G30" s="2675"/>
      <c r="H30" s="433">
        <f>SUMIF(95:95,G30,96:96)-SUMIF(95:95,C30,96:96)+100</f>
        <v>100</v>
      </c>
      <c r="I30" s="430"/>
      <c r="J30" s="433">
        <f>SUMIF(95:95,I30,96:96)-SUMIF(95:95,C30,96:96)+100</f>
        <v>100</v>
      </c>
      <c r="K30" s="611"/>
      <c r="L30" s="1141"/>
      <c r="M30" s="1132"/>
      <c r="N30" s="1132"/>
      <c r="O30" s="1132"/>
      <c r="P30" s="3242"/>
      <c r="Q30" s="1811">
        <f t="shared" si="11"/>
        <v>111</v>
      </c>
      <c r="R30" s="772" t="s">
        <v>17</v>
      </c>
      <c r="S30" s="773">
        <f t="shared" si="12"/>
        <v>100</v>
      </c>
      <c r="T30" s="772" t="s">
        <v>17</v>
      </c>
      <c r="U30" s="773">
        <f t="shared" si="13"/>
        <v>100</v>
      </c>
      <c r="V30" s="772" t="s">
        <v>17</v>
      </c>
      <c r="W30" s="773">
        <f t="shared" si="14"/>
        <v>100</v>
      </c>
      <c r="X30" s="1814"/>
      <c r="Y30" s="3235"/>
      <c r="Z30" s="1815">
        <f t="shared" si="15"/>
        <v>111</v>
      </c>
      <c r="AA30" s="1812">
        <f t="shared" si="3"/>
        <v>1</v>
      </c>
      <c r="AB30" s="1812">
        <f t="shared" si="4"/>
        <v>1</v>
      </c>
      <c r="AC30" s="2677">
        <f t="shared" si="5"/>
        <v>1</v>
      </c>
    </row>
    <row r="31" spans="1:29" ht="15">
      <c r="A31" s="426"/>
      <c r="B31" s="2681">
        <v>111</v>
      </c>
      <c r="C31" s="2618"/>
      <c r="D31" s="433">
        <v>100</v>
      </c>
      <c r="E31" s="430"/>
      <c r="F31" s="433">
        <f>SUMIF(97:97,E31,98:98)-SUMIF(97:97,C31,98:98)+100</f>
        <v>100</v>
      </c>
      <c r="G31" s="2675"/>
      <c r="H31" s="433">
        <f>SUMIF(97:97,G31,98:98)-SUMIF(97:97,C31,98:98)+100</f>
        <v>100</v>
      </c>
      <c r="I31" s="430"/>
      <c r="J31" s="433">
        <f>SUMIF(97:97,I31,98:98)-SUMIF(97:97,C31,98:98)+100</f>
        <v>100</v>
      </c>
      <c r="K31" s="611"/>
      <c r="L31" s="1141"/>
      <c r="M31" s="1132"/>
      <c r="N31" s="1132"/>
      <c r="O31" s="1132"/>
      <c r="P31" s="3242"/>
      <c r="Q31" s="1811">
        <f t="shared" si="11"/>
        <v>111</v>
      </c>
      <c r="R31" s="772" t="s">
        <v>17</v>
      </c>
      <c r="S31" s="773">
        <f t="shared" si="12"/>
        <v>100</v>
      </c>
      <c r="T31" s="772" t="s">
        <v>17</v>
      </c>
      <c r="U31" s="773">
        <f t="shared" si="13"/>
        <v>100</v>
      </c>
      <c r="V31" s="772" t="s">
        <v>17</v>
      </c>
      <c r="W31" s="773">
        <f t="shared" si="14"/>
        <v>100</v>
      </c>
      <c r="X31" s="1814"/>
      <c r="Y31" s="3235"/>
      <c r="Z31" s="1815">
        <f t="shared" si="15"/>
        <v>111</v>
      </c>
      <c r="AA31" s="1812">
        <f t="shared" si="3"/>
        <v>1</v>
      </c>
      <c r="AB31" s="1812">
        <f t="shared" si="4"/>
        <v>1</v>
      </c>
      <c r="AC31" s="2677">
        <f t="shared" si="5"/>
        <v>1</v>
      </c>
    </row>
    <row r="32" spans="1:29" ht="15.75" thickBot="1">
      <c r="A32" s="434"/>
      <c r="B32" s="633">
        <v>111</v>
      </c>
      <c r="C32" s="2619"/>
      <c r="D32" s="436">
        <v>100</v>
      </c>
      <c r="E32" s="626"/>
      <c r="F32" s="436">
        <f>SUMIF(99:99,E32,100:100)-SUMIF(99:99,C32,100:100)+100</f>
        <v>100</v>
      </c>
      <c r="G32" s="2675"/>
      <c r="H32" s="436">
        <f>SUMIF(99:99,G32,100:100)-SUMIF(99:99,C32,100:100)+100</f>
        <v>100</v>
      </c>
      <c r="I32" s="430"/>
      <c r="J32" s="436">
        <f>SUMIF(99:99,I32,100:100)-SUMIF(99:99,C32,100:100)+100</f>
        <v>100</v>
      </c>
      <c r="K32" s="611"/>
      <c r="L32" s="1141"/>
      <c r="M32" s="1132"/>
      <c r="N32" s="1132"/>
      <c r="O32" s="1132"/>
      <c r="P32" s="3242"/>
      <c r="Q32" s="1811">
        <f t="shared" si="11"/>
        <v>111</v>
      </c>
      <c r="R32" s="772" t="s">
        <v>17</v>
      </c>
      <c r="S32" s="773">
        <f t="shared" si="12"/>
        <v>100</v>
      </c>
      <c r="T32" s="772" t="s">
        <v>17</v>
      </c>
      <c r="U32" s="773">
        <f t="shared" si="13"/>
        <v>100</v>
      </c>
      <c r="V32" s="772" t="s">
        <v>17</v>
      </c>
      <c r="W32" s="773">
        <f t="shared" si="14"/>
        <v>100</v>
      </c>
      <c r="X32" s="1814"/>
      <c r="Y32" s="3235"/>
      <c r="Z32" s="1815">
        <f t="shared" si="15"/>
        <v>111</v>
      </c>
      <c r="AA32" s="1812">
        <f t="shared" si="3"/>
        <v>1</v>
      </c>
      <c r="AB32" s="1812">
        <f t="shared" si="4"/>
        <v>1</v>
      </c>
      <c r="AC32" s="2677">
        <f t="shared" si="5"/>
        <v>1</v>
      </c>
    </row>
    <row r="33" spans="1:29" ht="15">
      <c r="A33" s="438" t="s">
        <v>2561</v>
      </c>
      <c r="B33" s="70" t="s">
        <v>2691</v>
      </c>
      <c r="C33" s="2682"/>
      <c r="D33" s="465">
        <v>100</v>
      </c>
      <c r="E33" s="2682"/>
      <c r="F33" s="459">
        <f>SUMIF(101:101,E33,102:102)-SUMIF(101:101,C33,102:102)+100</f>
        <v>100</v>
      </c>
      <c r="G33" s="2682"/>
      <c r="H33" s="433">
        <f>SUMIF(101:101,G33,102:102)-SUMIF(101:101,C33,102:102)+100</f>
        <v>100</v>
      </c>
      <c r="I33" s="2682"/>
      <c r="J33" s="465">
        <f>SUMIF(101:101,I33,102:102)-SUMIF(101:101,C33,102:102)+100</f>
        <v>100</v>
      </c>
      <c r="K33" s="610"/>
      <c r="L33" s="1141"/>
      <c r="M33" s="1132"/>
      <c r="N33" s="1132"/>
      <c r="O33" s="1132"/>
      <c r="P33" s="3236" t="s">
        <v>2563</v>
      </c>
      <c r="Q33" s="1811" t="str">
        <f t="shared" si="11"/>
        <v>建筑类型</v>
      </c>
      <c r="R33" s="772" t="s">
        <v>17</v>
      </c>
      <c r="S33" s="773">
        <f t="shared" si="12"/>
        <v>100</v>
      </c>
      <c r="T33" s="772" t="s">
        <v>17</v>
      </c>
      <c r="U33" s="773">
        <f t="shared" si="13"/>
        <v>100</v>
      </c>
      <c r="V33" s="772" t="s">
        <v>17</v>
      </c>
      <c r="W33" s="773">
        <f t="shared" si="14"/>
        <v>100</v>
      </c>
      <c r="X33" s="1814"/>
      <c r="Y33" s="3239" t="s">
        <v>2563</v>
      </c>
      <c r="Z33" s="1815" t="str">
        <f t="shared" si="15"/>
        <v>建筑类型</v>
      </c>
      <c r="AA33" s="1812">
        <f t="shared" si="3"/>
        <v>1</v>
      </c>
      <c r="AB33" s="1812">
        <f t="shared" si="4"/>
        <v>1</v>
      </c>
      <c r="AC33" s="2677">
        <f t="shared" si="5"/>
        <v>1</v>
      </c>
    </row>
    <row r="34" spans="1:29" s="469" customFormat="1" ht="15">
      <c r="A34" s="466"/>
      <c r="B34" s="420" t="s">
        <v>2564</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9"/>
      <c r="M34" s="1142"/>
      <c r="N34" s="1142"/>
      <c r="O34" s="1142"/>
      <c r="P34" s="3237"/>
      <c r="Q34" s="774" t="str">
        <f t="shared" si="11"/>
        <v>项目建筑规模</v>
      </c>
      <c r="R34" s="775" t="s">
        <v>17</v>
      </c>
      <c r="S34" s="776" t="e">
        <f t="shared" si="12"/>
        <v>#N/A</v>
      </c>
      <c r="T34" s="775" t="s">
        <v>17</v>
      </c>
      <c r="U34" s="776" t="e">
        <f t="shared" si="13"/>
        <v>#N/A</v>
      </c>
      <c r="V34" s="775" t="s">
        <v>17</v>
      </c>
      <c r="W34" s="776" t="e">
        <f t="shared" si="14"/>
        <v>#N/A</v>
      </c>
      <c r="X34" s="777"/>
      <c r="Y34" s="3239"/>
      <c r="Z34" s="778" t="str">
        <f t="shared" si="15"/>
        <v>项目建筑规模</v>
      </c>
      <c r="AA34" s="1812" t="e">
        <f t="shared" si="3"/>
        <v>#N/A</v>
      </c>
      <c r="AB34" s="1812" t="e">
        <f t="shared" si="4"/>
        <v>#N/A</v>
      </c>
      <c r="AC34" s="2677"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37"/>
      <c r="Q35" s="1811" t="str">
        <f t="shared" si="11"/>
        <v>建筑结构</v>
      </c>
      <c r="R35" s="772" t="s">
        <v>17</v>
      </c>
      <c r="S35" s="773">
        <f t="shared" si="12"/>
        <v>100</v>
      </c>
      <c r="T35" s="772" t="s">
        <v>17</v>
      </c>
      <c r="U35" s="773">
        <f t="shared" si="13"/>
        <v>100</v>
      </c>
      <c r="V35" s="772" t="s">
        <v>17</v>
      </c>
      <c r="W35" s="773">
        <f t="shared" si="14"/>
        <v>100</v>
      </c>
      <c r="X35" s="1814"/>
      <c r="Y35" s="3239"/>
      <c r="Z35" s="1815" t="str">
        <f t="shared" si="15"/>
        <v>建筑结构</v>
      </c>
      <c r="AA35" s="1812">
        <f t="shared" si="3"/>
        <v>1</v>
      </c>
      <c r="AB35" s="1812">
        <f t="shared" si="4"/>
        <v>1</v>
      </c>
      <c r="AC35" s="2677">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37"/>
      <c r="Q36" s="1811" t="str">
        <f t="shared" si="11"/>
        <v>公共部分装修</v>
      </c>
      <c r="R36" s="772" t="s">
        <v>17</v>
      </c>
      <c r="S36" s="773">
        <f t="shared" si="12"/>
        <v>100</v>
      </c>
      <c r="T36" s="772" t="s">
        <v>17</v>
      </c>
      <c r="U36" s="773">
        <f t="shared" si="13"/>
        <v>100</v>
      </c>
      <c r="V36" s="772" t="s">
        <v>17</v>
      </c>
      <c r="W36" s="773">
        <f t="shared" si="14"/>
        <v>100</v>
      </c>
      <c r="X36" s="1814"/>
      <c r="Y36" s="3239"/>
      <c r="Z36" s="1815" t="str">
        <f t="shared" si="15"/>
        <v>公共部分装修</v>
      </c>
      <c r="AA36" s="1812">
        <f t="shared" si="3"/>
        <v>1</v>
      </c>
      <c r="AB36" s="1812">
        <f t="shared" si="4"/>
        <v>1</v>
      </c>
      <c r="AC36" s="2677">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37"/>
      <c r="Q37" s="1811" t="str">
        <f t="shared" si="11"/>
        <v>成新度</v>
      </c>
      <c r="R37" s="772" t="s">
        <v>17</v>
      </c>
      <c r="S37" s="773" t="e">
        <f t="shared" si="12"/>
        <v>#N/A</v>
      </c>
      <c r="T37" s="772" t="s">
        <v>17</v>
      </c>
      <c r="U37" s="773" t="e">
        <f t="shared" si="13"/>
        <v>#N/A</v>
      </c>
      <c r="V37" s="772" t="s">
        <v>17</v>
      </c>
      <c r="W37" s="773" t="e">
        <f t="shared" si="14"/>
        <v>#N/A</v>
      </c>
      <c r="X37" s="1814"/>
      <c r="Y37" s="3239"/>
      <c r="Z37" s="1815" t="str">
        <f t="shared" si="15"/>
        <v>成新度</v>
      </c>
      <c r="AA37" s="1812" t="e">
        <f t="shared" si="3"/>
        <v>#N/A</v>
      </c>
      <c r="AB37" s="1812" t="e">
        <f t="shared" si="4"/>
        <v>#N/A</v>
      </c>
      <c r="AC37" s="2677" t="e">
        <f t="shared" si="5"/>
        <v>#N/A</v>
      </c>
    </row>
    <row r="38" spans="1:29" s="116" customFormat="1" ht="15">
      <c r="A38" s="471"/>
      <c r="B38" s="420" t="s">
        <v>2692</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37"/>
      <c r="Q38" s="1796" t="str">
        <f t="shared" si="11"/>
        <v>写字楼等级</v>
      </c>
      <c r="R38" s="768" t="s">
        <v>17</v>
      </c>
      <c r="S38" s="769">
        <f t="shared" si="12"/>
        <v>100</v>
      </c>
      <c r="T38" s="768" t="s">
        <v>17</v>
      </c>
      <c r="U38" s="769">
        <f t="shared" si="13"/>
        <v>100</v>
      </c>
      <c r="V38" s="768" t="s">
        <v>17</v>
      </c>
      <c r="W38" s="769">
        <f t="shared" si="14"/>
        <v>100</v>
      </c>
      <c r="X38" s="770"/>
      <c r="Y38" s="3239"/>
      <c r="Z38" s="54" t="str">
        <f t="shared" si="15"/>
        <v>写字楼等级</v>
      </c>
      <c r="AA38" s="771">
        <f t="shared" si="3"/>
        <v>1</v>
      </c>
      <c r="AB38" s="771">
        <f t="shared" si="4"/>
        <v>1</v>
      </c>
      <c r="AC38" s="2674">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37" t="s">
        <v>2563</v>
      </c>
      <c r="Q39" s="1811" t="str">
        <f t="shared" si="11"/>
        <v>物业管理</v>
      </c>
      <c r="R39" s="772" t="s">
        <v>17</v>
      </c>
      <c r="S39" s="773">
        <f t="shared" si="12"/>
        <v>100</v>
      </c>
      <c r="T39" s="772" t="s">
        <v>17</v>
      </c>
      <c r="U39" s="773">
        <f t="shared" si="13"/>
        <v>100</v>
      </c>
      <c r="V39" s="772" t="s">
        <v>17</v>
      </c>
      <c r="W39" s="773">
        <f t="shared" si="14"/>
        <v>100</v>
      </c>
      <c r="X39" s="1814"/>
      <c r="Y39" s="3239" t="s">
        <v>2563</v>
      </c>
      <c r="Z39" s="1815" t="str">
        <f t="shared" si="15"/>
        <v>物业管理</v>
      </c>
      <c r="AA39" s="1812">
        <f t="shared" si="3"/>
        <v>1</v>
      </c>
      <c r="AB39" s="1812">
        <f t="shared" si="4"/>
        <v>1</v>
      </c>
      <c r="AC39" s="2677">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37"/>
      <c r="Q40" s="1811" t="str">
        <f t="shared" si="11"/>
        <v>市政基础设施</v>
      </c>
      <c r="R40" s="772" t="s">
        <v>17</v>
      </c>
      <c r="S40" s="773">
        <f t="shared" si="12"/>
        <v>100</v>
      </c>
      <c r="T40" s="772" t="s">
        <v>17</v>
      </c>
      <c r="U40" s="773">
        <f t="shared" si="13"/>
        <v>100</v>
      </c>
      <c r="V40" s="772" t="s">
        <v>17</v>
      </c>
      <c r="W40" s="773">
        <f t="shared" si="14"/>
        <v>100</v>
      </c>
      <c r="X40" s="1814"/>
      <c r="Y40" s="3239"/>
      <c r="Z40" s="1815" t="str">
        <f t="shared" si="15"/>
        <v>市政基础设施</v>
      </c>
      <c r="AA40" s="1812">
        <f t="shared" si="3"/>
        <v>1</v>
      </c>
      <c r="AB40" s="1812">
        <f t="shared" si="4"/>
        <v>1</v>
      </c>
      <c r="AC40" s="2677">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37"/>
      <c r="Q41" s="1811" t="str">
        <f t="shared" si="11"/>
        <v>层高</v>
      </c>
      <c r="R41" s="772" t="s">
        <v>17</v>
      </c>
      <c r="S41" s="773">
        <f t="shared" si="12"/>
        <v>100</v>
      </c>
      <c r="T41" s="772" t="s">
        <v>17</v>
      </c>
      <c r="U41" s="773">
        <f t="shared" si="13"/>
        <v>100</v>
      </c>
      <c r="V41" s="772" t="s">
        <v>17</v>
      </c>
      <c r="W41" s="773">
        <f t="shared" si="14"/>
        <v>100</v>
      </c>
      <c r="X41" s="1814"/>
      <c r="Y41" s="3239"/>
      <c r="Z41" s="1815" t="str">
        <f t="shared" si="15"/>
        <v>层高</v>
      </c>
      <c r="AA41" s="1812">
        <f t="shared" si="3"/>
        <v>1</v>
      </c>
      <c r="AB41" s="1812">
        <f t="shared" si="4"/>
        <v>1</v>
      </c>
      <c r="AC41" s="2677">
        <f t="shared" si="5"/>
        <v>1</v>
      </c>
    </row>
    <row r="42" spans="1:29" s="469" customFormat="1" ht="15">
      <c r="A42" s="466"/>
      <c r="B42" s="1813"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37"/>
      <c r="Q42" s="774" t="str">
        <f t="shared" si="11"/>
        <v>单套建筑面积</v>
      </c>
      <c r="R42" s="775" t="s">
        <v>17</v>
      </c>
      <c r="S42" s="776">
        <f t="shared" si="12"/>
        <v>100</v>
      </c>
      <c r="T42" s="775" t="s">
        <v>17</v>
      </c>
      <c r="U42" s="776">
        <f t="shared" si="13"/>
        <v>100</v>
      </c>
      <c r="V42" s="775" t="s">
        <v>17</v>
      </c>
      <c r="W42" s="776">
        <f t="shared" si="14"/>
        <v>100</v>
      </c>
      <c r="X42" s="777"/>
      <c r="Y42" s="3239"/>
      <c r="Z42" s="778" t="str">
        <f t="shared" si="15"/>
        <v>单套建筑面积</v>
      </c>
      <c r="AA42" s="1812">
        <f t="shared" si="3"/>
        <v>1</v>
      </c>
      <c r="AB42" s="1812">
        <f t="shared" si="4"/>
        <v>1</v>
      </c>
      <c r="AC42" s="2677">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37"/>
      <c r="Q43" s="1811" t="str">
        <f t="shared" si="11"/>
        <v>内部装修</v>
      </c>
      <c r="R43" s="772" t="s">
        <v>17</v>
      </c>
      <c r="S43" s="773">
        <f t="shared" si="12"/>
        <v>100</v>
      </c>
      <c r="T43" s="772" t="s">
        <v>17</v>
      </c>
      <c r="U43" s="773">
        <f t="shared" si="13"/>
        <v>100</v>
      </c>
      <c r="V43" s="772" t="s">
        <v>17</v>
      </c>
      <c r="W43" s="773">
        <f t="shared" si="14"/>
        <v>100</v>
      </c>
      <c r="X43" s="1814"/>
      <c r="Y43" s="3239"/>
      <c r="Z43" s="1815" t="str">
        <f t="shared" si="15"/>
        <v>内部装修</v>
      </c>
      <c r="AA43" s="1812">
        <f t="shared" si="3"/>
        <v>1</v>
      </c>
      <c r="AB43" s="1812">
        <f t="shared" si="4"/>
        <v>1</v>
      </c>
      <c r="AC43" s="2677">
        <f t="shared" si="5"/>
        <v>1</v>
      </c>
    </row>
    <row r="44" spans="1:29" ht="15">
      <c r="A44" s="470"/>
      <c r="B44" s="420" t="s">
        <v>2574</v>
      </c>
      <c r="C44" s="458"/>
      <c r="D44" s="433">
        <v>100</v>
      </c>
      <c r="E44" s="2616"/>
      <c r="F44" s="459">
        <f>SUMIF(125:125,E44,126:126)-SUMIF(125:125,C44,126:126)+100</f>
        <v>100</v>
      </c>
      <c r="G44" s="2616"/>
      <c r="H44" s="433">
        <f>SUMIF(125:125,G44,126:126)-SUMIF(125:125,C44,126:126)+100</f>
        <v>100</v>
      </c>
      <c r="I44" s="2616"/>
      <c r="J44" s="433">
        <f>SUMIF(125:125,I44,126:126)-SUMIF(125:125,C44,126:126)+100</f>
        <v>100</v>
      </c>
      <c r="K44" s="610"/>
      <c r="L44" s="1141"/>
      <c r="M44" s="1132"/>
      <c r="N44" s="1132"/>
      <c r="O44" s="1132"/>
      <c r="P44" s="3237"/>
      <c r="Q44" s="1811" t="str">
        <f t="shared" si="11"/>
        <v>内部装修维护情况</v>
      </c>
      <c r="R44" s="772" t="s">
        <v>17</v>
      </c>
      <c r="S44" s="773">
        <f t="shared" si="12"/>
        <v>100</v>
      </c>
      <c r="T44" s="772" t="s">
        <v>17</v>
      </c>
      <c r="U44" s="773">
        <f t="shared" si="13"/>
        <v>100</v>
      </c>
      <c r="V44" s="772" t="s">
        <v>17</v>
      </c>
      <c r="W44" s="773">
        <f t="shared" si="14"/>
        <v>100</v>
      </c>
      <c r="X44" s="1814"/>
      <c r="Y44" s="3239"/>
      <c r="Z44" s="1815" t="str">
        <f t="shared" si="15"/>
        <v>内部装修维护情况</v>
      </c>
      <c r="AA44" s="1812">
        <f t="shared" si="3"/>
        <v>1</v>
      </c>
      <c r="AB44" s="1812">
        <f t="shared" si="4"/>
        <v>1</v>
      </c>
      <c r="AC44" s="2677">
        <f t="shared" si="5"/>
        <v>1</v>
      </c>
    </row>
    <row r="45" spans="1:29" s="116" customFormat="1" ht="15">
      <c r="A45" s="471"/>
      <c r="B45" s="1387">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3"/>
      <c r="M45" s="1134"/>
      <c r="N45" s="1134"/>
      <c r="O45" s="1134"/>
      <c r="P45" s="3237"/>
      <c r="Q45" s="1796">
        <f t="shared" si="11"/>
        <v>111</v>
      </c>
      <c r="R45" s="768" t="s">
        <v>17</v>
      </c>
      <c r="S45" s="769">
        <f t="shared" si="12"/>
        <v>100</v>
      </c>
      <c r="T45" s="768" t="s">
        <v>17</v>
      </c>
      <c r="U45" s="769">
        <f t="shared" si="13"/>
        <v>100</v>
      </c>
      <c r="V45" s="768" t="s">
        <v>17</v>
      </c>
      <c r="W45" s="769">
        <f t="shared" si="14"/>
        <v>100</v>
      </c>
      <c r="X45" s="770"/>
      <c r="Y45" s="3239"/>
      <c r="Z45" s="54">
        <f t="shared" si="15"/>
        <v>111</v>
      </c>
      <c r="AA45" s="771">
        <f t="shared" si="3"/>
        <v>1</v>
      </c>
      <c r="AB45" s="771">
        <f t="shared" si="4"/>
        <v>1</v>
      </c>
      <c r="AC45" s="2674">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37"/>
      <c r="Q46" s="1811">
        <f t="shared" si="11"/>
        <v>111</v>
      </c>
      <c r="R46" s="772" t="s">
        <v>17</v>
      </c>
      <c r="S46" s="773">
        <f t="shared" si="12"/>
        <v>100</v>
      </c>
      <c r="T46" s="772" t="s">
        <v>17</v>
      </c>
      <c r="U46" s="773">
        <f t="shared" si="13"/>
        <v>100</v>
      </c>
      <c r="V46" s="772" t="s">
        <v>17</v>
      </c>
      <c r="W46" s="773">
        <f t="shared" si="14"/>
        <v>100</v>
      </c>
      <c r="X46" s="1814"/>
      <c r="Y46" s="3239"/>
      <c r="Z46" s="1815">
        <f t="shared" si="15"/>
        <v>111</v>
      </c>
      <c r="AA46" s="1812">
        <f t="shared" si="3"/>
        <v>1</v>
      </c>
      <c r="AB46" s="1812">
        <f t="shared" si="4"/>
        <v>1</v>
      </c>
      <c r="AC46" s="2677">
        <f t="shared" si="5"/>
        <v>1</v>
      </c>
    </row>
    <row r="47" spans="1:29" ht="15.75" thickBot="1">
      <c r="A47" s="476"/>
      <c r="B47" s="260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38"/>
      <c r="Q47" s="1811">
        <f t="shared" si="11"/>
        <v>111</v>
      </c>
      <c r="R47" s="772" t="s">
        <v>17</v>
      </c>
      <c r="S47" s="773">
        <f t="shared" si="12"/>
        <v>100</v>
      </c>
      <c r="T47" s="772" t="s">
        <v>17</v>
      </c>
      <c r="U47" s="773">
        <f t="shared" si="13"/>
        <v>100</v>
      </c>
      <c r="V47" s="772" t="s">
        <v>17</v>
      </c>
      <c r="W47" s="773">
        <f t="shared" si="14"/>
        <v>100</v>
      </c>
      <c r="X47" s="1814"/>
      <c r="Y47" s="3240"/>
      <c r="Z47" s="1815">
        <f t="shared" si="15"/>
        <v>111</v>
      </c>
      <c r="AA47" s="1812">
        <f t="shared" si="3"/>
        <v>1</v>
      </c>
      <c r="AB47" s="1812">
        <f t="shared" si="4"/>
        <v>1</v>
      </c>
      <c r="AC47" s="2677">
        <f t="shared" si="5"/>
        <v>1</v>
      </c>
    </row>
    <row r="48" spans="1:29" ht="15">
      <c r="A48" s="477" t="s">
        <v>2575</v>
      </c>
      <c r="B48" s="478"/>
      <c r="C48" s="1408" t="s">
        <v>1</v>
      </c>
      <c r="D48" s="1409"/>
      <c r="E48" s="1410"/>
      <c r="F48" s="1411"/>
      <c r="G48" s="1412"/>
      <c r="H48" s="1413"/>
      <c r="I48" s="1410"/>
      <c r="J48" s="483"/>
      <c r="K48" s="781"/>
      <c r="L48" s="1144"/>
      <c r="M48" s="1132"/>
      <c r="N48" s="1132"/>
      <c r="O48" s="1132"/>
      <c r="P48" s="3214" t="str">
        <f>A48</f>
        <v>成交单价（元/平方米）</v>
      </c>
      <c r="Q48" s="3232"/>
      <c r="R48" s="3233">
        <f>E48</f>
        <v>0</v>
      </c>
      <c r="S48" s="3233"/>
      <c r="T48" s="3233">
        <f>G48</f>
        <v>0</v>
      </c>
      <c r="U48" s="3233"/>
      <c r="V48" s="3233">
        <f>I48</f>
        <v>0</v>
      </c>
      <c r="W48" s="3233"/>
      <c r="X48" s="444"/>
      <c r="Y48" s="779"/>
      <c r="Z48" s="444"/>
      <c r="AA48" s="444"/>
      <c r="AB48" s="444"/>
      <c r="AC48" s="628"/>
    </row>
    <row r="49" spans="1:29" ht="15.75" thickBot="1">
      <c r="A49" s="484" t="s">
        <v>2667</v>
      </c>
      <c r="B49" s="485"/>
      <c r="C49" s="1414" t="e">
        <f>R50</f>
        <v>#DIV/0!</v>
      </c>
      <c r="D49" s="1415"/>
      <c r="E49" s="1416" t="e">
        <f>R49</f>
        <v>#DIV/0!</v>
      </c>
      <c r="F49" s="1416"/>
      <c r="G49" s="1414" t="e">
        <f>T49</f>
        <v>#DIV/0!</v>
      </c>
      <c r="H49" s="1415"/>
      <c r="I49" s="1416" t="e">
        <f>V49</f>
        <v>#DIV/0!</v>
      </c>
      <c r="J49" s="487"/>
      <c r="K49" s="782"/>
      <c r="L49" s="1144"/>
      <c r="M49" s="1132"/>
      <c r="N49" s="1132"/>
      <c r="O49" s="1132"/>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4"/>
      <c r="Y49" s="444"/>
      <c r="Z49" s="444"/>
      <c r="AA49" s="444"/>
      <c r="AB49" s="444"/>
      <c r="AC49" s="628"/>
    </row>
    <row r="50" spans="1:29" ht="15.75" thickBot="1">
      <c r="A50" s="490" t="s">
        <v>2668</v>
      </c>
      <c r="B50" s="491"/>
      <c r="C50" s="1418" t="e">
        <f>R50</f>
        <v>#DIV/0!</v>
      </c>
      <c r="D50" s="1418"/>
      <c r="E50" s="1418"/>
      <c r="F50" s="1418"/>
      <c r="G50" s="1418"/>
      <c r="H50" s="1418"/>
      <c r="I50" s="1418"/>
      <c r="J50" s="492"/>
      <c r="K50" s="783"/>
      <c r="L50" s="1144"/>
      <c r="M50" s="1132"/>
      <c r="N50" s="1132"/>
      <c r="O50" s="1132"/>
      <c r="P50" s="3256" t="str">
        <f>A50</f>
        <v>估价对象XX用房的比较价值（楼面单价，元/平方米）</v>
      </c>
      <c r="Q50" s="3257"/>
      <c r="R50" s="3258" t="e">
        <f>IF(F1="售价",ROUND(AVERAGE(R49:V49),0),ROUND(AVERAGE(R49:V49),1))</f>
        <v>#DIV/0!</v>
      </c>
      <c r="S50" s="3258"/>
      <c r="T50" s="3258"/>
      <c r="U50" s="3258"/>
      <c r="V50" s="3258"/>
      <c r="W50" s="3258"/>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84"/>
      <c r="Q58" s="502"/>
    </row>
    <row r="59" spans="1:29" s="506" customFormat="1" ht="15">
      <c r="A59" s="503" t="s">
        <v>2546</v>
      </c>
      <c r="B59" s="504"/>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6" customFormat="1" ht="15">
      <c r="A60" s="507"/>
      <c r="B60" s="508"/>
      <c r="C60" s="1574">
        <v>100</v>
      </c>
      <c r="D60" s="510"/>
      <c r="E60" s="510"/>
      <c r="F60" s="510"/>
      <c r="G60" s="510"/>
      <c r="H60" s="510"/>
      <c r="I60" s="510"/>
      <c r="J60" s="510"/>
      <c r="K60" s="510"/>
      <c r="L60" s="510"/>
      <c r="M60" s="511"/>
      <c r="N60" s="510"/>
      <c r="O60" s="511"/>
      <c r="P60" s="2685"/>
    </row>
    <row r="61" spans="1:29" s="116" customFormat="1" ht="15.75" thickBot="1">
      <c r="A61" s="513" t="s">
        <v>2583</v>
      </c>
      <c r="B61" s="514"/>
      <c r="C61" s="515"/>
      <c r="D61" s="516"/>
      <c r="E61" s="516"/>
      <c r="F61" s="516"/>
      <c r="G61" s="516"/>
      <c r="H61" s="516"/>
      <c r="I61" s="516"/>
      <c r="J61" s="516"/>
      <c r="K61" s="516"/>
      <c r="L61" s="516"/>
      <c r="M61" s="517"/>
      <c r="N61" s="516"/>
      <c r="O61" s="517"/>
      <c r="P61" s="2685"/>
      <c r="Q61" s="502"/>
    </row>
    <row r="62" spans="1:29" s="116" customFormat="1" ht="15">
      <c r="A62" s="519" t="s">
        <v>2548</v>
      </c>
      <c r="B62" s="508"/>
      <c r="C62" s="520" t="s">
        <v>2650</v>
      </c>
      <c r="D62" s="521"/>
      <c r="E62" s="521"/>
      <c r="F62" s="521"/>
      <c r="G62" s="521"/>
      <c r="H62" s="521"/>
      <c r="I62" s="521"/>
      <c r="J62" s="521"/>
      <c r="K62" s="521"/>
      <c r="L62" s="522"/>
      <c r="M62" s="523"/>
      <c r="N62" s="1152"/>
      <c r="O62" s="1152"/>
      <c r="P62" s="2686"/>
      <c r="Q62" s="502"/>
    </row>
    <row r="63" spans="1:29" s="116" customFormat="1" ht="15.75" thickBot="1">
      <c r="A63" s="519"/>
      <c r="B63" s="508"/>
      <c r="C63" s="509">
        <v>100</v>
      </c>
      <c r="D63" s="510"/>
      <c r="E63" s="510"/>
      <c r="F63" s="510"/>
      <c r="G63" s="510"/>
      <c r="H63" s="510"/>
      <c r="I63" s="510"/>
      <c r="J63" s="510"/>
      <c r="K63" s="510"/>
      <c r="L63" s="510"/>
      <c r="M63" s="512"/>
      <c r="N63" s="1152"/>
      <c r="O63" s="1152"/>
      <c r="P63" s="2685"/>
      <c r="Q63" s="502"/>
    </row>
    <row r="64" spans="1:29">
      <c r="A64" s="525" t="s">
        <v>2586</v>
      </c>
      <c r="B64" s="526" t="s">
        <v>2552</v>
      </c>
      <c r="C64" s="527">
        <f>C9</f>
        <v>0</v>
      </c>
      <c r="D64" s="528"/>
      <c r="E64" s="528"/>
      <c r="F64" s="528"/>
      <c r="G64" s="528"/>
      <c r="H64" s="528"/>
      <c r="I64" s="528"/>
      <c r="J64" s="528"/>
      <c r="K64" s="529"/>
      <c r="L64" s="530"/>
      <c r="M64" s="531"/>
      <c r="N64" s="1153"/>
      <c r="O64" s="1153"/>
      <c r="P64" s="2687"/>
      <c r="Q64" s="502"/>
    </row>
    <row r="65" spans="1:17" ht="15.75" thickBot="1">
      <c r="A65" s="532"/>
      <c r="B65" s="533"/>
      <c r="C65" s="534">
        <v>100</v>
      </c>
      <c r="D65" s="534"/>
      <c r="E65" s="534"/>
      <c r="F65" s="534"/>
      <c r="G65" s="534"/>
      <c r="H65" s="534"/>
      <c r="I65" s="534"/>
      <c r="J65" s="534"/>
      <c r="K65" s="534"/>
      <c r="L65" s="534"/>
      <c r="M65" s="535"/>
      <c r="N65" s="1154"/>
      <c r="O65" s="1154"/>
      <c r="P65" s="2687"/>
      <c r="Q65" s="502"/>
    </row>
    <row r="66" spans="1:17" ht="27.75" thickTop="1">
      <c r="A66" s="532"/>
      <c r="B66" s="536" t="s">
        <v>2555</v>
      </c>
      <c r="C66" s="537" t="s">
        <v>2587</v>
      </c>
      <c r="D66" s="537" t="s">
        <v>2588</v>
      </c>
      <c r="E66" s="537" t="s">
        <v>2589</v>
      </c>
      <c r="F66" s="537" t="s">
        <v>2590</v>
      </c>
      <c r="G66" s="537" t="s">
        <v>2591</v>
      </c>
      <c r="H66" s="537" t="s">
        <v>2592</v>
      </c>
      <c r="I66" s="537" t="s">
        <v>2593</v>
      </c>
      <c r="J66" s="537"/>
      <c r="K66" s="538"/>
      <c r="L66" s="539"/>
      <c r="M66" s="540"/>
      <c r="N66" s="1153"/>
      <c r="O66" s="1153"/>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7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7"/>
      <c r="Q68" s="502"/>
    </row>
    <row r="69" spans="1:17" ht="15">
      <c r="A69" s="532"/>
      <c r="B69" s="546"/>
      <c r="C69" s="547"/>
      <c r="D69" s="547"/>
      <c r="E69" s="547"/>
      <c r="F69" s="547"/>
      <c r="G69" s="547"/>
      <c r="H69" s="547"/>
      <c r="I69" s="547"/>
      <c r="J69" s="547"/>
      <c r="K69" s="548"/>
      <c r="L69" s="549"/>
      <c r="M69" s="550"/>
      <c r="N69" s="1153"/>
      <c r="O69" s="1153"/>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5.75" thickTop="1">
      <c r="A71" s="551"/>
      <c r="B71" s="536">
        <f>B12</f>
        <v>111</v>
      </c>
      <c r="C71" s="552"/>
      <c r="D71" s="552"/>
      <c r="E71" s="552"/>
      <c r="F71" s="552"/>
      <c r="G71" s="552"/>
      <c r="H71" s="553"/>
      <c r="I71" s="553"/>
      <c r="J71" s="553"/>
      <c r="K71" s="553"/>
      <c r="L71" s="554"/>
      <c r="M71" s="555"/>
      <c r="N71" s="1155"/>
      <c r="O71" s="1155"/>
      <c r="P71" s="2688"/>
      <c r="Q71" s="557"/>
    </row>
    <row r="72" spans="1:17" s="469" customFormat="1" ht="15.75" thickBot="1">
      <c r="A72" s="551"/>
      <c r="B72" s="541"/>
      <c r="C72" s="558"/>
      <c r="D72" s="534"/>
      <c r="E72" s="534"/>
      <c r="F72" s="534"/>
      <c r="G72" s="534"/>
      <c r="H72" s="534"/>
      <c r="I72" s="534"/>
      <c r="J72" s="534"/>
      <c r="K72" s="534"/>
      <c r="L72" s="534"/>
      <c r="M72" s="535"/>
      <c r="N72" s="1154"/>
      <c r="O72" s="1154"/>
      <c r="P72" s="2688"/>
      <c r="Q72" s="557"/>
    </row>
    <row r="73" spans="1:17" s="469" customFormat="1" ht="15.75" thickTop="1">
      <c r="A73" s="551"/>
      <c r="B73" s="536">
        <f>B13</f>
        <v>111</v>
      </c>
      <c r="C73" s="552"/>
      <c r="D73" s="552"/>
      <c r="E73" s="552"/>
      <c r="F73" s="552"/>
      <c r="G73" s="552"/>
      <c r="H73" s="553"/>
      <c r="I73" s="553"/>
      <c r="J73" s="553"/>
      <c r="K73" s="553"/>
      <c r="L73" s="554"/>
      <c r="M73" s="555"/>
      <c r="N73" s="1155"/>
      <c r="O73" s="1155"/>
      <c r="P73" s="2689"/>
      <c r="Q73" s="559"/>
    </row>
    <row r="74" spans="1:17" s="469" customFormat="1" ht="15.75" thickBot="1">
      <c r="A74" s="551"/>
      <c r="B74" s="541"/>
      <c r="C74" s="558"/>
      <c r="D74" s="558"/>
      <c r="E74" s="558"/>
      <c r="F74" s="558"/>
      <c r="G74" s="558"/>
      <c r="H74" s="560"/>
      <c r="I74" s="560"/>
      <c r="J74" s="560"/>
      <c r="K74" s="560"/>
      <c r="L74" s="560"/>
      <c r="M74" s="561"/>
      <c r="N74" s="1155"/>
      <c r="O74" s="1155"/>
      <c r="P74" s="2688"/>
      <c r="Q74" s="557"/>
    </row>
    <row r="75" spans="1:17" s="469" customFormat="1" ht="15.75" thickTop="1">
      <c r="A75" s="551"/>
      <c r="B75" s="544">
        <f>B14</f>
        <v>111</v>
      </c>
      <c r="C75" s="521"/>
      <c r="D75" s="521"/>
      <c r="E75" s="521"/>
      <c r="F75" s="521"/>
      <c r="G75" s="521"/>
      <c r="H75" s="562"/>
      <c r="I75" s="562"/>
      <c r="J75" s="562"/>
      <c r="K75" s="562"/>
      <c r="L75" s="563"/>
      <c r="M75" s="564"/>
      <c r="N75" s="1155"/>
      <c r="O75" s="1155"/>
      <c r="P75" s="2690"/>
      <c r="Q75" s="557"/>
    </row>
    <row r="76" spans="1:17" s="469" customFormat="1" ht="15.75" thickBot="1">
      <c r="A76" s="566"/>
      <c r="B76" s="567"/>
      <c r="C76" s="568"/>
      <c r="D76" s="568"/>
      <c r="E76" s="568"/>
      <c r="F76" s="568"/>
      <c r="G76" s="568"/>
      <c r="H76" s="569"/>
      <c r="I76" s="569"/>
      <c r="J76" s="569"/>
      <c r="K76" s="569"/>
      <c r="L76" s="569"/>
      <c r="M76" s="570"/>
      <c r="N76" s="1155"/>
      <c r="O76" s="1155"/>
      <c r="P76" s="2688"/>
      <c r="Q76" s="557"/>
    </row>
    <row r="77" spans="1:17">
      <c r="A77" s="525" t="s">
        <v>2557</v>
      </c>
      <c r="B77" s="526" t="s">
        <v>2695</v>
      </c>
      <c r="C77" s="571" t="s">
        <v>2595</v>
      </c>
      <c r="D77" s="571" t="s">
        <v>2596</v>
      </c>
      <c r="E77" s="571" t="s">
        <v>2597</v>
      </c>
      <c r="F77" s="571" t="s">
        <v>2598</v>
      </c>
      <c r="G77" s="571" t="s">
        <v>2599</v>
      </c>
      <c r="H77" s="527"/>
      <c r="I77" s="527"/>
      <c r="J77" s="527"/>
      <c r="K77" s="572"/>
      <c r="L77" s="573"/>
      <c r="M77" s="574"/>
      <c r="N77" s="1153"/>
      <c r="O77" s="1153"/>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75" thickTop="1">
      <c r="A79" s="532"/>
      <c r="B79" s="536" t="s">
        <v>2600</v>
      </c>
      <c r="C79" s="576" t="s">
        <v>2595</v>
      </c>
      <c r="D79" s="576" t="s">
        <v>2596</v>
      </c>
      <c r="E79" s="576" t="s">
        <v>2597</v>
      </c>
      <c r="F79" s="576" t="s">
        <v>2598</v>
      </c>
      <c r="G79" s="576" t="s">
        <v>2599</v>
      </c>
      <c r="H79" s="537"/>
      <c r="I79" s="537"/>
      <c r="J79" s="537"/>
      <c r="K79" s="538"/>
      <c r="L79" s="539"/>
      <c r="M79" s="540"/>
      <c r="N79" s="1153"/>
      <c r="O79" s="1153"/>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75" thickTop="1">
      <c r="A81" s="532"/>
      <c r="B81" s="536" t="s">
        <v>2601</v>
      </c>
      <c r="C81" s="576" t="s">
        <v>2595</v>
      </c>
      <c r="D81" s="576" t="s">
        <v>2596</v>
      </c>
      <c r="E81" s="576" t="s">
        <v>2597</v>
      </c>
      <c r="F81" s="576" t="s">
        <v>2598</v>
      </c>
      <c r="G81" s="576" t="s">
        <v>2599</v>
      </c>
      <c r="H81" s="537"/>
      <c r="I81" s="537"/>
      <c r="J81" s="537"/>
      <c r="K81" s="538"/>
      <c r="L81" s="539"/>
      <c r="M81" s="540"/>
      <c r="N81" s="1153"/>
      <c r="O81" s="1153"/>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75" thickTop="1">
      <c r="A83" s="532"/>
      <c r="B83" s="544" t="s">
        <v>2687</v>
      </c>
      <c r="C83" s="658" t="s">
        <v>2673</v>
      </c>
      <c r="D83" s="658" t="s">
        <v>2674</v>
      </c>
      <c r="E83" s="658" t="s">
        <v>2675</v>
      </c>
      <c r="F83" s="658" t="s">
        <v>2676</v>
      </c>
      <c r="G83" s="658" t="s">
        <v>2677</v>
      </c>
      <c r="H83" s="537"/>
      <c r="I83" s="537"/>
      <c r="J83" s="537"/>
      <c r="K83" s="537"/>
      <c r="L83" s="537"/>
      <c r="M83" s="1383"/>
      <c r="N83" s="1154"/>
      <c r="O83" s="1154"/>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7"/>
      <c r="Q84" s="502"/>
    </row>
    <row r="85" spans="1:17" ht="15.75" thickTop="1">
      <c r="A85" s="532"/>
      <c r="B85" s="536" t="s">
        <v>2696</v>
      </c>
      <c r="C85" s="576" t="s">
        <v>2595</v>
      </c>
      <c r="D85" s="576" t="s">
        <v>2596</v>
      </c>
      <c r="E85" s="576" t="s">
        <v>2597</v>
      </c>
      <c r="F85" s="576" t="s">
        <v>2598</v>
      </c>
      <c r="G85" s="576" t="s">
        <v>2599</v>
      </c>
      <c r="H85" s="537"/>
      <c r="I85" s="537"/>
      <c r="J85" s="537"/>
      <c r="K85" s="538"/>
      <c r="L85" s="539"/>
      <c r="M85" s="540"/>
      <c r="N85" s="1153"/>
      <c r="O85" s="1153"/>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6" customFormat="1" ht="27.75" thickTop="1">
      <c r="A87" s="577"/>
      <c r="B87" s="536" t="s">
        <v>2697</v>
      </c>
      <c r="C87" s="552"/>
      <c r="D87" s="552"/>
      <c r="E87" s="552"/>
      <c r="F87" s="552"/>
      <c r="G87" s="552"/>
      <c r="H87" s="552"/>
      <c r="I87" s="552"/>
      <c r="J87" s="552"/>
      <c r="K87" s="552"/>
      <c r="L87" s="578"/>
      <c r="M87" s="579"/>
      <c r="N87" s="1152"/>
      <c r="O87" s="1152"/>
      <c r="P87" s="268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6" customFormat="1" ht="15.75" thickTop="1">
      <c r="A89" s="577"/>
      <c r="B89" s="536" t="str">
        <f>B27</f>
        <v>楼层</v>
      </c>
      <c r="C89" s="552"/>
      <c r="D89" s="552"/>
      <c r="E89" s="552"/>
      <c r="F89" s="2638"/>
      <c r="G89" s="552"/>
      <c r="H89" s="552"/>
      <c r="I89" s="552"/>
      <c r="J89" s="552"/>
      <c r="K89" s="552"/>
      <c r="L89" s="552"/>
      <c r="M89" s="579"/>
      <c r="N89" s="1152"/>
      <c r="O89" s="1152"/>
      <c r="P89" s="268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5.75" thickTop="1">
      <c r="A93" s="532"/>
      <c r="B93" s="536">
        <f>B29</f>
        <v>111</v>
      </c>
      <c r="C93" s="552"/>
      <c r="D93" s="552"/>
      <c r="E93" s="552"/>
      <c r="F93" s="552"/>
      <c r="G93" s="552"/>
      <c r="H93" s="552"/>
      <c r="I93" s="552"/>
      <c r="J93" s="552"/>
      <c r="K93" s="552"/>
      <c r="L93" s="578"/>
      <c r="M93" s="579"/>
      <c r="N93" s="1153"/>
      <c r="O93" s="1153"/>
      <c r="P93" s="2687"/>
      <c r="Q93" s="502"/>
    </row>
    <row r="94" spans="1:17" ht="15.75" thickBot="1">
      <c r="A94" s="532"/>
      <c r="B94" s="541"/>
      <c r="C94" s="558"/>
      <c r="D94" s="534"/>
      <c r="E94" s="534"/>
      <c r="F94" s="534"/>
      <c r="G94" s="534"/>
      <c r="H94" s="534"/>
      <c r="I94" s="534"/>
      <c r="J94" s="534"/>
      <c r="K94" s="534"/>
      <c r="L94" s="534"/>
      <c r="M94" s="535"/>
      <c r="N94" s="1154"/>
      <c r="O94" s="1154"/>
      <c r="P94" s="2687"/>
      <c r="Q94" s="502"/>
    </row>
    <row r="95" spans="1:17" ht="15.75" thickTop="1">
      <c r="A95" s="532"/>
      <c r="B95" s="536">
        <f>B30</f>
        <v>111</v>
      </c>
      <c r="C95" s="552"/>
      <c r="D95" s="552"/>
      <c r="E95" s="552"/>
      <c r="F95" s="552"/>
      <c r="G95" s="581"/>
      <c r="H95" s="581"/>
      <c r="I95" s="581"/>
      <c r="J95" s="581"/>
      <c r="K95" s="582"/>
      <c r="L95" s="583"/>
      <c r="M95" s="584"/>
      <c r="N95" s="1153"/>
      <c r="O95" s="1153"/>
      <c r="P95" s="2687"/>
      <c r="Q95" s="502"/>
    </row>
    <row r="96" spans="1:17" ht="15.75" thickBot="1">
      <c r="A96" s="532"/>
      <c r="B96" s="541"/>
      <c r="C96" s="558"/>
      <c r="D96" s="558"/>
      <c r="E96" s="558"/>
      <c r="F96" s="558"/>
      <c r="G96" s="534"/>
      <c r="H96" s="534"/>
      <c r="I96" s="534"/>
      <c r="J96" s="534"/>
      <c r="K96" s="534"/>
      <c r="L96" s="534"/>
      <c r="M96" s="535"/>
      <c r="N96" s="1154"/>
      <c r="O96" s="1154"/>
      <c r="P96" s="2687"/>
      <c r="Q96" s="502"/>
    </row>
    <row r="97" spans="1:17" ht="15.75" thickTop="1">
      <c r="A97" s="532"/>
      <c r="B97" s="536">
        <f>B31</f>
        <v>111</v>
      </c>
      <c r="C97" s="552"/>
      <c r="D97" s="552"/>
      <c r="E97" s="552"/>
      <c r="F97" s="552"/>
      <c r="G97" s="581"/>
      <c r="H97" s="581"/>
      <c r="I97" s="581"/>
      <c r="J97" s="581"/>
      <c r="K97" s="582"/>
      <c r="L97" s="583"/>
      <c r="M97" s="584"/>
      <c r="N97" s="1153"/>
      <c r="O97" s="1153"/>
      <c r="P97" s="2687"/>
      <c r="Q97" s="502"/>
    </row>
    <row r="98" spans="1:17" ht="15.75" thickBot="1">
      <c r="A98" s="532"/>
      <c r="B98" s="541"/>
      <c r="C98" s="558"/>
      <c r="D98" s="534"/>
      <c r="E98" s="534"/>
      <c r="F98" s="534"/>
      <c r="G98" s="534"/>
      <c r="H98" s="534"/>
      <c r="I98" s="534"/>
      <c r="J98" s="534"/>
      <c r="K98" s="534"/>
      <c r="L98" s="534"/>
      <c r="M98" s="535"/>
      <c r="N98" s="1154"/>
      <c r="O98" s="1154"/>
      <c r="P98" s="2687"/>
      <c r="Q98" s="502"/>
    </row>
    <row r="99" spans="1:17" ht="15.75" thickTop="1">
      <c r="A99" s="532"/>
      <c r="B99" s="544">
        <f>B32</f>
        <v>111</v>
      </c>
      <c r="C99" s="521"/>
      <c r="D99" s="521"/>
      <c r="E99" s="521"/>
      <c r="F99" s="521"/>
      <c r="G99" s="585"/>
      <c r="H99" s="585"/>
      <c r="I99" s="585"/>
      <c r="J99" s="585"/>
      <c r="K99" s="586"/>
      <c r="L99" s="587"/>
      <c r="M99" s="588"/>
      <c r="N99" s="1153"/>
      <c r="O99" s="1153"/>
      <c r="P99" s="2687"/>
      <c r="Q99" s="502"/>
    </row>
    <row r="100" spans="1:17" ht="15.75" thickBot="1">
      <c r="A100" s="2639"/>
      <c r="B100" s="567"/>
      <c r="C100" s="568"/>
      <c r="D100" s="568"/>
      <c r="E100" s="568"/>
      <c r="F100" s="568"/>
      <c r="G100" s="589"/>
      <c r="H100" s="589"/>
      <c r="I100" s="589"/>
      <c r="J100" s="589"/>
      <c r="K100" s="589"/>
      <c r="L100" s="589"/>
      <c r="M100" s="590"/>
      <c r="N100" s="1154"/>
      <c r="O100" s="1154"/>
      <c r="P100" s="2687"/>
      <c r="Q100" s="502"/>
    </row>
    <row r="101" spans="1:17">
      <c r="A101" s="525" t="s">
        <v>2561</v>
      </c>
      <c r="B101" s="526" t="s">
        <v>2610</v>
      </c>
      <c r="C101" s="528"/>
      <c r="D101" s="528"/>
      <c r="E101" s="528"/>
      <c r="F101" s="528"/>
      <c r="G101" s="528"/>
      <c r="H101" s="528"/>
      <c r="I101" s="528"/>
      <c r="J101" s="528"/>
      <c r="K101" s="529"/>
      <c r="L101" s="530"/>
      <c r="M101" s="531"/>
      <c r="N101" s="1153"/>
      <c r="O101" s="1153"/>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7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2612</v>
      </c>
      <c r="C106" s="552"/>
      <c r="D106" s="552"/>
      <c r="E106" s="581"/>
      <c r="F106" s="581"/>
      <c r="G106" s="581"/>
      <c r="H106" s="581"/>
      <c r="I106" s="581"/>
      <c r="J106" s="581"/>
      <c r="K106" s="582"/>
      <c r="L106" s="583"/>
      <c r="M106" s="584"/>
      <c r="N106" s="1153"/>
      <c r="O106" s="1153"/>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2614</v>
      </c>
      <c r="C108" s="552"/>
      <c r="D108" s="552"/>
      <c r="E108" s="552"/>
      <c r="F108" s="581"/>
      <c r="G108" s="581"/>
      <c r="H108" s="581"/>
      <c r="I108" s="581"/>
      <c r="J108" s="581"/>
      <c r="K108" s="582"/>
      <c r="L108" s="583"/>
      <c r="M108" s="584"/>
      <c r="N108" s="1153"/>
      <c r="O108" s="1153"/>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2698</v>
      </c>
      <c r="C113" s="552"/>
      <c r="D113" s="552"/>
      <c r="E113" s="552"/>
      <c r="F113" s="552"/>
      <c r="G113" s="552"/>
      <c r="H113" s="581"/>
      <c r="I113" s="581"/>
      <c r="J113" s="581"/>
      <c r="K113" s="582"/>
      <c r="L113" s="583"/>
      <c r="M113" s="584"/>
      <c r="N113" s="1155"/>
      <c r="O113" s="1155"/>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2615</v>
      </c>
      <c r="C115" s="552"/>
      <c r="D115" s="552"/>
      <c r="E115" s="581"/>
      <c r="F115" s="581"/>
      <c r="G115" s="581"/>
      <c r="H115" s="581"/>
      <c r="I115" s="581"/>
      <c r="J115" s="581"/>
      <c r="K115" s="582"/>
      <c r="L115" s="583"/>
      <c r="M115" s="584"/>
      <c r="N115" s="1153"/>
      <c r="O115" s="1153"/>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2616</v>
      </c>
      <c r="C117" s="552"/>
      <c r="D117" s="552"/>
      <c r="E117" s="552"/>
      <c r="F117" s="552"/>
      <c r="G117" s="552"/>
      <c r="H117" s="581"/>
      <c r="I117" s="581"/>
      <c r="J117" s="581"/>
      <c r="K117" s="582"/>
      <c r="L117" s="583"/>
      <c r="M117" s="584"/>
      <c r="N117" s="1153"/>
      <c r="O117" s="1153"/>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2699</v>
      </c>
      <c r="C119" s="581"/>
      <c r="D119" s="581"/>
      <c r="E119" s="581"/>
      <c r="F119" s="581"/>
      <c r="G119" s="581"/>
      <c r="H119" s="581"/>
      <c r="I119" s="581"/>
      <c r="J119" s="581"/>
      <c r="K119" s="581"/>
      <c r="L119" s="2692"/>
      <c r="M119" s="2693"/>
      <c r="N119" s="1154"/>
      <c r="O119" s="1154"/>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2682</v>
      </c>
      <c r="C121" s="552"/>
      <c r="D121" s="552"/>
      <c r="E121" s="552"/>
      <c r="F121" s="581"/>
      <c r="G121" s="553"/>
      <c r="H121" s="553"/>
      <c r="I121" s="553"/>
      <c r="J121" s="553"/>
      <c r="K121" s="553"/>
      <c r="L121" s="554"/>
      <c r="M121" s="555"/>
      <c r="N121" s="1155"/>
      <c r="O121" s="1155"/>
      <c r="P121" s="268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2618</v>
      </c>
      <c r="C123" s="552"/>
      <c r="D123" s="552"/>
      <c r="E123" s="552"/>
      <c r="F123" s="581"/>
      <c r="G123" s="581"/>
      <c r="H123" s="581"/>
      <c r="I123" s="581"/>
      <c r="J123" s="581"/>
      <c r="K123" s="582"/>
      <c r="L123" s="583"/>
      <c r="M123" s="584"/>
      <c r="N123" s="1153"/>
      <c r="O123" s="1153"/>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15" thickTop="1">
      <c r="A125" s="597"/>
      <c r="B125" s="536" t="s">
        <v>2619</v>
      </c>
      <c r="C125" s="576" t="s">
        <v>2595</v>
      </c>
      <c r="D125" s="576" t="s">
        <v>2596</v>
      </c>
      <c r="E125" s="576" t="s">
        <v>2597</v>
      </c>
      <c r="F125" s="576" t="s">
        <v>2598</v>
      </c>
      <c r="G125" s="576" t="s">
        <v>2599</v>
      </c>
      <c r="H125" s="537"/>
      <c r="I125" s="537"/>
      <c r="J125" s="537"/>
      <c r="K125" s="538"/>
      <c r="L125" s="539"/>
      <c r="M125" s="540"/>
      <c r="N125" s="1153"/>
      <c r="O125" s="1153"/>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8"/>
      <c r="Q128" s="557"/>
    </row>
    <row r="129" spans="1:17" ht="15" thickTop="1">
      <c r="A129" s="597"/>
      <c r="B129" s="536">
        <f>B46</f>
        <v>111</v>
      </c>
      <c r="C129" s="552"/>
      <c r="D129" s="552"/>
      <c r="E129" s="552"/>
      <c r="F129" s="552"/>
      <c r="G129" s="581"/>
      <c r="H129" s="581"/>
      <c r="I129" s="581"/>
      <c r="J129" s="581"/>
      <c r="K129" s="582"/>
      <c r="L129" s="583"/>
      <c r="M129" s="584"/>
      <c r="N129" s="1153"/>
      <c r="O129" s="1153"/>
      <c r="P129" s="2687"/>
      <c r="Q129" s="502"/>
    </row>
    <row r="130" spans="1:17" ht="15.75" thickBot="1">
      <c r="A130" s="532"/>
      <c r="B130" s="541"/>
      <c r="C130" s="558"/>
      <c r="D130" s="558"/>
      <c r="E130" s="558"/>
      <c r="F130" s="558"/>
      <c r="G130" s="534"/>
      <c r="H130" s="534"/>
      <c r="I130" s="534"/>
      <c r="J130" s="534"/>
      <c r="K130" s="534"/>
      <c r="L130" s="534"/>
      <c r="M130" s="535"/>
      <c r="N130" s="1154"/>
      <c r="O130" s="1154"/>
      <c r="P130" s="2687"/>
      <c r="Q130" s="502"/>
    </row>
    <row r="131" spans="1:17" ht="15" thickTop="1">
      <c r="A131" s="597"/>
      <c r="B131" s="544">
        <f>B47</f>
        <v>111</v>
      </c>
      <c r="C131" s="521"/>
      <c r="D131" s="521"/>
      <c r="E131" s="521"/>
      <c r="F131" s="521"/>
      <c r="G131" s="585"/>
      <c r="H131" s="585"/>
      <c r="I131" s="585"/>
      <c r="J131" s="585"/>
      <c r="K131" s="521"/>
      <c r="L131" s="522"/>
      <c r="M131" s="588"/>
      <c r="N131" s="1153"/>
      <c r="O131" s="1153"/>
      <c r="P131" s="2687"/>
      <c r="Q131" s="502"/>
    </row>
    <row r="132" spans="1:17" ht="15.75"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受贵公司委托，我公司对上海出让国有建设用地使用权及在建建筑物房地产抵押价值进行了预评估。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估价对象为上海出让国有建设用地使用权及在建建筑物房地产，为所有。根据《国有土地使用证》[]，估价对象（分摊）出让国有建设用地使用权面积为40235平方米，建筑面积为91239.85平方米。</v>
      </c>
    </row>
    <row r="8" spans="1:1" ht="57.75">
      <c r="A8" s="1952" t="s">
        <v>1610</v>
      </c>
    </row>
    <row r="9" spans="1:1" ht="18.75">
      <c r="A9" s="1951" t="s">
        <v>1611</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出让国有建设用地使用权及在建建筑物房地产,属开发建设的，该项目尚在开发建设中。根据《国有土地使用证》[]，估价对象（分摊）出让国有建设用地使用权面积为40235平方米，规划建筑面积为91239.85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上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2019年3月22日（评估专业人员实地查勘之日）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22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2526</v>
      </c>
      <c r="B1" s="2672" t="s">
        <v>2700</v>
      </c>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89"/>
      <c r="D2" s="1125" t="e">
        <f ca="1">SUMIF(INDIRECT("'"&amp;F2&amp;"'"&amp;"!A:A"),"承租人权益价值",INDIRECT("'"&amp;F2&amp;"'"&amp;"!c:c"))</f>
        <v>#REF!</v>
      </c>
      <c r="E2" s="2590" t="s">
        <v>2329</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2330</v>
      </c>
      <c r="B3" s="607" t="e">
        <f ca="1">IF(C2="——",C43,ROUND(B2*10000/D3,0))</f>
        <v>#DIV/0!</v>
      </c>
      <c r="C3" s="399" t="s">
        <v>2642</v>
      </c>
      <c r="D3" s="398">
        <f>IF(D1="",'数据-汇总表'!E3,SUMIF('数据-汇总表'!$C19:$C33,D1,'数据-汇总表'!$E19:$E33))</f>
        <v>91239.85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02" t="s">
        <v>2645</v>
      </c>
      <c r="S4" s="3203"/>
      <c r="T4" s="3202" t="s">
        <v>2646</v>
      </c>
      <c r="U4" s="3203"/>
      <c r="V4" s="3227" t="s">
        <v>2647</v>
      </c>
      <c r="W4" s="3227"/>
      <c r="X4" s="1814"/>
      <c r="Y4" s="3202" t="s">
        <v>2649</v>
      </c>
      <c r="Z4" s="3203"/>
      <c r="AA4" s="3197" t="s">
        <v>2645</v>
      </c>
      <c r="AB4" s="3198" t="s">
        <v>2646</v>
      </c>
      <c r="AC4" s="3197" t="s">
        <v>2647</v>
      </c>
    </row>
    <row r="5" spans="1:29" ht="15">
      <c r="A5" s="403"/>
      <c r="B5" s="404"/>
      <c r="C5" s="3208" t="s">
        <v>2540</v>
      </c>
      <c r="D5" s="3209"/>
      <c r="E5" s="3206" t="s">
        <v>2541</v>
      </c>
      <c r="F5" s="3207"/>
      <c r="G5" s="3208" t="s">
        <v>2542</v>
      </c>
      <c r="H5" s="3209"/>
      <c r="I5" s="3208" t="s">
        <v>2543</v>
      </c>
      <c r="J5" s="3209"/>
      <c r="K5" s="608"/>
      <c r="L5" s="1131"/>
      <c r="M5" s="1132"/>
      <c r="N5" s="1132"/>
      <c r="O5" s="1132"/>
      <c r="P5" s="3221"/>
      <c r="Q5" s="3222"/>
      <c r="R5" s="3204"/>
      <c r="S5" s="3205"/>
      <c r="T5" s="3204"/>
      <c r="U5" s="3205"/>
      <c r="V5" s="3227"/>
      <c r="W5" s="3227"/>
      <c r="X5" s="1814"/>
      <c r="Y5" s="3204"/>
      <c r="Z5" s="3205"/>
      <c r="AA5" s="3198"/>
      <c r="AB5" s="3198"/>
      <c r="AC5" s="3198"/>
    </row>
    <row r="6" spans="1:29" ht="15.75" thickBot="1">
      <c r="A6" s="405"/>
      <c r="B6" s="406"/>
      <c r="C6" s="3210" t="s">
        <v>2544</v>
      </c>
      <c r="D6" s="3211"/>
      <c r="E6" s="3212" t="s">
        <v>2544</v>
      </c>
      <c r="F6" s="3213"/>
      <c r="G6" s="3210" t="s">
        <v>2544</v>
      </c>
      <c r="H6" s="3211"/>
      <c r="I6" s="3210" t="s">
        <v>2544</v>
      </c>
      <c r="J6" s="3211"/>
      <c r="K6" s="608" t="s">
        <v>2545</v>
      </c>
      <c r="L6" s="1131"/>
      <c r="M6" s="1132"/>
      <c r="N6" s="1132"/>
      <c r="O6" s="1132"/>
      <c r="P6" s="3223"/>
      <c r="Q6" s="3224"/>
      <c r="R6" s="3204"/>
      <c r="S6" s="3205"/>
      <c r="T6" s="3225"/>
      <c r="U6" s="3226"/>
      <c r="V6" s="3227"/>
      <c r="W6" s="3227"/>
      <c r="X6" s="1814"/>
      <c r="Y6" s="3225"/>
      <c r="Z6" s="3226"/>
      <c r="AA6" s="3199"/>
      <c r="AB6" s="3199"/>
      <c r="AC6" s="3199"/>
    </row>
    <row r="7" spans="1:29" s="116" customFormat="1" ht="15.75" thickBot="1">
      <c r="A7" s="407" t="s">
        <v>2546</v>
      </c>
      <c r="B7" s="408"/>
      <c r="C7" s="409">
        <f>'数据-取费表'!B2</f>
        <v>43546</v>
      </c>
      <c r="D7" s="410">
        <v>100</v>
      </c>
      <c r="E7" s="411"/>
      <c r="F7" s="412">
        <f>SUMIF(52:52,YEAR(E7)&amp;"-"&amp;MONTH(E7),53:53)</f>
        <v>0</v>
      </c>
      <c r="G7" s="411"/>
      <c r="H7" s="410">
        <f>SUMIF(52:52,YEAR(G7)&amp;"-"&amp;MONTH(G7),53:53)</f>
        <v>0</v>
      </c>
      <c r="I7" s="411"/>
      <c r="J7" s="410">
        <f>SUMIF(52:52,YEAR(I7)&amp;"-"&amp;MONTH(I7),53:53)</f>
        <v>0</v>
      </c>
      <c r="K7" s="609"/>
      <c r="L7" s="1133"/>
      <c r="M7" s="1134"/>
      <c r="N7" s="1134"/>
      <c r="O7" s="1134"/>
      <c r="P7" s="3200" t="s">
        <v>2547</v>
      </c>
      <c r="Q7" s="3228"/>
      <c r="R7" s="768" t="s">
        <v>17</v>
      </c>
      <c r="S7" s="769">
        <f t="shared" ref="S7:S15" si="0">F7</f>
        <v>0</v>
      </c>
      <c r="T7" s="768" t="s">
        <v>17</v>
      </c>
      <c r="U7" s="769">
        <f t="shared" ref="U7:U15" si="1">H7</f>
        <v>0</v>
      </c>
      <c r="V7" s="768" t="s">
        <v>17</v>
      </c>
      <c r="W7" s="769">
        <f t="shared" ref="W7:W15" si="2">J7</f>
        <v>0</v>
      </c>
      <c r="X7" s="770"/>
      <c r="Y7" s="3200" t="s">
        <v>2547</v>
      </c>
      <c r="Z7" s="3201"/>
      <c r="AA7" s="771" t="e">
        <f>D7/F7</f>
        <v>#DIV/0!</v>
      </c>
      <c r="AB7" s="771" t="e">
        <f>D7/H7</f>
        <v>#DIV/0!</v>
      </c>
      <c r="AC7" s="771"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09"/>
      <c r="L8" s="1133"/>
      <c r="M8" s="1134"/>
      <c r="N8" s="1134"/>
      <c r="O8" s="1134"/>
      <c r="P8" s="3200" t="s">
        <v>2550</v>
      </c>
      <c r="Q8" s="3201"/>
      <c r="R8" s="768" t="s">
        <v>17</v>
      </c>
      <c r="S8" s="769">
        <f t="shared" si="0"/>
        <v>0</v>
      </c>
      <c r="T8" s="768" t="s">
        <v>17</v>
      </c>
      <c r="U8" s="769">
        <f t="shared" si="1"/>
        <v>0</v>
      </c>
      <c r="V8" s="768" t="s">
        <v>17</v>
      </c>
      <c r="W8" s="769">
        <f t="shared" si="2"/>
        <v>0</v>
      </c>
      <c r="X8" s="770"/>
      <c r="Y8" s="3200" t="s">
        <v>2550</v>
      </c>
      <c r="Z8" s="3201"/>
      <c r="AA8" s="771" t="e">
        <f t="shared" ref="AA8:AA40" si="3">D8/F8</f>
        <v>#DIV/0!</v>
      </c>
      <c r="AB8" s="771" t="e">
        <f t="shared" ref="AB8:AB40" si="4">D8/H8</f>
        <v>#DIV/0!</v>
      </c>
      <c r="AC8" s="771"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09"/>
      <c r="L9" s="1133"/>
      <c r="M9" s="1134"/>
      <c r="N9" s="1134"/>
      <c r="O9" s="1135"/>
      <c r="P9" s="3232" t="s">
        <v>2553</v>
      </c>
      <c r="Q9" s="1796" t="str">
        <f t="shared" ref="Q9:Q15" si="6">B9</f>
        <v>用途</v>
      </c>
      <c r="R9" s="768" t="s">
        <v>17</v>
      </c>
      <c r="S9" s="769">
        <f t="shared" si="0"/>
        <v>100</v>
      </c>
      <c r="T9" s="768" t="s">
        <v>17</v>
      </c>
      <c r="U9" s="769">
        <f t="shared" si="1"/>
        <v>100</v>
      </c>
      <c r="V9" s="768" t="s">
        <v>17</v>
      </c>
      <c r="W9" s="769">
        <f t="shared" si="2"/>
        <v>100</v>
      </c>
      <c r="X9" s="770"/>
      <c r="Y9" s="3047" t="s">
        <v>2554</v>
      </c>
      <c r="Z9" s="54" t="str">
        <f t="shared" ref="Z9:Z15" si="7">Q9</f>
        <v>用途</v>
      </c>
      <c r="AA9" s="771">
        <f t="shared" si="3"/>
        <v>1</v>
      </c>
      <c r="AB9" s="771">
        <f t="shared" si="4"/>
        <v>1</v>
      </c>
      <c r="AC9" s="771">
        <f t="shared" si="5"/>
        <v>1</v>
      </c>
    </row>
    <row r="10" spans="1:29" s="425" customFormat="1" ht="27">
      <c r="A10" s="419"/>
      <c r="B10" s="420" t="s">
        <v>2555</v>
      </c>
      <c r="C10" s="421"/>
      <c r="D10" s="135">
        <v>100</v>
      </c>
      <c r="E10" s="421"/>
      <c r="F10" s="135">
        <f>SUMIF(59:59,E10,60:60)-SUMIF(59:59,C10,60:60)+100</f>
        <v>100</v>
      </c>
      <c r="G10" s="422"/>
      <c r="H10" s="135">
        <f>SUMIF(59:59,G10,60:60)-SUMIF(59:59,C10,60:60)+100</f>
        <v>100</v>
      </c>
      <c r="I10" s="421"/>
      <c r="J10" s="135">
        <f>SUMIF(59:59,I10,60:60)-SUMIF(59:59,C10,60:60)+100</f>
        <v>100</v>
      </c>
      <c r="K10" s="610"/>
      <c r="L10" s="1136"/>
      <c r="M10" s="1137"/>
      <c r="N10" s="1137"/>
      <c r="O10" s="1138"/>
      <c r="P10" s="3232"/>
      <c r="Q10" s="1796" t="str">
        <f t="shared" si="6"/>
        <v>土地使用年限（年）</v>
      </c>
      <c r="R10" s="768" t="s">
        <v>17</v>
      </c>
      <c r="S10" s="769">
        <f t="shared" si="0"/>
        <v>100</v>
      </c>
      <c r="T10" s="768" t="s">
        <v>17</v>
      </c>
      <c r="U10" s="769">
        <f t="shared" si="1"/>
        <v>100</v>
      </c>
      <c r="V10" s="768" t="s">
        <v>17</v>
      </c>
      <c r="W10" s="769">
        <f t="shared" si="2"/>
        <v>100</v>
      </c>
      <c r="X10" s="770"/>
      <c r="Y10" s="3047"/>
      <c r="Z10" s="54" t="str">
        <f t="shared" si="7"/>
        <v>土地使用年限（年）</v>
      </c>
      <c r="AA10" s="771">
        <f t="shared" si="3"/>
        <v>1</v>
      </c>
      <c r="AB10" s="771">
        <f t="shared" si="4"/>
        <v>1</v>
      </c>
      <c r="AC10" s="771">
        <f t="shared" si="5"/>
        <v>1</v>
      </c>
    </row>
    <row r="11" spans="1:29" ht="15">
      <c r="A11" s="426"/>
      <c r="B11" s="420" t="s">
        <v>2556</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9"/>
      <c r="M11" s="1132"/>
      <c r="N11" s="1132"/>
      <c r="O11" s="1140"/>
      <c r="P11" s="3232"/>
      <c r="Q11" s="1796" t="str">
        <f t="shared" si="6"/>
        <v>容积率</v>
      </c>
      <c r="R11" s="768" t="s">
        <v>17</v>
      </c>
      <c r="S11" s="769" t="e">
        <f t="shared" si="0"/>
        <v>#N/A</v>
      </c>
      <c r="T11" s="768" t="s">
        <v>17</v>
      </c>
      <c r="U11" s="769" t="e">
        <f t="shared" si="1"/>
        <v>#N/A</v>
      </c>
      <c r="V11" s="768" t="s">
        <v>17</v>
      </c>
      <c r="W11" s="769" t="e">
        <f t="shared" si="2"/>
        <v>#N/A</v>
      </c>
      <c r="X11" s="770"/>
      <c r="Y11" s="3047"/>
      <c r="Z11" s="54" t="str">
        <f t="shared" si="7"/>
        <v>容积率</v>
      </c>
      <c r="AA11" s="771" t="e">
        <f t="shared" si="3"/>
        <v>#N/A</v>
      </c>
      <c r="AB11" s="771" t="e">
        <f t="shared" si="4"/>
        <v>#N/A</v>
      </c>
      <c r="AC11" s="771" t="e">
        <f t="shared" si="5"/>
        <v>#N/A</v>
      </c>
    </row>
    <row r="12" spans="1:29" s="116" customFormat="1" ht="15">
      <c r="A12" s="429"/>
      <c r="B12" s="2603">
        <v>111</v>
      </c>
      <c r="C12" s="430"/>
      <c r="D12" s="431">
        <v>100</v>
      </c>
      <c r="E12" s="432"/>
      <c r="F12" s="135">
        <f>SUMIF(64:64,E12,65:65)-SUMIF(64:64,C12,65:65)+100</f>
        <v>100</v>
      </c>
      <c r="G12" s="2695"/>
      <c r="H12" s="135">
        <f>SUMIF(64:64,G12,65:65)-SUMIF(64:64,C12,65:65)+100</f>
        <v>100</v>
      </c>
      <c r="I12" s="467"/>
      <c r="J12" s="135">
        <f>SUMIF(64:64,I12,65:65)-SUMIF(64:64,C12,65:65)+100</f>
        <v>100</v>
      </c>
      <c r="K12" s="611"/>
      <c r="L12" s="1133"/>
      <c r="M12" s="1134"/>
      <c r="N12" s="1134"/>
      <c r="O12" s="1135"/>
      <c r="P12" s="3232"/>
      <c r="Q12" s="1796">
        <f t="shared" si="6"/>
        <v>111</v>
      </c>
      <c r="R12" s="768" t="s">
        <v>17</v>
      </c>
      <c r="S12" s="769">
        <f t="shared" si="0"/>
        <v>100</v>
      </c>
      <c r="T12" s="768" t="s">
        <v>17</v>
      </c>
      <c r="U12" s="769">
        <f t="shared" si="1"/>
        <v>100</v>
      </c>
      <c r="V12" s="768" t="s">
        <v>17</v>
      </c>
      <c r="W12" s="769">
        <f t="shared" si="2"/>
        <v>100</v>
      </c>
      <c r="X12" s="770"/>
      <c r="Y12" s="3047"/>
      <c r="Z12" s="54">
        <f t="shared" si="7"/>
        <v>111</v>
      </c>
      <c r="AA12" s="771">
        <f>D12/F12</f>
        <v>1</v>
      </c>
      <c r="AB12" s="771">
        <f>D12/H12</f>
        <v>1</v>
      </c>
      <c r="AC12" s="771">
        <f>D12/J12</f>
        <v>1</v>
      </c>
    </row>
    <row r="13" spans="1:29" ht="15">
      <c r="A13" s="426"/>
      <c r="B13" s="2603">
        <v>111</v>
      </c>
      <c r="C13" s="432"/>
      <c r="D13" s="433">
        <v>100</v>
      </c>
      <c r="E13" s="432"/>
      <c r="F13" s="135">
        <f>SUMIF(66:66,E13,67:67)-SUMIF(66:66,C13,67:67)+100</f>
        <v>100</v>
      </c>
      <c r="G13" s="2695"/>
      <c r="H13" s="433">
        <f>SUMIF(66:66,G13,67:67)-SUMIF(66:66,C13,67:67)+100</f>
        <v>100</v>
      </c>
      <c r="I13" s="467"/>
      <c r="J13" s="433">
        <f>SUMIF(66:66,I13,67:67)-SUMIF(66:66,C13,67:67)+100</f>
        <v>100</v>
      </c>
      <c r="K13" s="611"/>
      <c r="L13" s="1141"/>
      <c r="M13" s="1132"/>
      <c r="N13" s="1132"/>
      <c r="O13" s="1140"/>
      <c r="P13" s="3232"/>
      <c r="Q13" s="1796">
        <f t="shared" si="6"/>
        <v>111</v>
      </c>
      <c r="R13" s="768" t="s">
        <v>17</v>
      </c>
      <c r="S13" s="769">
        <f t="shared" si="0"/>
        <v>100</v>
      </c>
      <c r="T13" s="768" t="s">
        <v>17</v>
      </c>
      <c r="U13" s="769">
        <f t="shared" si="1"/>
        <v>100</v>
      </c>
      <c r="V13" s="768" t="s">
        <v>17</v>
      </c>
      <c r="W13" s="769">
        <f t="shared" si="2"/>
        <v>100</v>
      </c>
      <c r="X13" s="770"/>
      <c r="Y13" s="3047"/>
      <c r="Z13" s="54">
        <f t="shared" si="7"/>
        <v>111</v>
      </c>
      <c r="AA13" s="771">
        <f t="shared" si="3"/>
        <v>1</v>
      </c>
      <c r="AB13" s="771">
        <f t="shared" si="4"/>
        <v>1</v>
      </c>
      <c r="AC13" s="771">
        <f t="shared" si="5"/>
        <v>1</v>
      </c>
    </row>
    <row r="14" spans="1:29" ht="15.75" thickBot="1">
      <c r="A14" s="434"/>
      <c r="B14" s="2605">
        <v>111</v>
      </c>
      <c r="C14" s="435"/>
      <c r="D14" s="436">
        <v>100</v>
      </c>
      <c r="E14" s="435"/>
      <c r="F14" s="436">
        <f>SUMIF(68:68,E14,69:69)-SUMIF(68:68,C14,69:69)+100</f>
        <v>100</v>
      </c>
      <c r="G14" s="2695"/>
      <c r="H14" s="436">
        <f>SUMIF(68:68,G14,69:69)-SUMIF(68:68,C14,69:69)+100</f>
        <v>100</v>
      </c>
      <c r="I14" s="467"/>
      <c r="J14" s="436">
        <f>SUMIF(68:68,I14,69:69)-SUMIF(68:68,C14,69:69)+100</f>
        <v>100</v>
      </c>
      <c r="K14" s="611"/>
      <c r="L14" s="1141"/>
      <c r="M14" s="1132"/>
      <c r="N14" s="1132"/>
      <c r="O14" s="1140"/>
      <c r="P14" s="3232"/>
      <c r="Q14" s="1796">
        <f t="shared" si="6"/>
        <v>111</v>
      </c>
      <c r="R14" s="768" t="s">
        <v>17</v>
      </c>
      <c r="S14" s="769">
        <f t="shared" si="0"/>
        <v>100</v>
      </c>
      <c r="T14" s="768" t="s">
        <v>17</v>
      </c>
      <c r="U14" s="769">
        <f t="shared" si="1"/>
        <v>100</v>
      </c>
      <c r="V14" s="768" t="s">
        <v>17</v>
      </c>
      <c r="W14" s="769">
        <f t="shared" si="2"/>
        <v>100</v>
      </c>
      <c r="X14" s="770"/>
      <c r="Y14" s="3047"/>
      <c r="Z14" s="54">
        <f t="shared" si="7"/>
        <v>111</v>
      </c>
      <c r="AA14" s="771">
        <f t="shared" si="3"/>
        <v>1</v>
      </c>
      <c r="AB14" s="771">
        <f t="shared" si="4"/>
        <v>1</v>
      </c>
      <c r="AC14" s="771">
        <f t="shared" si="5"/>
        <v>1</v>
      </c>
    </row>
    <row r="15" spans="1:29" ht="57">
      <c r="A15" s="438" t="s">
        <v>2557</v>
      </c>
      <c r="B15" s="68" t="s">
        <v>2701</v>
      </c>
      <c r="C15" s="269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34" t="s">
        <v>2558</v>
      </c>
      <c r="Q15" s="1811" t="str">
        <f t="shared" si="6"/>
        <v>产业集聚程度</v>
      </c>
      <c r="R15" s="772" t="s">
        <v>17</v>
      </c>
      <c r="S15" s="773">
        <f t="shared" si="0"/>
        <v>100</v>
      </c>
      <c r="T15" s="772" t="s">
        <v>17</v>
      </c>
      <c r="U15" s="773">
        <f t="shared" si="1"/>
        <v>100</v>
      </c>
      <c r="V15" s="772" t="s">
        <v>17</v>
      </c>
      <c r="W15" s="773">
        <f t="shared" si="2"/>
        <v>100</v>
      </c>
      <c r="X15" s="1814"/>
      <c r="Y15" s="3234" t="s">
        <v>2558</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35"/>
      <c r="Q16" s="1811"/>
      <c r="R16" s="772"/>
      <c r="S16" s="773"/>
      <c r="T16" s="772"/>
      <c r="U16" s="773"/>
      <c r="V16" s="772"/>
      <c r="W16" s="773"/>
      <c r="X16" s="1814"/>
      <c r="Y16" s="3235"/>
      <c r="Z16" s="1815"/>
      <c r="AA16" s="1812">
        <v>1</v>
      </c>
      <c r="AB16" s="1812">
        <v>1</v>
      </c>
      <c r="AC16" s="1812">
        <v>1</v>
      </c>
    </row>
    <row r="17" spans="1:29" ht="85.5">
      <c r="A17" s="426"/>
      <c r="B17" s="449" t="s">
        <v>2097</v>
      </c>
      <c r="C17" s="261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35"/>
      <c r="Q17" s="1811" t="str">
        <f>B17</f>
        <v>交通便捷度</v>
      </c>
      <c r="R17" s="772" t="s">
        <v>17</v>
      </c>
      <c r="S17" s="773">
        <f>F17</f>
        <v>100</v>
      </c>
      <c r="T17" s="772" t="s">
        <v>17</v>
      </c>
      <c r="U17" s="773">
        <f>H17</f>
        <v>100</v>
      </c>
      <c r="V17" s="772" t="s">
        <v>17</v>
      </c>
      <c r="W17" s="773">
        <f>J17</f>
        <v>100</v>
      </c>
      <c r="X17" s="1814"/>
      <c r="Y17" s="3235"/>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1"/>
      <c r="M18" s="1132"/>
      <c r="N18" s="1132"/>
      <c r="O18" s="1140"/>
      <c r="P18" s="3235"/>
      <c r="Q18" s="1811"/>
      <c r="R18" s="772"/>
      <c r="S18" s="773"/>
      <c r="T18" s="772"/>
      <c r="U18" s="773"/>
      <c r="V18" s="772"/>
      <c r="W18" s="773"/>
      <c r="X18" s="1814"/>
      <c r="Y18" s="3235"/>
      <c r="Z18" s="1815"/>
      <c r="AA18" s="1812">
        <v>1</v>
      </c>
      <c r="AB18" s="1812">
        <v>1</v>
      </c>
      <c r="AC18" s="1812">
        <v>1</v>
      </c>
    </row>
    <row r="19" spans="1:29" ht="42.75">
      <c r="A19" s="426"/>
      <c r="B19" s="449" t="s">
        <v>2686</v>
      </c>
      <c r="C19" s="261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35"/>
      <c r="Q19" s="1811" t="str">
        <f>B19</f>
        <v>公共配套设施</v>
      </c>
      <c r="R19" s="772" t="s">
        <v>17</v>
      </c>
      <c r="S19" s="773">
        <f>F19</f>
        <v>100</v>
      </c>
      <c r="T19" s="772" t="s">
        <v>17</v>
      </c>
      <c r="U19" s="773">
        <f>H19</f>
        <v>100</v>
      </c>
      <c r="V19" s="772" t="s">
        <v>17</v>
      </c>
      <c r="W19" s="773">
        <f>J19</f>
        <v>100</v>
      </c>
      <c r="X19" s="1814"/>
      <c r="Y19" s="3235"/>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1"/>
      <c r="M20" s="1132"/>
      <c r="N20" s="1132"/>
      <c r="O20" s="1140"/>
      <c r="P20" s="3235"/>
      <c r="Q20" s="1811"/>
      <c r="R20" s="772"/>
      <c r="S20" s="773"/>
      <c r="T20" s="772"/>
      <c r="U20" s="773"/>
      <c r="V20" s="772"/>
      <c r="W20" s="773"/>
      <c r="X20" s="1814"/>
      <c r="Y20" s="3235"/>
      <c r="Z20" s="1815"/>
      <c r="AA20" s="1812">
        <v>1</v>
      </c>
      <c r="AB20" s="1812">
        <v>1</v>
      </c>
      <c r="AC20" s="1812">
        <v>1</v>
      </c>
    </row>
    <row r="21" spans="1:29" ht="28.5">
      <c r="A21" s="426"/>
      <c r="B21" s="1385" t="s">
        <v>2687</v>
      </c>
      <c r="C21" s="261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35"/>
      <c r="Q21" s="1811" t="str">
        <f>B21</f>
        <v>基础设施水平</v>
      </c>
      <c r="R21" s="772" t="s">
        <v>17</v>
      </c>
      <c r="S21" s="773">
        <f>F21</f>
        <v>100</v>
      </c>
      <c r="T21" s="772" t="s">
        <v>17</v>
      </c>
      <c r="U21" s="773">
        <f>H21</f>
        <v>100</v>
      </c>
      <c r="V21" s="772" t="s">
        <v>17</v>
      </c>
      <c r="W21" s="773">
        <f>J21</f>
        <v>100</v>
      </c>
      <c r="X21" s="1814"/>
      <c r="Y21" s="3235"/>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7"/>
      <c r="G22" s="445"/>
      <c r="H22" s="446"/>
      <c r="I22" s="445"/>
      <c r="J22" s="446"/>
      <c r="K22" s="1384"/>
      <c r="L22" s="1141"/>
      <c r="M22" s="1132"/>
      <c r="N22" s="1132"/>
      <c r="O22" s="1140"/>
      <c r="P22" s="3235"/>
      <c r="Q22" s="1811"/>
      <c r="R22" s="772"/>
      <c r="S22" s="773"/>
      <c r="T22" s="772"/>
      <c r="U22" s="773"/>
      <c r="V22" s="772"/>
      <c r="W22" s="773"/>
      <c r="X22" s="1814"/>
      <c r="Y22" s="3235"/>
      <c r="Z22" s="1815"/>
      <c r="AA22" s="1812">
        <v>1</v>
      </c>
      <c r="AB22" s="1812">
        <v>1</v>
      </c>
      <c r="AC22" s="1812">
        <v>1</v>
      </c>
    </row>
    <row r="23" spans="1:29" ht="71.25">
      <c r="A23" s="426"/>
      <c r="B23" s="449" t="s">
        <v>2688</v>
      </c>
      <c r="C23" s="261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35"/>
      <c r="Q23" s="1811" t="str">
        <f>B23</f>
        <v>环境质量</v>
      </c>
      <c r="R23" s="772" t="s">
        <v>17</v>
      </c>
      <c r="S23" s="773">
        <f>F23</f>
        <v>100</v>
      </c>
      <c r="T23" s="772" t="s">
        <v>17</v>
      </c>
      <c r="U23" s="773">
        <f>H23</f>
        <v>100</v>
      </c>
      <c r="V23" s="772" t="s">
        <v>17</v>
      </c>
      <c r="W23" s="773">
        <f>J23</f>
        <v>100</v>
      </c>
      <c r="X23" s="1814"/>
      <c r="Y23" s="3235"/>
      <c r="Z23" s="1815" t="str">
        <f>Q23</f>
        <v>环境质量</v>
      </c>
      <c r="AA23" s="1812">
        <f t="shared" si="3"/>
        <v>1</v>
      </c>
      <c r="AB23" s="1812">
        <f t="shared" si="4"/>
        <v>1</v>
      </c>
      <c r="AC23" s="1812">
        <f t="shared" si="5"/>
        <v>1</v>
      </c>
    </row>
    <row r="24" spans="1:29" ht="15">
      <c r="A24" s="426"/>
      <c r="B24" s="1385"/>
      <c r="C24" s="445"/>
      <c r="D24" s="446"/>
      <c r="E24" s="2608"/>
      <c r="F24" s="447"/>
      <c r="G24" s="2607"/>
      <c r="H24" s="446"/>
      <c r="I24" s="2608"/>
      <c r="J24" s="446"/>
      <c r="K24" s="613"/>
      <c r="L24" s="1141"/>
      <c r="M24" s="1132"/>
      <c r="N24" s="1132"/>
      <c r="O24" s="1140"/>
      <c r="P24" s="3235"/>
      <c r="Q24" s="1811"/>
      <c r="R24" s="772"/>
      <c r="S24" s="773"/>
      <c r="T24" s="772"/>
      <c r="U24" s="773"/>
      <c r="V24" s="772"/>
      <c r="W24" s="773"/>
      <c r="X24" s="1814"/>
      <c r="Y24" s="3235"/>
      <c r="Z24" s="1815"/>
      <c r="AA24" s="1812">
        <v>1</v>
      </c>
      <c r="AB24" s="1812">
        <v>1</v>
      </c>
      <c r="AC24" s="1812">
        <v>1</v>
      </c>
    </row>
    <row r="25" spans="1:29" ht="15">
      <c r="A25" s="403"/>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35"/>
      <c r="Q25" s="1811">
        <f>B25</f>
        <v>111</v>
      </c>
      <c r="R25" s="772" t="s">
        <v>17</v>
      </c>
      <c r="S25" s="773">
        <f>F25</f>
        <v>100</v>
      </c>
      <c r="T25" s="772" t="s">
        <v>17</v>
      </c>
      <c r="U25" s="773">
        <f>H25</f>
        <v>100</v>
      </c>
      <c r="V25" s="772" t="s">
        <v>17</v>
      </c>
      <c r="W25" s="773">
        <f>J25</f>
        <v>100</v>
      </c>
      <c r="X25" s="1814"/>
      <c r="Y25" s="3235"/>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35"/>
      <c r="Q26" s="1811">
        <f t="shared" ref="Q26:Q40" si="11">B26</f>
        <v>111</v>
      </c>
      <c r="R26" s="772" t="s">
        <v>17</v>
      </c>
      <c r="S26" s="773">
        <f>F26</f>
        <v>100</v>
      </c>
      <c r="T26" s="772" t="s">
        <v>17</v>
      </c>
      <c r="U26" s="773">
        <f>H26</f>
        <v>100</v>
      </c>
      <c r="V26" s="772" t="s">
        <v>17</v>
      </c>
      <c r="W26" s="773">
        <f>J26</f>
        <v>100</v>
      </c>
      <c r="X26" s="1814"/>
      <c r="Y26" s="3235"/>
      <c r="Z26" s="1815">
        <f>Q26</f>
        <v>111</v>
      </c>
      <c r="AA26" s="1812">
        <f t="shared" si="3"/>
        <v>1</v>
      </c>
      <c r="AB26" s="1812">
        <f t="shared" si="4"/>
        <v>1</v>
      </c>
      <c r="AC26" s="1812">
        <f t="shared" si="5"/>
        <v>1</v>
      </c>
    </row>
    <row r="27" spans="1:29" s="116"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35"/>
      <c r="Q27" s="1796">
        <f t="shared" si="11"/>
        <v>111</v>
      </c>
      <c r="R27" s="768" t="s">
        <v>17</v>
      </c>
      <c r="S27" s="769">
        <f>F27</f>
        <v>100</v>
      </c>
      <c r="T27" s="768" t="s">
        <v>17</v>
      </c>
      <c r="U27" s="769">
        <f>H27</f>
        <v>100</v>
      </c>
      <c r="V27" s="768" t="s">
        <v>17</v>
      </c>
      <c r="W27" s="769">
        <f>J27</f>
        <v>100</v>
      </c>
      <c r="X27" s="770"/>
      <c r="Y27" s="3235"/>
      <c r="Z27" s="54">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35"/>
      <c r="Q28" s="1811">
        <f t="shared" si="11"/>
        <v>111</v>
      </c>
      <c r="R28" s="772" t="s">
        <v>17</v>
      </c>
      <c r="S28" s="773">
        <f t="shared" ref="S28:S40" si="12">F28</f>
        <v>100</v>
      </c>
      <c r="T28" s="772" t="s">
        <v>17</v>
      </c>
      <c r="U28" s="773">
        <f t="shared" ref="U28:U40" si="13">H28</f>
        <v>100</v>
      </c>
      <c r="V28" s="772" t="s">
        <v>17</v>
      </c>
      <c r="W28" s="773">
        <f t="shared" ref="W28:W40" si="14">J28</f>
        <v>100</v>
      </c>
      <c r="X28" s="1814"/>
      <c r="Y28" s="3235"/>
      <c r="Z28" s="1815">
        <f t="shared" ref="Z28:Z40" si="15">Q28</f>
        <v>111</v>
      </c>
      <c r="AA28" s="1812">
        <f t="shared" si="3"/>
        <v>1</v>
      </c>
      <c r="AB28" s="1812">
        <f t="shared" si="4"/>
        <v>1</v>
      </c>
      <c r="AC28" s="1812">
        <f t="shared" si="5"/>
        <v>1</v>
      </c>
    </row>
    <row r="29" spans="1:29" ht="28.5">
      <c r="A29" s="464" t="s">
        <v>2561</v>
      </c>
      <c r="B29" s="70" t="s">
        <v>2691</v>
      </c>
      <c r="C29" s="2682"/>
      <c r="D29" s="465">
        <v>100</v>
      </c>
      <c r="E29" s="2682"/>
      <c r="F29" s="459">
        <f>SUMIF(88:88,E29,89:89)-SUMIF(88:88,C29,89:89)+100</f>
        <v>100</v>
      </c>
      <c r="G29" s="2682"/>
      <c r="H29" s="433">
        <f>SUMIF(88:88,G29,89:89)-SUMIF(88:88,C29,89:89)+100</f>
        <v>100</v>
      </c>
      <c r="I29" s="2682"/>
      <c r="J29" s="465">
        <f>SUMIF(88:88,I29,89:89)-SUMIF(88:88,C29,89:89)+100</f>
        <v>100</v>
      </c>
      <c r="K29" s="610"/>
      <c r="L29" s="1141"/>
      <c r="M29" s="1132"/>
      <c r="N29" s="1132"/>
      <c r="O29" s="1140"/>
      <c r="P29" s="3259" t="s">
        <v>2563</v>
      </c>
      <c r="Q29" s="1811" t="str">
        <f t="shared" si="11"/>
        <v>建筑类型</v>
      </c>
      <c r="R29" s="772" t="s">
        <v>17</v>
      </c>
      <c r="S29" s="773">
        <f t="shared" si="12"/>
        <v>100</v>
      </c>
      <c r="T29" s="772" t="s">
        <v>17</v>
      </c>
      <c r="U29" s="773">
        <f t="shared" si="13"/>
        <v>100</v>
      </c>
      <c r="V29" s="772" t="s">
        <v>17</v>
      </c>
      <c r="W29" s="773">
        <f t="shared" si="14"/>
        <v>100</v>
      </c>
      <c r="X29" s="1814"/>
      <c r="Y29" s="3239" t="s">
        <v>2563</v>
      </c>
      <c r="Z29" s="1815" t="str">
        <f t="shared" si="15"/>
        <v>建筑类型</v>
      </c>
      <c r="AA29" s="1812">
        <f t="shared" si="3"/>
        <v>1</v>
      </c>
      <c r="AB29" s="1812">
        <f t="shared" si="4"/>
        <v>1</v>
      </c>
      <c r="AC29" s="1812">
        <f t="shared" si="5"/>
        <v>1</v>
      </c>
    </row>
    <row r="30" spans="1:29" s="469" customFormat="1" ht="15">
      <c r="A30" s="466"/>
      <c r="B30" s="420" t="s">
        <v>2564</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9"/>
      <c r="M30" s="1142"/>
      <c r="N30" s="1142"/>
      <c r="O30" s="1143"/>
      <c r="P30" s="3239"/>
      <c r="Q30" s="774" t="str">
        <f t="shared" si="11"/>
        <v>项目建筑规模</v>
      </c>
      <c r="R30" s="775" t="s">
        <v>17</v>
      </c>
      <c r="S30" s="776" t="e">
        <f t="shared" si="12"/>
        <v>#N/A</v>
      </c>
      <c r="T30" s="775" t="s">
        <v>17</v>
      </c>
      <c r="U30" s="776" t="e">
        <f t="shared" si="13"/>
        <v>#N/A</v>
      </c>
      <c r="V30" s="775" t="s">
        <v>17</v>
      </c>
      <c r="W30" s="776" t="e">
        <f t="shared" si="14"/>
        <v>#N/A</v>
      </c>
      <c r="X30" s="777"/>
      <c r="Y30" s="3239"/>
      <c r="Z30" s="778" t="str">
        <f t="shared" si="15"/>
        <v>项目建筑规模</v>
      </c>
      <c r="AA30" s="1812" t="e">
        <f t="shared" si="3"/>
        <v>#N/A</v>
      </c>
      <c r="AB30" s="1812" t="e">
        <f t="shared" si="4"/>
        <v>#N/A</v>
      </c>
      <c r="AC30" s="1812"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39"/>
      <c r="Q31" s="1811" t="str">
        <f t="shared" si="11"/>
        <v>建筑结构</v>
      </c>
      <c r="R31" s="772" t="s">
        <v>17</v>
      </c>
      <c r="S31" s="773">
        <f t="shared" si="12"/>
        <v>100</v>
      </c>
      <c r="T31" s="772" t="s">
        <v>17</v>
      </c>
      <c r="U31" s="773">
        <f t="shared" si="13"/>
        <v>100</v>
      </c>
      <c r="V31" s="772" t="s">
        <v>17</v>
      </c>
      <c r="W31" s="773">
        <f t="shared" si="14"/>
        <v>100</v>
      </c>
      <c r="X31" s="1814"/>
      <c r="Y31" s="3239"/>
      <c r="Z31" s="1815" t="str">
        <f t="shared" si="15"/>
        <v>建筑结构</v>
      </c>
      <c r="AA31" s="1812">
        <f t="shared" si="3"/>
        <v>1</v>
      </c>
      <c r="AB31" s="1812">
        <f t="shared" si="4"/>
        <v>1</v>
      </c>
      <c r="AC31" s="1812">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39"/>
      <c r="Q32" s="1811" t="str">
        <f t="shared" si="11"/>
        <v>公共部分装修</v>
      </c>
      <c r="R32" s="772" t="s">
        <v>17</v>
      </c>
      <c r="S32" s="773">
        <f t="shared" si="12"/>
        <v>100</v>
      </c>
      <c r="T32" s="772" t="s">
        <v>17</v>
      </c>
      <c r="U32" s="773">
        <f t="shared" si="13"/>
        <v>100</v>
      </c>
      <c r="V32" s="772" t="s">
        <v>17</v>
      </c>
      <c r="W32" s="773">
        <f t="shared" si="14"/>
        <v>100</v>
      </c>
      <c r="X32" s="1814"/>
      <c r="Y32" s="3239"/>
      <c r="Z32" s="1815" t="str">
        <f t="shared" si="15"/>
        <v>公共部分装修</v>
      </c>
      <c r="AA32" s="1812">
        <f t="shared" si="3"/>
        <v>1</v>
      </c>
      <c r="AB32" s="1812">
        <f t="shared" si="4"/>
        <v>1</v>
      </c>
      <c r="AC32" s="1812">
        <f t="shared" si="5"/>
        <v>1</v>
      </c>
    </row>
    <row r="33" spans="1:29" ht="15">
      <c r="A33" s="470"/>
      <c r="B33" s="420" t="s">
        <v>2660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39"/>
      <c r="Q33" s="1811" t="str">
        <f t="shared" si="11"/>
        <v>成新度</v>
      </c>
      <c r="R33" s="772" t="s">
        <v>17</v>
      </c>
      <c r="S33" s="773" t="e">
        <f t="shared" si="12"/>
        <v>#N/A</v>
      </c>
      <c r="T33" s="772" t="s">
        <v>17</v>
      </c>
      <c r="U33" s="773" t="e">
        <f t="shared" si="13"/>
        <v>#N/A</v>
      </c>
      <c r="V33" s="772" t="s">
        <v>17</v>
      </c>
      <c r="W33" s="773" t="e">
        <f t="shared" si="14"/>
        <v>#N/A</v>
      </c>
      <c r="X33" s="1814"/>
      <c r="Y33" s="3239"/>
      <c r="Z33" s="1815" t="str">
        <f t="shared" si="15"/>
        <v>成新度</v>
      </c>
      <c r="AA33" s="1812" t="e">
        <f t="shared" si="3"/>
        <v>#N/A</v>
      </c>
      <c r="AB33" s="1812" t="e">
        <f t="shared" si="4"/>
        <v>#N/A</v>
      </c>
      <c r="AC33" s="1812" t="e">
        <f t="shared" si="5"/>
        <v>#N/A</v>
      </c>
    </row>
    <row r="34" spans="1:29" s="116" customFormat="1" ht="15">
      <c r="A34" s="471"/>
      <c r="B34" s="420" t="s">
        <v>2693</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39"/>
      <c r="Q34" s="1796" t="str">
        <f t="shared" si="11"/>
        <v>物业管理</v>
      </c>
      <c r="R34" s="768" t="s">
        <v>17</v>
      </c>
      <c r="S34" s="769">
        <f t="shared" si="12"/>
        <v>100</v>
      </c>
      <c r="T34" s="768" t="s">
        <v>17</v>
      </c>
      <c r="U34" s="769">
        <f t="shared" si="13"/>
        <v>100</v>
      </c>
      <c r="V34" s="768" t="s">
        <v>17</v>
      </c>
      <c r="W34" s="769">
        <f t="shared" si="14"/>
        <v>100</v>
      </c>
      <c r="X34" s="770"/>
      <c r="Y34" s="3239"/>
      <c r="Z34" s="54" t="str">
        <f t="shared" si="15"/>
        <v>物业管理</v>
      </c>
      <c r="AA34" s="771">
        <f t="shared" si="3"/>
        <v>1</v>
      </c>
      <c r="AB34" s="771">
        <f t="shared" si="4"/>
        <v>1</v>
      </c>
      <c r="AC34" s="771">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39" t="s">
        <v>2563</v>
      </c>
      <c r="Q35" s="1811" t="str">
        <f t="shared" si="11"/>
        <v>市政基础设施</v>
      </c>
      <c r="R35" s="772" t="s">
        <v>17</v>
      </c>
      <c r="S35" s="773">
        <f t="shared" si="12"/>
        <v>100</v>
      </c>
      <c r="T35" s="772" t="s">
        <v>17</v>
      </c>
      <c r="U35" s="773">
        <f t="shared" si="13"/>
        <v>100</v>
      </c>
      <c r="V35" s="772" t="s">
        <v>17</v>
      </c>
      <c r="W35" s="773">
        <f t="shared" si="14"/>
        <v>100</v>
      </c>
      <c r="X35" s="1814"/>
      <c r="Y35" s="3239" t="s">
        <v>2563</v>
      </c>
      <c r="Z35" s="1815" t="str">
        <f t="shared" si="15"/>
        <v>市政基础设施</v>
      </c>
      <c r="AA35" s="1812">
        <f t="shared" si="3"/>
        <v>1</v>
      </c>
      <c r="AB35" s="1812">
        <f t="shared" si="4"/>
        <v>1</v>
      </c>
      <c r="AC35" s="1812">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39"/>
      <c r="Q36" s="1811" t="str">
        <f t="shared" si="11"/>
        <v>内部装修</v>
      </c>
      <c r="R36" s="772" t="s">
        <v>17</v>
      </c>
      <c r="S36" s="773">
        <f t="shared" si="12"/>
        <v>100</v>
      </c>
      <c r="T36" s="772" t="s">
        <v>17</v>
      </c>
      <c r="U36" s="773">
        <f t="shared" si="13"/>
        <v>100</v>
      </c>
      <c r="V36" s="772" t="s">
        <v>17</v>
      </c>
      <c r="W36" s="773">
        <f t="shared" si="14"/>
        <v>100</v>
      </c>
      <c r="X36" s="1814"/>
      <c r="Y36" s="3239"/>
      <c r="Z36" s="1815" t="str">
        <f t="shared" si="15"/>
        <v>内部装修</v>
      </c>
      <c r="AA36" s="1812">
        <f t="shared" si="3"/>
        <v>1</v>
      </c>
      <c r="AB36" s="1812">
        <f t="shared" si="4"/>
        <v>1</v>
      </c>
      <c r="AC36" s="1812">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39"/>
      <c r="Q37" s="1811" t="str">
        <f t="shared" si="11"/>
        <v>内部装修状况</v>
      </c>
      <c r="R37" s="772" t="s">
        <v>17</v>
      </c>
      <c r="S37" s="773">
        <f t="shared" si="12"/>
        <v>100</v>
      </c>
      <c r="T37" s="772" t="s">
        <v>17</v>
      </c>
      <c r="U37" s="773">
        <f t="shared" si="13"/>
        <v>100</v>
      </c>
      <c r="V37" s="772" t="s">
        <v>17</v>
      </c>
      <c r="W37" s="773">
        <f t="shared" si="14"/>
        <v>100</v>
      </c>
      <c r="X37" s="1814"/>
      <c r="Y37" s="3239"/>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39"/>
      <c r="Q38" s="774">
        <f t="shared" si="11"/>
        <v>111</v>
      </c>
      <c r="R38" s="775" t="s">
        <v>17</v>
      </c>
      <c r="S38" s="776">
        <f t="shared" si="12"/>
        <v>100</v>
      </c>
      <c r="T38" s="775" t="s">
        <v>17</v>
      </c>
      <c r="U38" s="776">
        <f t="shared" si="13"/>
        <v>100</v>
      </c>
      <c r="V38" s="775" t="s">
        <v>17</v>
      </c>
      <c r="W38" s="776">
        <f t="shared" si="14"/>
        <v>100</v>
      </c>
      <c r="X38" s="777"/>
      <c r="Y38" s="3239"/>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39"/>
      <c r="Q39" s="1811">
        <f t="shared" si="11"/>
        <v>111</v>
      </c>
      <c r="R39" s="772" t="s">
        <v>17</v>
      </c>
      <c r="S39" s="773">
        <f t="shared" si="12"/>
        <v>100</v>
      </c>
      <c r="T39" s="772" t="s">
        <v>17</v>
      </c>
      <c r="U39" s="773">
        <f t="shared" si="13"/>
        <v>100</v>
      </c>
      <c r="V39" s="772" t="s">
        <v>17</v>
      </c>
      <c r="W39" s="773">
        <f t="shared" si="14"/>
        <v>100</v>
      </c>
      <c r="X39" s="1814"/>
      <c r="Y39" s="3239"/>
      <c r="Z39" s="1815">
        <f t="shared" si="15"/>
        <v>111</v>
      </c>
      <c r="AA39" s="1812">
        <f t="shared" si="3"/>
        <v>1</v>
      </c>
      <c r="AB39" s="1812">
        <f t="shared" si="4"/>
        <v>1</v>
      </c>
      <c r="AC39" s="1812">
        <f t="shared" si="5"/>
        <v>1</v>
      </c>
    </row>
    <row r="40" spans="1:29" ht="15.75" thickBot="1">
      <c r="A40" s="476"/>
      <c r="B40" s="260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40"/>
      <c r="Q40" s="1811">
        <f t="shared" si="11"/>
        <v>111</v>
      </c>
      <c r="R40" s="772" t="s">
        <v>17</v>
      </c>
      <c r="S40" s="773">
        <f t="shared" si="12"/>
        <v>100</v>
      </c>
      <c r="T40" s="772" t="s">
        <v>17</v>
      </c>
      <c r="U40" s="773">
        <f t="shared" si="13"/>
        <v>100</v>
      </c>
      <c r="V40" s="772" t="s">
        <v>17</v>
      </c>
      <c r="W40" s="773">
        <f t="shared" si="14"/>
        <v>100</v>
      </c>
      <c r="X40" s="1814"/>
      <c r="Y40" s="3240"/>
      <c r="Z40" s="1815">
        <f t="shared" si="15"/>
        <v>111</v>
      </c>
      <c r="AA40" s="1812">
        <f t="shared" si="3"/>
        <v>1</v>
      </c>
      <c r="AB40" s="1812">
        <f t="shared" si="4"/>
        <v>1</v>
      </c>
      <c r="AC40" s="1812">
        <f t="shared" si="5"/>
        <v>1</v>
      </c>
    </row>
    <row r="41" spans="1:29" ht="15">
      <c r="A41" s="477" t="s">
        <v>2575</v>
      </c>
      <c r="B41" s="478"/>
      <c r="C41" s="1408" t="s">
        <v>1</v>
      </c>
      <c r="D41" s="1409"/>
      <c r="E41" s="1410"/>
      <c r="F41" s="1411"/>
      <c r="G41" s="1412"/>
      <c r="H41" s="1413"/>
      <c r="I41" s="1410"/>
      <c r="J41" s="1413"/>
      <c r="K41" s="781"/>
      <c r="L41" s="1144"/>
      <c r="M41" s="1145"/>
      <c r="N41" s="1132"/>
      <c r="O41" s="1145"/>
      <c r="P41" s="3232" t="str">
        <f>A41</f>
        <v>成交单价（元/平方米）</v>
      </c>
      <c r="Q41" s="3232"/>
      <c r="R41" s="3233">
        <f>E41</f>
        <v>0</v>
      </c>
      <c r="S41" s="3233"/>
      <c r="T41" s="3233">
        <f>G41</f>
        <v>0</v>
      </c>
      <c r="U41" s="3233"/>
      <c r="V41" s="3233">
        <f>I41</f>
        <v>0</v>
      </c>
      <c r="W41" s="3233"/>
      <c r="X41" s="757"/>
      <c r="Y41" s="779"/>
      <c r="Z41" s="757"/>
      <c r="AA41" s="757"/>
      <c r="AB41" s="757"/>
      <c r="AC41" s="757"/>
    </row>
    <row r="42" spans="1:29" ht="15.75" thickBot="1">
      <c r="A42" s="484" t="s">
        <v>2667</v>
      </c>
      <c r="B42" s="485"/>
      <c r="C42" s="1414" t="e">
        <f>R43</f>
        <v>#DIV/0!</v>
      </c>
      <c r="D42" s="1415"/>
      <c r="E42" s="1416" t="e">
        <f>R42</f>
        <v>#DIV/0!</v>
      </c>
      <c r="F42" s="1416"/>
      <c r="G42" s="1414" t="e">
        <f>T42</f>
        <v>#DIV/0!</v>
      </c>
      <c r="H42" s="1415"/>
      <c r="I42" s="1416" t="e">
        <f>V42</f>
        <v>#DIV/0!</v>
      </c>
      <c r="J42" s="1415"/>
      <c r="K42" s="782"/>
      <c r="L42" s="1144"/>
      <c r="M42" s="1145"/>
      <c r="N42" s="1132"/>
      <c r="O42" s="1145"/>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7"/>
      <c r="Y42" s="757"/>
      <c r="Z42" s="757"/>
      <c r="AA42" s="757"/>
      <c r="AB42" s="757"/>
      <c r="AC42" s="757"/>
    </row>
    <row r="43" spans="1:29" ht="15.75" thickBot="1">
      <c r="A43" s="490" t="s">
        <v>2668</v>
      </c>
      <c r="B43" s="491"/>
      <c r="C43" s="1418" t="e">
        <f>R43</f>
        <v>#DIV/0!</v>
      </c>
      <c r="D43" s="1418"/>
      <c r="E43" s="1418"/>
      <c r="F43" s="1418"/>
      <c r="G43" s="1418"/>
      <c r="H43" s="1418"/>
      <c r="I43" s="1418"/>
      <c r="J43" s="1418"/>
      <c r="K43" s="783"/>
      <c r="L43" s="1144"/>
      <c r="M43" s="1145"/>
      <c r="N43" s="1145"/>
      <c r="O43" s="1145"/>
      <c r="P43" s="3229" t="str">
        <f>A43</f>
        <v>估价对象XX用房的比较价值（楼面单价，元/平方米）</v>
      </c>
      <c r="Q43" s="3230"/>
      <c r="R43" s="3231" t="e">
        <f>IF(F1="售价",ROUND(AVERAGE(R42:V42),0),ROUND(AVERAGE(R42:V42),1))</f>
        <v>#DIV/0!</v>
      </c>
      <c r="S43" s="3231"/>
      <c r="T43" s="3231"/>
      <c r="U43" s="3231"/>
      <c r="V43" s="3231"/>
      <c r="W43" s="323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1"/>
      <c r="Q51" s="502"/>
    </row>
    <row r="52" spans="1:17" s="506" customFormat="1" ht="15">
      <c r="A52" s="503" t="s">
        <v>2546</v>
      </c>
      <c r="B52" s="504"/>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5"/>
    </row>
    <row r="53" spans="1:17" s="116" customFormat="1" ht="15">
      <c r="A53" s="507"/>
      <c r="B53" s="508"/>
      <c r="C53" s="1574">
        <v>100</v>
      </c>
      <c r="D53" s="510"/>
      <c r="E53" s="510"/>
      <c r="F53" s="510"/>
      <c r="G53" s="510"/>
      <c r="H53" s="510"/>
      <c r="I53" s="510"/>
      <c r="J53" s="510"/>
      <c r="K53" s="510"/>
      <c r="L53" s="510"/>
      <c r="M53" s="511"/>
      <c r="N53" s="510"/>
      <c r="O53" s="512"/>
      <c r="P53" s="502"/>
    </row>
    <row r="54" spans="1:17" s="116" customFormat="1" ht="15.75" thickBot="1">
      <c r="A54" s="513" t="s">
        <v>2583</v>
      </c>
      <c r="B54" s="514"/>
      <c r="C54" s="515"/>
      <c r="D54" s="516"/>
      <c r="E54" s="516"/>
      <c r="F54" s="516"/>
      <c r="G54" s="516"/>
      <c r="H54" s="516"/>
      <c r="I54" s="516"/>
      <c r="J54" s="516"/>
      <c r="K54" s="516"/>
      <c r="L54" s="516"/>
      <c r="M54" s="517"/>
      <c r="N54" s="516"/>
      <c r="O54" s="518"/>
      <c r="P54" s="502"/>
      <c r="Q54" s="502"/>
    </row>
    <row r="55" spans="1:17" s="116" customFormat="1" ht="15">
      <c r="A55" s="519" t="s">
        <v>2548</v>
      </c>
      <c r="B55" s="508"/>
      <c r="C55" s="520" t="s">
        <v>2650</v>
      </c>
      <c r="D55" s="521"/>
      <c r="E55" s="521"/>
      <c r="F55" s="521"/>
      <c r="G55" s="521"/>
      <c r="H55" s="521"/>
      <c r="I55" s="521"/>
      <c r="J55" s="521"/>
      <c r="K55" s="521"/>
      <c r="L55" s="522"/>
      <c r="M55" s="523"/>
      <c r="N55" s="1152"/>
      <c r="O55" s="1152"/>
      <c r="P55" s="524"/>
      <c r="Q55" s="502"/>
    </row>
    <row r="56" spans="1:17" s="116"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2586</v>
      </c>
      <c r="B57" s="526" t="s">
        <v>2552</v>
      </c>
      <c r="C57" s="527">
        <f>C9</f>
        <v>0</v>
      </c>
      <c r="D57" s="528"/>
      <c r="E57" s="528"/>
      <c r="F57" s="528"/>
      <c r="G57" s="528"/>
      <c r="H57" s="528"/>
      <c r="I57" s="528"/>
      <c r="J57" s="528"/>
      <c r="K57" s="529"/>
      <c r="L57" s="530"/>
      <c r="M57" s="531"/>
      <c r="N57" s="1153"/>
      <c r="O57" s="1153"/>
      <c r="P57" s="44"/>
      <c r="Q57" s="502"/>
    </row>
    <row r="58" spans="1:17" ht="15.75" thickBot="1">
      <c r="A58" s="532"/>
      <c r="B58" s="533"/>
      <c r="C58" s="534">
        <v>100</v>
      </c>
      <c r="D58" s="534"/>
      <c r="E58" s="534"/>
      <c r="F58" s="534"/>
      <c r="G58" s="534"/>
      <c r="H58" s="534"/>
      <c r="I58" s="534"/>
      <c r="J58" s="534"/>
      <c r="K58" s="534"/>
      <c r="L58" s="534"/>
      <c r="M58" s="535"/>
      <c r="N58" s="1154"/>
      <c r="O58" s="1154"/>
      <c r="P58" s="44"/>
      <c r="Q58" s="502"/>
    </row>
    <row r="59" spans="1:17" ht="27.75" thickTop="1">
      <c r="A59" s="532"/>
      <c r="B59" s="536" t="s">
        <v>2555</v>
      </c>
      <c r="C59" s="537" t="s">
        <v>2587</v>
      </c>
      <c r="D59" s="537" t="s">
        <v>2588</v>
      </c>
      <c r="E59" s="537" t="s">
        <v>2589</v>
      </c>
      <c r="F59" s="537" t="s">
        <v>2590</v>
      </c>
      <c r="G59" s="537" t="s">
        <v>2591</v>
      </c>
      <c r="H59" s="537" t="s">
        <v>2592</v>
      </c>
      <c r="I59" s="537" t="s">
        <v>2593</v>
      </c>
      <c r="J59" s="537"/>
      <c r="K59" s="538"/>
      <c r="L59" s="539"/>
      <c r="M59" s="540"/>
      <c r="N59" s="1153"/>
      <c r="O59" s="1153"/>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4"/>
      <c r="Q60" s="502"/>
    </row>
    <row r="61" spans="1:17" ht="15.75" thickTop="1">
      <c r="A61" s="532"/>
      <c r="B61" s="544" t="s">
        <v>2556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4"/>
      <c r="Q61" s="502"/>
    </row>
    <row r="62" spans="1:17" ht="15">
      <c r="A62" s="532"/>
      <c r="B62" s="546"/>
      <c r="C62" s="547"/>
      <c r="D62" s="547"/>
      <c r="E62" s="547"/>
      <c r="F62" s="547"/>
      <c r="G62" s="547"/>
      <c r="H62" s="547"/>
      <c r="I62" s="547"/>
      <c r="J62" s="547"/>
      <c r="K62" s="548"/>
      <c r="L62" s="549"/>
      <c r="M62" s="550"/>
      <c r="N62" s="1153"/>
      <c r="O62" s="1153"/>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4"/>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2557</v>
      </c>
      <c r="B70" s="526" t="s">
        <v>2703</v>
      </c>
      <c r="C70" s="571" t="s">
        <v>2595</v>
      </c>
      <c r="D70" s="571" t="s">
        <v>2596</v>
      </c>
      <c r="E70" s="571" t="s">
        <v>2597</v>
      </c>
      <c r="F70" s="571" t="s">
        <v>2598</v>
      </c>
      <c r="G70" s="571" t="s">
        <v>2599</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4"/>
      <c r="Q71" s="502"/>
    </row>
    <row r="72" spans="1:17" ht="15.75" thickTop="1">
      <c r="A72" s="532"/>
      <c r="B72" s="536" t="s">
        <v>2600</v>
      </c>
      <c r="C72" s="576" t="s">
        <v>2595</v>
      </c>
      <c r="D72" s="576" t="s">
        <v>2596</v>
      </c>
      <c r="E72" s="576" t="s">
        <v>2597</v>
      </c>
      <c r="F72" s="576" t="s">
        <v>2598</v>
      </c>
      <c r="G72" s="576" t="s">
        <v>2599</v>
      </c>
      <c r="H72" s="537"/>
      <c r="I72" s="537"/>
      <c r="J72" s="537"/>
      <c r="K72" s="538"/>
      <c r="L72" s="539"/>
      <c r="M72" s="540"/>
      <c r="N72" s="1153"/>
      <c r="O72" s="1153"/>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4"/>
      <c r="Q73" s="502"/>
    </row>
    <row r="74" spans="1:17" ht="15.75" thickTop="1">
      <c r="A74" s="532"/>
      <c r="B74" s="536" t="s">
        <v>2601</v>
      </c>
      <c r="C74" s="576" t="s">
        <v>2595</v>
      </c>
      <c r="D74" s="576" t="s">
        <v>2596</v>
      </c>
      <c r="E74" s="576" t="s">
        <v>2597</v>
      </c>
      <c r="F74" s="576" t="s">
        <v>2598</v>
      </c>
      <c r="G74" s="576" t="s">
        <v>2599</v>
      </c>
      <c r="H74" s="537"/>
      <c r="I74" s="537"/>
      <c r="J74" s="537"/>
      <c r="K74" s="538"/>
      <c r="L74" s="539"/>
      <c r="M74" s="540"/>
      <c r="N74" s="1153"/>
      <c r="O74" s="1153"/>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4"/>
      <c r="Q75" s="502"/>
    </row>
    <row r="76" spans="1:17" ht="15.75" thickTop="1">
      <c r="A76" s="532"/>
      <c r="B76" s="544" t="s">
        <v>2687</v>
      </c>
      <c r="C76" s="658" t="s">
        <v>2673</v>
      </c>
      <c r="D76" s="658" t="s">
        <v>2674</v>
      </c>
      <c r="E76" s="658" t="s">
        <v>2675</v>
      </c>
      <c r="F76" s="658" t="s">
        <v>2676</v>
      </c>
      <c r="G76" s="658" t="s">
        <v>2677</v>
      </c>
      <c r="H76" s="537"/>
      <c r="I76" s="537"/>
      <c r="J76" s="537"/>
      <c r="K76" s="537"/>
      <c r="L76" s="537"/>
      <c r="M76" s="1383"/>
      <c r="N76" s="1154"/>
      <c r="O76" s="1154"/>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4"/>
      <c r="Q77" s="502"/>
    </row>
    <row r="78" spans="1:17" ht="15.75" thickTop="1">
      <c r="A78" s="532"/>
      <c r="B78" s="536" t="s">
        <v>2696</v>
      </c>
      <c r="C78" s="576" t="s">
        <v>2595</v>
      </c>
      <c r="D78" s="576" t="s">
        <v>2596</v>
      </c>
      <c r="E78" s="576" t="s">
        <v>2597</v>
      </c>
      <c r="F78" s="576" t="s">
        <v>2598</v>
      </c>
      <c r="G78" s="576" t="s">
        <v>2599</v>
      </c>
      <c r="H78" s="537"/>
      <c r="I78" s="537"/>
      <c r="J78" s="537"/>
      <c r="K78" s="538"/>
      <c r="L78" s="539"/>
      <c r="M78" s="540"/>
      <c r="N78" s="1153"/>
      <c r="O78" s="1153"/>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4"/>
      <c r="Q79" s="502"/>
    </row>
    <row r="80" spans="1:17" s="116" customFormat="1" ht="15.75" thickTop="1">
      <c r="A80" s="577"/>
      <c r="B80" s="536">
        <f>B25</f>
        <v>111</v>
      </c>
      <c r="C80" s="552"/>
      <c r="D80" s="552"/>
      <c r="E80" s="552"/>
      <c r="F80" s="552"/>
      <c r="G80" s="552"/>
      <c r="H80" s="552"/>
      <c r="I80" s="552"/>
      <c r="J80" s="552"/>
      <c r="K80" s="552"/>
      <c r="L80" s="578"/>
      <c r="M80" s="579"/>
      <c r="N80" s="1152"/>
      <c r="O80" s="1152"/>
      <c r="P80" s="44"/>
      <c r="Q80" s="502"/>
    </row>
    <row r="81" spans="1:17" s="116" customFormat="1" ht="15.75" thickBot="1">
      <c r="A81" s="577"/>
      <c r="B81" s="541"/>
      <c r="C81" s="558"/>
      <c r="D81" s="534"/>
      <c r="E81" s="534"/>
      <c r="F81" s="534"/>
      <c r="G81" s="534"/>
      <c r="H81" s="534"/>
      <c r="I81" s="534"/>
      <c r="J81" s="534"/>
      <c r="K81" s="534"/>
      <c r="L81" s="534"/>
      <c r="M81" s="535"/>
      <c r="N81" s="1154"/>
      <c r="O81" s="1154"/>
      <c r="P81" s="44"/>
      <c r="Q81" s="502"/>
    </row>
    <row r="82" spans="1:17" s="116" customFormat="1" ht="15.75" thickTop="1">
      <c r="A82" s="577"/>
      <c r="B82" s="536">
        <f>B26</f>
        <v>111</v>
      </c>
      <c r="C82" s="552"/>
      <c r="D82" s="552"/>
      <c r="E82" s="552"/>
      <c r="F82" s="552"/>
      <c r="G82" s="552"/>
      <c r="H82" s="552"/>
      <c r="I82" s="552"/>
      <c r="J82" s="552"/>
      <c r="K82" s="552"/>
      <c r="L82" s="578"/>
      <c r="M82" s="579"/>
      <c r="N82" s="1152"/>
      <c r="O82" s="1152"/>
      <c r="P82" s="44"/>
      <c r="Q82" s="502"/>
    </row>
    <row r="83" spans="1:17" s="116" customFormat="1" ht="15.75" thickBot="1">
      <c r="A83" s="577"/>
      <c r="B83" s="541"/>
      <c r="C83" s="558"/>
      <c r="D83" s="534"/>
      <c r="E83" s="534"/>
      <c r="F83" s="534"/>
      <c r="G83" s="534"/>
      <c r="H83" s="534"/>
      <c r="I83" s="534"/>
      <c r="J83" s="534"/>
      <c r="K83" s="534"/>
      <c r="L83" s="534"/>
      <c r="M83" s="535"/>
      <c r="N83" s="1154"/>
      <c r="O83" s="1154"/>
      <c r="P83" s="44"/>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4"/>
      <c r="Q86" s="502"/>
    </row>
    <row r="87" spans="1:17" ht="15.75" thickBot="1">
      <c r="A87" s="2639"/>
      <c r="B87" s="567"/>
      <c r="C87" s="568"/>
      <c r="D87" s="568"/>
      <c r="E87" s="568"/>
      <c r="F87" s="568"/>
      <c r="G87" s="589"/>
      <c r="H87" s="589"/>
      <c r="I87" s="589"/>
      <c r="J87" s="589"/>
      <c r="K87" s="589"/>
      <c r="L87" s="589"/>
      <c r="M87" s="590"/>
      <c r="N87" s="1154"/>
      <c r="O87" s="1154"/>
      <c r="P87" s="44"/>
      <c r="Q87" s="502"/>
    </row>
    <row r="88" spans="1:17">
      <c r="A88" s="525" t="s">
        <v>2561</v>
      </c>
      <c r="B88" s="526" t="s">
        <v>2610</v>
      </c>
      <c r="C88" s="528"/>
      <c r="D88" s="528"/>
      <c r="E88" s="528"/>
      <c r="F88" s="528"/>
      <c r="G88" s="528"/>
      <c r="H88" s="528"/>
      <c r="I88" s="528"/>
      <c r="J88" s="528"/>
      <c r="K88" s="529"/>
      <c r="L88" s="530"/>
      <c r="M88" s="531"/>
      <c r="N88" s="1153"/>
      <c r="O88" s="1153"/>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4"/>
      <c r="Q89" s="502"/>
    </row>
    <row r="90" spans="1:17" ht="15.7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4"/>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2612</v>
      </c>
      <c r="C93" s="552"/>
      <c r="D93" s="552"/>
      <c r="E93" s="581"/>
      <c r="F93" s="581"/>
      <c r="G93" s="581"/>
      <c r="H93" s="581"/>
      <c r="I93" s="581"/>
      <c r="J93" s="581"/>
      <c r="K93" s="582"/>
      <c r="L93" s="583"/>
      <c r="M93" s="584"/>
      <c r="N93" s="1153"/>
      <c r="O93" s="1153"/>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4"/>
      <c r="Q94" s="502"/>
    </row>
    <row r="95" spans="1:17" ht="15" thickTop="1">
      <c r="A95" s="597"/>
      <c r="B95" s="536" t="s">
        <v>2614</v>
      </c>
      <c r="C95" s="552"/>
      <c r="D95" s="552"/>
      <c r="E95" s="552"/>
      <c r="F95" s="581"/>
      <c r="G95" s="581"/>
      <c r="H95" s="581"/>
      <c r="I95" s="581"/>
      <c r="J95" s="581"/>
      <c r="K95" s="582"/>
      <c r="L95" s="583"/>
      <c r="M95" s="584"/>
      <c r="N95" s="1153"/>
      <c r="O95" s="1153"/>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4"/>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4"/>
      <c r="Q97" s="502"/>
    </row>
    <row r="98" spans="1:17">
      <c r="A98" s="597"/>
      <c r="B98" s="544"/>
      <c r="C98" s="601">
        <v>0.5</v>
      </c>
      <c r="D98" s="601">
        <v>0.6</v>
      </c>
      <c r="E98" s="601">
        <v>0.7</v>
      </c>
      <c r="F98" s="601">
        <v>0.8</v>
      </c>
      <c r="G98" s="601">
        <v>0.9</v>
      </c>
      <c r="H98" s="601">
        <v>1.0001</v>
      </c>
      <c r="I98" s="621"/>
      <c r="J98" s="621"/>
      <c r="K98" s="622"/>
      <c r="L98" s="623"/>
      <c r="M98" s="624"/>
      <c r="N98" s="1153"/>
      <c r="O98" s="1153"/>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4"/>
      <c r="Q99" s="502"/>
    </row>
    <row r="100" spans="1:17" s="469" customFormat="1" ht="15" thickTop="1">
      <c r="A100" s="591"/>
      <c r="B100" s="536" t="s">
        <v>2615</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2616</v>
      </c>
      <c r="C102" s="552"/>
      <c r="D102" s="552"/>
      <c r="E102" s="552"/>
      <c r="F102" s="552"/>
      <c r="G102" s="552"/>
      <c r="H102" s="581"/>
      <c r="I102" s="581"/>
      <c r="J102" s="581"/>
      <c r="K102" s="582"/>
      <c r="L102" s="583"/>
      <c r="M102" s="584"/>
      <c r="N102" s="1153"/>
      <c r="O102" s="1153"/>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4"/>
      <c r="Q103" s="502"/>
    </row>
    <row r="104" spans="1:17" ht="15" thickTop="1">
      <c r="A104" s="597"/>
      <c r="B104" s="536" t="s">
        <v>2618</v>
      </c>
      <c r="C104" s="552"/>
      <c r="D104" s="552"/>
      <c r="E104" s="552"/>
      <c r="F104" s="552"/>
      <c r="G104" s="552"/>
      <c r="H104" s="581"/>
      <c r="I104" s="581"/>
      <c r="J104" s="581"/>
      <c r="K104" s="582"/>
      <c r="L104" s="583"/>
      <c r="M104" s="584"/>
      <c r="N104" s="1153"/>
      <c r="O104" s="1153"/>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4"/>
      <c r="Q105" s="502"/>
    </row>
    <row r="106" spans="1:17" ht="15" thickTop="1">
      <c r="A106" s="597"/>
      <c r="B106" s="634" t="s">
        <v>2704</v>
      </c>
      <c r="C106" s="576" t="s">
        <v>2595</v>
      </c>
      <c r="D106" s="576" t="s">
        <v>2596</v>
      </c>
      <c r="E106" s="576" t="s">
        <v>2597</v>
      </c>
      <c r="F106" s="576" t="s">
        <v>2598</v>
      </c>
      <c r="G106" s="576" t="s">
        <v>2599</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4"/>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4"/>
      <c r="Q110" s="502"/>
    </row>
    <row r="111" spans="1:17" ht="15.75" thickBot="1">
      <c r="A111" s="532"/>
      <c r="B111" s="541"/>
      <c r="C111" s="558"/>
      <c r="D111" s="534"/>
      <c r="E111" s="534"/>
      <c r="F111" s="534"/>
      <c r="G111" s="558"/>
      <c r="H111" s="560"/>
      <c r="I111" s="560"/>
      <c r="J111" s="560"/>
      <c r="K111" s="560"/>
      <c r="L111" s="560"/>
      <c r="M111" s="561"/>
      <c r="N111" s="1154"/>
      <c r="O111" s="1154"/>
      <c r="P111" s="44"/>
      <c r="Q111" s="502"/>
    </row>
    <row r="112" spans="1:17" ht="15" thickTop="1">
      <c r="A112" s="597"/>
      <c r="B112" s="544">
        <f>B40</f>
        <v>111</v>
      </c>
      <c r="C112" s="521"/>
      <c r="D112" s="521"/>
      <c r="E112" s="521"/>
      <c r="F112" s="521"/>
      <c r="G112" s="585"/>
      <c r="H112" s="585"/>
      <c r="I112" s="585"/>
      <c r="J112" s="585"/>
      <c r="K112" s="521"/>
      <c r="L112" s="522"/>
      <c r="M112" s="588"/>
      <c r="N112" s="1153"/>
      <c r="O112" s="1153"/>
      <c r="P112" s="44"/>
      <c r="Q112" s="502"/>
    </row>
    <row r="113" spans="1:17" ht="15.75" thickBot="1">
      <c r="A113" s="2639"/>
      <c r="B113" s="567"/>
      <c r="C113" s="568"/>
      <c r="D113" s="568"/>
      <c r="E113" s="568"/>
      <c r="F113" s="568"/>
      <c r="G113" s="589"/>
      <c r="H113" s="589"/>
      <c r="I113" s="589"/>
      <c r="J113" s="589"/>
      <c r="K113" s="589"/>
      <c r="L113" s="589"/>
      <c r="M113" s="590"/>
      <c r="N113" s="1154"/>
      <c r="O113" s="1154"/>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3" customWidth="1"/>
    <col min="12" max="12" width="12.25" style="494"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2705</v>
      </c>
      <c r="B1" s="1620"/>
      <c r="C1" s="1621" t="s">
        <v>2528</v>
      </c>
      <c r="D1" s="1622"/>
      <c r="E1" s="1623"/>
      <c r="F1" s="2587"/>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t="e">
        <f ca="1">IF(C2="——",IF(B37="元/平方米",ROUND(C39*D3/10000,0),ROUND(F3*C39/10000,0)),IF(B37="元/平方米",ROUND(C39*D3/10000,0),ROUND(F3*C39/10000,0))-D2)</f>
        <v>#DIV/0!</v>
      </c>
      <c r="C2" s="2589"/>
      <c r="D2" s="1125" t="e">
        <f ca="1">SUMIF(INDIRECT("'"&amp;F2&amp;"'"&amp;"!A:A"),"承租人权益价值",INDIRECT("'"&amp;F2&amp;"'"&amp;"!c:c"))</f>
        <v>#REF!</v>
      </c>
      <c r="E2" s="2590" t="s">
        <v>2329</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2330</v>
      </c>
      <c r="B3" s="607" t="e">
        <f ca="1">IF(AND(C2="——",B37="元/平方米"),C39,ROUND(B2*10000/D3,0))</f>
        <v>#DIV/0!</v>
      </c>
      <c r="C3" s="399" t="s">
        <v>2642</v>
      </c>
      <c r="D3" s="398">
        <f>SUMIF('数据-汇总表'!$C19:$C33,D1,'数据-汇总表'!$E19:$E33)</f>
        <v>0</v>
      </c>
      <c r="E3" s="399" t="s">
        <v>2706</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02" t="s">
        <v>2645</v>
      </c>
      <c r="S4" s="3203"/>
      <c r="T4" s="3202" t="s">
        <v>2646</v>
      </c>
      <c r="U4" s="3203"/>
      <c r="V4" s="3227" t="s">
        <v>2647</v>
      </c>
      <c r="W4" s="3227"/>
      <c r="X4" s="1814"/>
      <c r="Y4" s="3202" t="s">
        <v>2649</v>
      </c>
      <c r="Z4" s="3203"/>
      <c r="AA4" s="3197" t="s">
        <v>2645</v>
      </c>
      <c r="AB4" s="3198" t="s">
        <v>2646</v>
      </c>
      <c r="AC4" s="3197" t="s">
        <v>2647</v>
      </c>
    </row>
    <row r="5" spans="1:29" ht="15">
      <c r="A5" s="403"/>
      <c r="B5" s="404"/>
      <c r="C5" s="3208" t="s">
        <v>2540</v>
      </c>
      <c r="D5" s="3209"/>
      <c r="E5" s="3206" t="s">
        <v>2541</v>
      </c>
      <c r="F5" s="3207"/>
      <c r="G5" s="3208" t="s">
        <v>2542</v>
      </c>
      <c r="H5" s="3209"/>
      <c r="I5" s="3208" t="s">
        <v>2543</v>
      </c>
      <c r="J5" s="3209"/>
      <c r="K5" s="608"/>
      <c r="L5" s="1131"/>
      <c r="M5" s="1132"/>
      <c r="N5" s="1132"/>
      <c r="O5" s="1132"/>
      <c r="P5" s="3221"/>
      <c r="Q5" s="3222"/>
      <c r="R5" s="3204"/>
      <c r="S5" s="3205"/>
      <c r="T5" s="3204"/>
      <c r="U5" s="3205"/>
      <c r="V5" s="3227"/>
      <c r="W5" s="3227"/>
      <c r="X5" s="1814"/>
      <c r="Y5" s="3204"/>
      <c r="Z5" s="3205"/>
      <c r="AA5" s="3198"/>
      <c r="AB5" s="3198"/>
      <c r="AC5" s="3198"/>
    </row>
    <row r="6" spans="1:29" ht="15.75" thickBot="1">
      <c r="A6" s="405"/>
      <c r="B6" s="406"/>
      <c r="C6" s="3210" t="s">
        <v>2544</v>
      </c>
      <c r="D6" s="3211"/>
      <c r="E6" s="3212" t="s">
        <v>2544</v>
      </c>
      <c r="F6" s="3213"/>
      <c r="G6" s="3210" t="s">
        <v>2544</v>
      </c>
      <c r="H6" s="3211"/>
      <c r="I6" s="3210" t="s">
        <v>2544</v>
      </c>
      <c r="J6" s="3211"/>
      <c r="K6" s="608" t="s">
        <v>2545</v>
      </c>
      <c r="L6" s="1131"/>
      <c r="M6" s="1132"/>
      <c r="N6" s="1132"/>
      <c r="O6" s="1132"/>
      <c r="P6" s="3223"/>
      <c r="Q6" s="3224"/>
      <c r="R6" s="3204"/>
      <c r="S6" s="3205"/>
      <c r="T6" s="3225"/>
      <c r="U6" s="3226"/>
      <c r="V6" s="3227"/>
      <c r="W6" s="3227"/>
      <c r="X6" s="1814"/>
      <c r="Y6" s="3225"/>
      <c r="Z6" s="3226"/>
      <c r="AA6" s="3199"/>
      <c r="AB6" s="3199"/>
      <c r="AC6" s="3199"/>
    </row>
    <row r="7" spans="1:29" s="116" customFormat="1" ht="15.75" thickBot="1">
      <c r="A7" s="407" t="s">
        <v>2546</v>
      </c>
      <c r="B7" s="408"/>
      <c r="C7" s="409">
        <f>'数据-取费表'!B2</f>
        <v>43546</v>
      </c>
      <c r="D7" s="410">
        <v>100</v>
      </c>
      <c r="E7" s="411"/>
      <c r="F7" s="412">
        <f>SUMIF(48:48,YEAR(E7)&amp;"-"&amp;MONTH(E7),49:49)</f>
        <v>0</v>
      </c>
      <c r="G7" s="411"/>
      <c r="H7" s="410">
        <f>SUMIF(48:48,YEAR(G7)&amp;"-"&amp;MONTH(G7),49:49)</f>
        <v>0</v>
      </c>
      <c r="I7" s="411"/>
      <c r="J7" s="410">
        <f>SUMIF(48:48,YEAR(I7)&amp;"-"&amp;MONTH(I7),49:49)</f>
        <v>0</v>
      </c>
      <c r="K7" s="609"/>
      <c r="L7" s="1133"/>
      <c r="M7" s="1134"/>
      <c r="N7" s="1134"/>
      <c r="O7" s="1134"/>
      <c r="P7" s="3200" t="s">
        <v>2547</v>
      </c>
      <c r="Q7" s="3228"/>
      <c r="R7" s="768" t="s">
        <v>17</v>
      </c>
      <c r="S7" s="769">
        <f t="shared" ref="S7:S14" si="0">F7</f>
        <v>0</v>
      </c>
      <c r="T7" s="768" t="s">
        <v>17</v>
      </c>
      <c r="U7" s="769">
        <f t="shared" ref="U7:U14" si="1">H7</f>
        <v>0</v>
      </c>
      <c r="V7" s="768" t="s">
        <v>17</v>
      </c>
      <c r="W7" s="769">
        <f t="shared" ref="W7:W14" si="2">J7</f>
        <v>0</v>
      </c>
      <c r="X7" s="770"/>
      <c r="Y7" s="3200" t="s">
        <v>2547</v>
      </c>
      <c r="Z7" s="3201"/>
      <c r="AA7" s="771" t="e">
        <f>D7/F7</f>
        <v>#DIV/0!</v>
      </c>
      <c r="AB7" s="771" t="e">
        <f>D7/H7</f>
        <v>#DIV/0!</v>
      </c>
      <c r="AC7" s="771"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09"/>
      <c r="L8" s="1133"/>
      <c r="M8" s="1134"/>
      <c r="N8" s="1134"/>
      <c r="O8" s="1134"/>
      <c r="P8" s="3200" t="s">
        <v>2550</v>
      </c>
      <c r="Q8" s="3201"/>
      <c r="R8" s="768" t="s">
        <v>17</v>
      </c>
      <c r="S8" s="769">
        <f t="shared" si="0"/>
        <v>0</v>
      </c>
      <c r="T8" s="768" t="s">
        <v>17</v>
      </c>
      <c r="U8" s="769">
        <f t="shared" si="1"/>
        <v>0</v>
      </c>
      <c r="V8" s="768" t="s">
        <v>17</v>
      </c>
      <c r="W8" s="769">
        <f t="shared" si="2"/>
        <v>0</v>
      </c>
      <c r="X8" s="770"/>
      <c r="Y8" s="3200" t="s">
        <v>2550</v>
      </c>
      <c r="Z8" s="3201"/>
      <c r="AA8" s="771" t="e">
        <f t="shared" ref="AA8:AA36" si="3">D8/F8</f>
        <v>#DIV/0!</v>
      </c>
      <c r="AB8" s="771" t="e">
        <f t="shared" ref="AB8:AB36" si="4">D8/H8</f>
        <v>#DIV/0!</v>
      </c>
      <c r="AC8" s="771" t="e">
        <f t="shared" ref="AC8:AC36" si="5">D8/J8</f>
        <v>#DIV/0!</v>
      </c>
    </row>
    <row r="9" spans="1:29" s="116" customFormat="1">
      <c r="A9" s="67" t="s">
        <v>2551</v>
      </c>
      <c r="B9" s="638" t="s">
        <v>2552</v>
      </c>
      <c r="C9" s="415"/>
      <c r="D9" s="134">
        <v>100</v>
      </c>
      <c r="E9" s="418"/>
      <c r="F9" s="134">
        <f>SUMIF(53:53,E9,54:54)-SUMIF(53:53,C9,54:54)+100</f>
        <v>100</v>
      </c>
      <c r="G9" s="416"/>
      <c r="H9" s="134">
        <f>SUMIF(53:53,G9,54:54)-SUMIF(53:53,C9,54:54)+100</f>
        <v>100</v>
      </c>
      <c r="I9" s="416"/>
      <c r="J9" s="134">
        <f>SUMIF(53:53,I9,54:54)-SUMIF(53:53,C9,54:54)+100</f>
        <v>100</v>
      </c>
      <c r="K9" s="609"/>
      <c r="L9" s="1133"/>
      <c r="M9" s="1134"/>
      <c r="N9" s="1134"/>
      <c r="O9" s="1134"/>
      <c r="P9" s="3232" t="s">
        <v>2553</v>
      </c>
      <c r="Q9" s="1796" t="str">
        <f t="shared" ref="Q9:Q14" si="6">B9</f>
        <v>用途</v>
      </c>
      <c r="R9" s="768" t="s">
        <v>17</v>
      </c>
      <c r="S9" s="769">
        <f t="shared" si="0"/>
        <v>100</v>
      </c>
      <c r="T9" s="768" t="s">
        <v>17</v>
      </c>
      <c r="U9" s="769">
        <f t="shared" si="1"/>
        <v>100</v>
      </c>
      <c r="V9" s="768" t="s">
        <v>17</v>
      </c>
      <c r="W9" s="769">
        <f t="shared" si="2"/>
        <v>100</v>
      </c>
      <c r="X9" s="770"/>
      <c r="Y9" s="3047" t="s">
        <v>2554</v>
      </c>
      <c r="Z9" s="54" t="str">
        <f t="shared" ref="Z9:Z14" si="7">Q9</f>
        <v>用途</v>
      </c>
      <c r="AA9" s="771">
        <f t="shared" si="3"/>
        <v>1</v>
      </c>
      <c r="AB9" s="771">
        <f t="shared" si="4"/>
        <v>1</v>
      </c>
      <c r="AC9" s="771">
        <f t="shared" si="5"/>
        <v>1</v>
      </c>
    </row>
    <row r="10" spans="1:29" s="425" customFormat="1" ht="27">
      <c r="A10" s="639"/>
      <c r="B10" s="640" t="s">
        <v>2555</v>
      </c>
      <c r="C10" s="421"/>
      <c r="D10" s="135">
        <v>100</v>
      </c>
      <c r="E10" s="421"/>
      <c r="F10" s="135">
        <f>SUMIF(55:55,E10,56:56)-SUMIF(55:55,C10,56:56)+100</f>
        <v>100</v>
      </c>
      <c r="G10" s="422"/>
      <c r="H10" s="135">
        <f>SUMIF(55:55,G10,56:56)-SUMIF(55:55,C10,56:56)+100</f>
        <v>100</v>
      </c>
      <c r="I10" s="421"/>
      <c r="J10" s="135">
        <f>SUMIF(55:55,I10,56:56)-SUMIF(55:55,C10,56:56)+100</f>
        <v>100</v>
      </c>
      <c r="K10" s="610"/>
      <c r="L10" s="1136"/>
      <c r="M10" s="1137"/>
      <c r="N10" s="1137"/>
      <c r="O10" s="1137"/>
      <c r="P10" s="3232"/>
      <c r="Q10" s="1796" t="str">
        <f t="shared" si="6"/>
        <v>土地使用年限（年）</v>
      </c>
      <c r="R10" s="768" t="s">
        <v>17</v>
      </c>
      <c r="S10" s="769">
        <f t="shared" si="0"/>
        <v>100</v>
      </c>
      <c r="T10" s="768" t="s">
        <v>17</v>
      </c>
      <c r="U10" s="769">
        <f t="shared" si="1"/>
        <v>100</v>
      </c>
      <c r="V10" s="768" t="s">
        <v>17</v>
      </c>
      <c r="W10" s="769">
        <f t="shared" si="2"/>
        <v>100</v>
      </c>
      <c r="X10" s="770"/>
      <c r="Y10" s="3047"/>
      <c r="Z10" s="54"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9"/>
      <c r="M11" s="1132"/>
      <c r="N11" s="1132"/>
      <c r="O11" s="1132"/>
      <c r="P11" s="3232"/>
      <c r="Q11" s="1796">
        <f t="shared" si="6"/>
        <v>111</v>
      </c>
      <c r="R11" s="768" t="s">
        <v>17</v>
      </c>
      <c r="S11" s="769">
        <f t="shared" si="0"/>
        <v>100</v>
      </c>
      <c r="T11" s="768" t="s">
        <v>17</v>
      </c>
      <c r="U11" s="769">
        <f t="shared" si="1"/>
        <v>100</v>
      </c>
      <c r="V11" s="768" t="s">
        <v>17</v>
      </c>
      <c r="W11" s="769">
        <f t="shared" si="2"/>
        <v>100</v>
      </c>
      <c r="X11" s="770"/>
      <c r="Y11" s="3047"/>
      <c r="Z11" s="54">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3"/>
      <c r="M12" s="1134"/>
      <c r="N12" s="1134"/>
      <c r="O12" s="1134"/>
      <c r="P12" s="3232"/>
      <c r="Q12" s="1796">
        <f t="shared" si="6"/>
        <v>111</v>
      </c>
      <c r="R12" s="768" t="s">
        <v>17</v>
      </c>
      <c r="S12" s="769">
        <f t="shared" si="0"/>
        <v>100</v>
      </c>
      <c r="T12" s="768" t="s">
        <v>17</v>
      </c>
      <c r="U12" s="769">
        <f t="shared" si="1"/>
        <v>100</v>
      </c>
      <c r="V12" s="768" t="s">
        <v>17</v>
      </c>
      <c r="W12" s="769">
        <f t="shared" si="2"/>
        <v>100</v>
      </c>
      <c r="X12" s="770"/>
      <c r="Y12" s="3047"/>
      <c r="Z12" s="54">
        <f t="shared" si="7"/>
        <v>111</v>
      </c>
      <c r="AA12" s="771">
        <f>D12/F12</f>
        <v>1</v>
      </c>
      <c r="AB12" s="771">
        <f>D12/H12</f>
        <v>1</v>
      </c>
      <c r="AC12" s="771">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41"/>
      <c r="M13" s="1132"/>
      <c r="N13" s="1132"/>
      <c r="O13" s="1132"/>
      <c r="P13" s="3232"/>
      <c r="Q13" s="1796">
        <f t="shared" si="6"/>
        <v>111</v>
      </c>
      <c r="R13" s="768" t="s">
        <v>17</v>
      </c>
      <c r="S13" s="769">
        <f t="shared" si="0"/>
        <v>100</v>
      </c>
      <c r="T13" s="768" t="s">
        <v>17</v>
      </c>
      <c r="U13" s="769">
        <f t="shared" si="1"/>
        <v>100</v>
      </c>
      <c r="V13" s="768" t="s">
        <v>17</v>
      </c>
      <c r="W13" s="769">
        <f t="shared" si="2"/>
        <v>100</v>
      </c>
      <c r="X13" s="770"/>
      <c r="Y13" s="3047"/>
      <c r="Z13" s="54">
        <f t="shared" si="7"/>
        <v>111</v>
      </c>
      <c r="AA13" s="771">
        <f t="shared" si="3"/>
        <v>1</v>
      </c>
      <c r="AB13" s="771">
        <f t="shared" si="4"/>
        <v>1</v>
      </c>
      <c r="AC13" s="771">
        <f t="shared" si="5"/>
        <v>1</v>
      </c>
    </row>
    <row r="14" spans="1:29" ht="85.5">
      <c r="A14" s="400" t="s">
        <v>2557</v>
      </c>
      <c r="B14" s="627" t="s">
        <v>2707</v>
      </c>
      <c r="C14" s="269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34" t="s">
        <v>2558</v>
      </c>
      <c r="Q14" s="1811" t="str">
        <f t="shared" si="6"/>
        <v>交通便捷度</v>
      </c>
      <c r="R14" s="772" t="s">
        <v>17</v>
      </c>
      <c r="S14" s="773">
        <f t="shared" si="0"/>
        <v>100</v>
      </c>
      <c r="T14" s="772" t="s">
        <v>17</v>
      </c>
      <c r="U14" s="773">
        <f t="shared" si="1"/>
        <v>100</v>
      </c>
      <c r="V14" s="772" t="s">
        <v>17</v>
      </c>
      <c r="W14" s="773">
        <f t="shared" si="2"/>
        <v>100</v>
      </c>
      <c r="X14" s="1814"/>
      <c r="Y14" s="3234" t="s">
        <v>2558</v>
      </c>
      <c r="Z14" s="1815" t="str">
        <f t="shared" si="7"/>
        <v>交通便捷度</v>
      </c>
      <c r="AA14" s="1812">
        <f t="shared" si="3"/>
        <v>1</v>
      </c>
      <c r="AB14" s="1812">
        <f t="shared" si="4"/>
        <v>1</v>
      </c>
      <c r="AC14" s="1812">
        <f t="shared" si="5"/>
        <v>1</v>
      </c>
    </row>
    <row r="15" spans="1:29" ht="15">
      <c r="A15" s="403"/>
      <c r="B15" s="645"/>
      <c r="C15" s="445"/>
      <c r="D15" s="446"/>
      <c r="E15" s="445"/>
      <c r="F15" s="447"/>
      <c r="G15" s="445"/>
      <c r="H15" s="448"/>
      <c r="I15" s="445"/>
      <c r="J15" s="446"/>
      <c r="K15" s="613"/>
      <c r="L15" s="1141"/>
      <c r="M15" s="1132"/>
      <c r="N15" s="1132"/>
      <c r="O15" s="1132"/>
      <c r="P15" s="3235"/>
      <c r="Q15" s="1811"/>
      <c r="R15" s="772"/>
      <c r="S15" s="773"/>
      <c r="T15" s="772"/>
      <c r="U15" s="773"/>
      <c r="V15" s="772"/>
      <c r="W15" s="773"/>
      <c r="X15" s="1814"/>
      <c r="Y15" s="3235"/>
      <c r="Z15" s="1815"/>
      <c r="AA15" s="1812">
        <v>1</v>
      </c>
      <c r="AB15" s="1812">
        <v>1</v>
      </c>
      <c r="AC15" s="1812">
        <v>1</v>
      </c>
    </row>
    <row r="16" spans="1:29" ht="42.75">
      <c r="A16" s="403"/>
      <c r="B16" s="629" t="s">
        <v>2686</v>
      </c>
      <c r="C16" s="261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35"/>
      <c r="Q16" s="1811" t="str">
        <f>B16</f>
        <v>公共配套设施</v>
      </c>
      <c r="R16" s="772" t="s">
        <v>17</v>
      </c>
      <c r="S16" s="773">
        <f>F16</f>
        <v>100</v>
      </c>
      <c r="T16" s="772" t="s">
        <v>17</v>
      </c>
      <c r="U16" s="773">
        <f>H16</f>
        <v>100</v>
      </c>
      <c r="V16" s="772" t="s">
        <v>17</v>
      </c>
      <c r="W16" s="773">
        <f>J16</f>
        <v>100</v>
      </c>
      <c r="X16" s="1814"/>
      <c r="Y16" s="3235"/>
      <c r="Z16" s="1815" t="str">
        <f>Q16</f>
        <v>公共配套设施</v>
      </c>
      <c r="AA16" s="1812">
        <f t="shared" si="3"/>
        <v>1</v>
      </c>
      <c r="AB16" s="1812">
        <f t="shared" si="4"/>
        <v>1</v>
      </c>
      <c r="AC16" s="1812">
        <f t="shared" si="5"/>
        <v>1</v>
      </c>
    </row>
    <row r="17" spans="1:29" ht="15">
      <c r="A17" s="403"/>
      <c r="B17" s="630"/>
      <c r="C17" s="2611"/>
      <c r="D17" s="446"/>
      <c r="E17" s="445"/>
      <c r="F17" s="447"/>
      <c r="G17" s="445"/>
      <c r="H17" s="446"/>
      <c r="I17" s="445"/>
      <c r="J17" s="446"/>
      <c r="K17" s="613"/>
      <c r="L17" s="1141"/>
      <c r="M17" s="1132"/>
      <c r="N17" s="1132"/>
      <c r="O17" s="1132"/>
      <c r="P17" s="3235"/>
      <c r="Q17" s="1811"/>
      <c r="R17" s="772"/>
      <c r="S17" s="773"/>
      <c r="T17" s="772"/>
      <c r="U17" s="773"/>
      <c r="V17" s="772"/>
      <c r="W17" s="773"/>
      <c r="X17" s="1814"/>
      <c r="Y17" s="3235"/>
      <c r="Z17" s="1815"/>
      <c r="AA17" s="1812">
        <v>1</v>
      </c>
      <c r="AB17" s="1812">
        <v>1</v>
      </c>
      <c r="AC17" s="1812">
        <v>1</v>
      </c>
    </row>
    <row r="18" spans="1:29" ht="28.5">
      <c r="A18" s="403"/>
      <c r="B18" s="631" t="s">
        <v>2687</v>
      </c>
      <c r="C18" s="261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35"/>
      <c r="Q18" s="1811" t="str">
        <f>B18</f>
        <v>基础设施水平</v>
      </c>
      <c r="R18" s="772" t="s">
        <v>17</v>
      </c>
      <c r="S18" s="773">
        <f>F18</f>
        <v>100</v>
      </c>
      <c r="T18" s="772" t="s">
        <v>17</v>
      </c>
      <c r="U18" s="773">
        <f>H18</f>
        <v>100</v>
      </c>
      <c r="V18" s="772" t="s">
        <v>17</v>
      </c>
      <c r="W18" s="773">
        <f>J18</f>
        <v>100</v>
      </c>
      <c r="X18" s="1814"/>
      <c r="Y18" s="3235"/>
      <c r="Z18" s="1815" t="str">
        <f>Q18</f>
        <v>基础设施水平</v>
      </c>
      <c r="AA18" s="1812">
        <f t="shared" ref="AA18" si="8">D18/F18</f>
        <v>1</v>
      </c>
      <c r="AB18" s="1812">
        <f t="shared" ref="AB18" si="9">D18/H18</f>
        <v>1</v>
      </c>
      <c r="AC18" s="1812">
        <f t="shared" ref="AC18" si="10">D18/J18</f>
        <v>1</v>
      </c>
    </row>
    <row r="19" spans="1:29" ht="15">
      <c r="A19" s="403"/>
      <c r="B19" s="631"/>
      <c r="C19" s="2611"/>
      <c r="D19" s="448"/>
      <c r="E19" s="2611"/>
      <c r="F19" s="451"/>
      <c r="G19" s="2611"/>
      <c r="H19" s="446"/>
      <c r="I19" s="445"/>
      <c r="J19" s="446"/>
      <c r="K19" s="1384"/>
      <c r="L19" s="1141"/>
      <c r="M19" s="1132"/>
      <c r="N19" s="1132"/>
      <c r="O19" s="1132"/>
      <c r="P19" s="3235"/>
      <c r="Q19" s="1811"/>
      <c r="R19" s="772"/>
      <c r="S19" s="773"/>
      <c r="T19" s="772"/>
      <c r="U19" s="773"/>
      <c r="V19" s="772"/>
      <c r="W19" s="773"/>
      <c r="X19" s="1814"/>
      <c r="Y19" s="3235"/>
      <c r="Z19" s="1815"/>
      <c r="AA19" s="1812">
        <v>1</v>
      </c>
      <c r="AB19" s="1812">
        <v>1</v>
      </c>
      <c r="AC19" s="1812">
        <v>1</v>
      </c>
    </row>
    <row r="20" spans="1:29" ht="57">
      <c r="A20" s="403"/>
      <c r="B20" s="629" t="s">
        <v>2708</v>
      </c>
      <c r="C20" s="261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35"/>
      <c r="Q20" s="1811" t="str">
        <f>B20</f>
        <v>自然及人文环境</v>
      </c>
      <c r="R20" s="772" t="s">
        <v>17</v>
      </c>
      <c r="S20" s="773">
        <f>F20</f>
        <v>100</v>
      </c>
      <c r="T20" s="772" t="s">
        <v>17</v>
      </c>
      <c r="U20" s="773">
        <f>H20</f>
        <v>100</v>
      </c>
      <c r="V20" s="772" t="s">
        <v>17</v>
      </c>
      <c r="W20" s="773">
        <f>J20</f>
        <v>100</v>
      </c>
      <c r="X20" s="1814"/>
      <c r="Y20" s="3235"/>
      <c r="Z20" s="1815" t="str">
        <f>Q20</f>
        <v>自然及人文环境</v>
      </c>
      <c r="AA20" s="1812">
        <f t="shared" si="3"/>
        <v>1</v>
      </c>
      <c r="AB20" s="1812">
        <f t="shared" si="4"/>
        <v>1</v>
      </c>
      <c r="AC20" s="1812">
        <f t="shared" si="5"/>
        <v>1</v>
      </c>
    </row>
    <row r="21" spans="1:29" ht="15">
      <c r="A21" s="403"/>
      <c r="B21" s="630"/>
      <c r="C21" s="445"/>
      <c r="D21" s="446"/>
      <c r="E21" s="445"/>
      <c r="F21" s="447"/>
      <c r="G21" s="445"/>
      <c r="H21" s="446"/>
      <c r="I21" s="445"/>
      <c r="J21" s="446"/>
      <c r="K21" s="613"/>
      <c r="L21" s="1141"/>
      <c r="M21" s="1132"/>
      <c r="N21" s="1132"/>
      <c r="O21" s="1132"/>
      <c r="P21" s="3235"/>
      <c r="Q21" s="1811"/>
      <c r="R21" s="772"/>
      <c r="S21" s="773"/>
      <c r="T21" s="772"/>
      <c r="U21" s="773"/>
      <c r="V21" s="772"/>
      <c r="W21" s="773"/>
      <c r="X21" s="1814"/>
      <c r="Y21" s="3235"/>
      <c r="Z21" s="1815"/>
      <c r="AA21" s="1812">
        <v>1</v>
      </c>
      <c r="AB21" s="1812">
        <v>1</v>
      </c>
      <c r="AC21" s="1812">
        <v>1</v>
      </c>
    </row>
    <row r="22" spans="1:29" ht="15">
      <c r="A22" s="403"/>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35"/>
      <c r="Q22" s="1811" t="str">
        <f>B22</f>
        <v>楼层</v>
      </c>
      <c r="R22" s="772" t="s">
        <v>17</v>
      </c>
      <c r="S22" s="773">
        <f>F22</f>
        <v>100</v>
      </c>
      <c r="T22" s="772" t="s">
        <v>17</v>
      </c>
      <c r="U22" s="773">
        <f>H22</f>
        <v>100</v>
      </c>
      <c r="V22" s="772" t="s">
        <v>17</v>
      </c>
      <c r="W22" s="773">
        <f>J22</f>
        <v>100</v>
      </c>
      <c r="X22" s="1814"/>
      <c r="Y22" s="3235"/>
      <c r="Z22" s="1815" t="str">
        <f>Q22</f>
        <v>楼层</v>
      </c>
      <c r="AA22" s="1812">
        <f t="shared" si="3"/>
        <v>1</v>
      </c>
      <c r="AB22" s="1812">
        <f t="shared" si="4"/>
        <v>1</v>
      </c>
      <c r="AC22" s="1812">
        <f t="shared" si="5"/>
        <v>1</v>
      </c>
    </row>
    <row r="23" spans="1:29" ht="15">
      <c r="A23" s="403"/>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35"/>
      <c r="Q23" s="1811">
        <f>B23</f>
        <v>111</v>
      </c>
      <c r="R23" s="772" t="s">
        <v>17</v>
      </c>
      <c r="S23" s="773">
        <f>F23</f>
        <v>100</v>
      </c>
      <c r="T23" s="772" t="s">
        <v>17</v>
      </c>
      <c r="U23" s="773">
        <f>H23</f>
        <v>100</v>
      </c>
      <c r="V23" s="772" t="s">
        <v>17</v>
      </c>
      <c r="W23" s="773">
        <f>J23</f>
        <v>100</v>
      </c>
      <c r="X23" s="1814"/>
      <c r="Y23" s="3235"/>
      <c r="Z23" s="1815">
        <f>Q23</f>
        <v>111</v>
      </c>
      <c r="AA23" s="1812">
        <f t="shared" si="3"/>
        <v>1</v>
      </c>
      <c r="AB23" s="1812">
        <f t="shared" si="4"/>
        <v>1</v>
      </c>
      <c r="AC23" s="1812">
        <f t="shared" si="5"/>
        <v>1</v>
      </c>
    </row>
    <row r="24" spans="1:29" ht="15">
      <c r="A24" s="403"/>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35"/>
      <c r="Q24" s="1811">
        <f t="shared" ref="Q24:Q36" si="11">B24</f>
        <v>111</v>
      </c>
      <c r="R24" s="772" t="s">
        <v>17</v>
      </c>
      <c r="S24" s="773">
        <f>F24</f>
        <v>100</v>
      </c>
      <c r="T24" s="772" t="s">
        <v>17</v>
      </c>
      <c r="U24" s="773">
        <f>H24</f>
        <v>100</v>
      </c>
      <c r="V24" s="772" t="s">
        <v>17</v>
      </c>
      <c r="W24" s="773">
        <f>J24</f>
        <v>100</v>
      </c>
      <c r="X24" s="1814"/>
      <c r="Y24" s="3235"/>
      <c r="Z24" s="1815">
        <f>Q24</f>
        <v>111</v>
      </c>
      <c r="AA24" s="1812">
        <f t="shared" si="3"/>
        <v>1</v>
      </c>
      <c r="AB24" s="1812">
        <f t="shared" si="4"/>
        <v>1</v>
      </c>
      <c r="AC24" s="1812">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35"/>
      <c r="Q25" s="1796">
        <f t="shared" si="11"/>
        <v>111</v>
      </c>
      <c r="R25" s="768" t="s">
        <v>17</v>
      </c>
      <c r="S25" s="769">
        <f>F25</f>
        <v>100</v>
      </c>
      <c r="T25" s="768" t="s">
        <v>17</v>
      </c>
      <c r="U25" s="769">
        <f>H25</f>
        <v>100</v>
      </c>
      <c r="V25" s="768" t="s">
        <v>17</v>
      </c>
      <c r="W25" s="769">
        <f>J25</f>
        <v>100</v>
      </c>
      <c r="X25" s="770"/>
      <c r="Y25" s="3235"/>
      <c r="Z25" s="54">
        <f>Q25</f>
        <v>111</v>
      </c>
      <c r="AA25" s="1812">
        <f>D25/F25</f>
        <v>1</v>
      </c>
      <c r="AB25" s="1812">
        <f>D25/H25</f>
        <v>1</v>
      </c>
      <c r="AC25" s="1812">
        <f>D25/J25</f>
        <v>1</v>
      </c>
    </row>
    <row r="26" spans="1:29" ht="28.5">
      <c r="A26" s="650" t="s">
        <v>2561</v>
      </c>
      <c r="B26" s="69" t="s">
        <v>2710</v>
      </c>
      <c r="C26" s="2697">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59" t="s">
        <v>2563</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39" t="s">
        <v>2563</v>
      </c>
      <c r="Z26" s="1815" t="str">
        <f t="shared" ref="Z26:Z36" si="15">Q26</f>
        <v>配套类型</v>
      </c>
      <c r="AA26" s="1812">
        <f t="shared" si="3"/>
        <v>1</v>
      </c>
      <c r="AB26" s="1812">
        <f t="shared" si="4"/>
        <v>1</v>
      </c>
      <c r="AC26" s="1812">
        <f t="shared" si="5"/>
        <v>1</v>
      </c>
    </row>
    <row r="27" spans="1:29" s="469" customFormat="1" ht="15">
      <c r="A27" s="651"/>
      <c r="B27" s="652" t="s">
        <v>2711</v>
      </c>
      <c r="C27" s="653"/>
      <c r="D27" s="135">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39"/>
      <c r="Q27" s="774" t="str">
        <f t="shared" si="11"/>
        <v>项目停车位配比</v>
      </c>
      <c r="R27" s="775" t="s">
        <v>17</v>
      </c>
      <c r="S27" s="776">
        <f t="shared" si="12"/>
        <v>100</v>
      </c>
      <c r="T27" s="775" t="s">
        <v>17</v>
      </c>
      <c r="U27" s="776">
        <f t="shared" si="13"/>
        <v>100</v>
      </c>
      <c r="V27" s="775" t="s">
        <v>17</v>
      </c>
      <c r="W27" s="776">
        <f t="shared" si="14"/>
        <v>100</v>
      </c>
      <c r="X27" s="777"/>
      <c r="Y27" s="3239"/>
      <c r="Z27" s="778" t="str">
        <f t="shared" si="15"/>
        <v>项目停车位配比</v>
      </c>
      <c r="AA27" s="1812">
        <f t="shared" si="3"/>
        <v>1</v>
      </c>
      <c r="AB27" s="1812">
        <f t="shared" si="4"/>
        <v>1</v>
      </c>
      <c r="AC27" s="1812">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39"/>
      <c r="Q28" s="1811" t="str">
        <f t="shared" si="11"/>
        <v>公共部分装修</v>
      </c>
      <c r="R28" s="772" t="s">
        <v>17</v>
      </c>
      <c r="S28" s="773">
        <f t="shared" si="12"/>
        <v>100</v>
      </c>
      <c r="T28" s="772" t="s">
        <v>17</v>
      </c>
      <c r="U28" s="773">
        <f t="shared" si="13"/>
        <v>100</v>
      </c>
      <c r="V28" s="772" t="s">
        <v>17</v>
      </c>
      <c r="W28" s="773">
        <f t="shared" si="14"/>
        <v>100</v>
      </c>
      <c r="X28" s="1814"/>
      <c r="Y28" s="3239"/>
      <c r="Z28" s="1815" t="str">
        <f t="shared" si="15"/>
        <v>公共部分装修</v>
      </c>
      <c r="AA28" s="1812">
        <f t="shared" si="3"/>
        <v>1</v>
      </c>
      <c r="AB28" s="1812">
        <f t="shared" si="4"/>
        <v>1</v>
      </c>
      <c r="AC28" s="1812">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39"/>
      <c r="Q29" s="1811" t="str">
        <f t="shared" si="11"/>
        <v>成新率</v>
      </c>
      <c r="R29" s="772" t="s">
        <v>17</v>
      </c>
      <c r="S29" s="773" t="e">
        <f t="shared" si="12"/>
        <v>#N/A</v>
      </c>
      <c r="T29" s="772" t="s">
        <v>17</v>
      </c>
      <c r="U29" s="773" t="e">
        <f t="shared" si="13"/>
        <v>#N/A</v>
      </c>
      <c r="V29" s="772" t="s">
        <v>17</v>
      </c>
      <c r="W29" s="773" t="e">
        <f t="shared" si="14"/>
        <v>#N/A</v>
      </c>
      <c r="X29" s="1814"/>
      <c r="Y29" s="3239"/>
      <c r="Z29" s="1815" t="str">
        <f t="shared" si="15"/>
        <v>成新率</v>
      </c>
      <c r="AA29" s="1812" t="e">
        <f t="shared" si="3"/>
        <v>#N/A</v>
      </c>
      <c r="AB29" s="1812" t="e">
        <f t="shared" si="4"/>
        <v>#N/A</v>
      </c>
      <c r="AC29" s="1812"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39"/>
      <c r="Q30" s="1811" t="str">
        <f t="shared" si="11"/>
        <v>物业等级</v>
      </c>
      <c r="R30" s="772" t="s">
        <v>17</v>
      </c>
      <c r="S30" s="773">
        <f t="shared" si="12"/>
        <v>100</v>
      </c>
      <c r="T30" s="772" t="s">
        <v>17</v>
      </c>
      <c r="U30" s="773">
        <f t="shared" si="13"/>
        <v>100</v>
      </c>
      <c r="V30" s="772" t="s">
        <v>17</v>
      </c>
      <c r="W30" s="773">
        <f t="shared" si="14"/>
        <v>100</v>
      </c>
      <c r="X30" s="1814"/>
      <c r="Y30" s="3239"/>
      <c r="Z30" s="1815" t="str">
        <f t="shared" si="15"/>
        <v>物业等级</v>
      </c>
      <c r="AA30" s="1812">
        <f t="shared" si="3"/>
        <v>1</v>
      </c>
      <c r="AB30" s="1812">
        <f t="shared" si="4"/>
        <v>1</v>
      </c>
      <c r="AC30" s="1812">
        <f t="shared" si="5"/>
        <v>1</v>
      </c>
    </row>
    <row r="31" spans="1:29" s="116" customFormat="1" ht="15">
      <c r="A31" s="656"/>
      <c r="B31" s="652" t="s">
        <v>2715</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39"/>
      <c r="Q31" s="1796" t="str">
        <f t="shared" si="11"/>
        <v>停车位面积</v>
      </c>
      <c r="R31" s="768" t="s">
        <v>17</v>
      </c>
      <c r="S31" s="769" t="e">
        <f t="shared" si="12"/>
        <v>#N/A</v>
      </c>
      <c r="T31" s="768" t="s">
        <v>17</v>
      </c>
      <c r="U31" s="769" t="e">
        <f t="shared" si="13"/>
        <v>#N/A</v>
      </c>
      <c r="V31" s="768" t="s">
        <v>17</v>
      </c>
      <c r="W31" s="769" t="e">
        <f t="shared" si="14"/>
        <v>#N/A</v>
      </c>
      <c r="X31" s="770"/>
      <c r="Y31" s="3239"/>
      <c r="Z31" s="54" t="str">
        <f t="shared" si="15"/>
        <v>停车位面积</v>
      </c>
      <c r="AA31" s="771" t="e">
        <f t="shared" si="3"/>
        <v>#N/A</v>
      </c>
      <c r="AB31" s="771" t="e">
        <f t="shared" si="4"/>
        <v>#N/A</v>
      </c>
      <c r="AC31" s="771"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39" t="s">
        <v>2563</v>
      </c>
      <c r="Q32" s="1811" t="str">
        <f t="shared" si="11"/>
        <v>车位类型</v>
      </c>
      <c r="R32" s="772" t="s">
        <v>17</v>
      </c>
      <c r="S32" s="773">
        <f t="shared" si="12"/>
        <v>100</v>
      </c>
      <c r="T32" s="772" t="s">
        <v>17</v>
      </c>
      <c r="U32" s="773">
        <f t="shared" si="13"/>
        <v>100</v>
      </c>
      <c r="V32" s="772" t="s">
        <v>17</v>
      </c>
      <c r="W32" s="773">
        <f t="shared" si="14"/>
        <v>100</v>
      </c>
      <c r="X32" s="1814"/>
      <c r="Y32" s="3239" t="s">
        <v>2563</v>
      </c>
      <c r="Z32" s="1815" t="str">
        <f t="shared" si="15"/>
        <v>车位类型</v>
      </c>
      <c r="AA32" s="1812">
        <f t="shared" si="3"/>
        <v>1</v>
      </c>
      <c r="AB32" s="1812">
        <f t="shared" si="4"/>
        <v>1</v>
      </c>
      <c r="AC32" s="1812">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39"/>
      <c r="Q33" s="1811" t="str">
        <f t="shared" si="11"/>
        <v>是否直接入户</v>
      </c>
      <c r="R33" s="772" t="s">
        <v>17</v>
      </c>
      <c r="S33" s="773">
        <f t="shared" si="12"/>
        <v>100</v>
      </c>
      <c r="T33" s="772" t="s">
        <v>17</v>
      </c>
      <c r="U33" s="773">
        <f t="shared" si="13"/>
        <v>100</v>
      </c>
      <c r="V33" s="772" t="s">
        <v>17</v>
      </c>
      <c r="W33" s="773">
        <f t="shared" si="14"/>
        <v>100</v>
      </c>
      <c r="X33" s="1814"/>
      <c r="Y33" s="3239"/>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39"/>
      <c r="Q34" s="1811">
        <f t="shared" si="11"/>
        <v>111</v>
      </c>
      <c r="R34" s="772" t="s">
        <v>17</v>
      </c>
      <c r="S34" s="773">
        <f t="shared" si="12"/>
        <v>100</v>
      </c>
      <c r="T34" s="772" t="s">
        <v>17</v>
      </c>
      <c r="U34" s="773">
        <f t="shared" si="13"/>
        <v>100</v>
      </c>
      <c r="V34" s="772" t="s">
        <v>17</v>
      </c>
      <c r="W34" s="773">
        <f t="shared" si="14"/>
        <v>100</v>
      </c>
      <c r="X34" s="1814"/>
      <c r="Y34" s="3239"/>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39"/>
      <c r="Q35" s="774">
        <f t="shared" si="11"/>
        <v>111</v>
      </c>
      <c r="R35" s="775" t="s">
        <v>17</v>
      </c>
      <c r="S35" s="776">
        <f t="shared" si="12"/>
        <v>100</v>
      </c>
      <c r="T35" s="775" t="s">
        <v>17</v>
      </c>
      <c r="U35" s="776">
        <f t="shared" si="13"/>
        <v>100</v>
      </c>
      <c r="V35" s="775" t="s">
        <v>17</v>
      </c>
      <c r="W35" s="776">
        <f t="shared" si="14"/>
        <v>100</v>
      </c>
      <c r="X35" s="777"/>
      <c r="Y35" s="3239"/>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39"/>
      <c r="Q36" s="1811">
        <f t="shared" si="11"/>
        <v>111</v>
      </c>
      <c r="R36" s="772" t="s">
        <v>17</v>
      </c>
      <c r="S36" s="773">
        <f t="shared" si="12"/>
        <v>100</v>
      </c>
      <c r="T36" s="772" t="s">
        <v>17</v>
      </c>
      <c r="U36" s="773">
        <f t="shared" si="13"/>
        <v>100</v>
      </c>
      <c r="V36" s="772" t="s">
        <v>17</v>
      </c>
      <c r="W36" s="773">
        <f t="shared" si="14"/>
        <v>100</v>
      </c>
      <c r="X36" s="1814"/>
      <c r="Y36" s="3239"/>
      <c r="Z36" s="1815">
        <f t="shared" si="15"/>
        <v>111</v>
      </c>
      <c r="AA36" s="1812">
        <f t="shared" si="3"/>
        <v>1</v>
      </c>
      <c r="AB36" s="1812">
        <f t="shared" si="4"/>
        <v>1</v>
      </c>
      <c r="AC36" s="1812">
        <f t="shared" si="5"/>
        <v>1</v>
      </c>
    </row>
    <row r="37" spans="1:29" ht="15">
      <c r="A37" s="477" t="s">
        <v>2718</v>
      </c>
      <c r="B37" s="2698" t="s">
        <v>2719</v>
      </c>
      <c r="C37" s="1408" t="s">
        <v>1</v>
      </c>
      <c r="D37" s="1409"/>
      <c r="E37" s="1410"/>
      <c r="F37" s="1411"/>
      <c r="G37" s="1412"/>
      <c r="H37" s="1413"/>
      <c r="I37" s="1410"/>
      <c r="J37" s="1413"/>
      <c r="K37" s="617"/>
      <c r="L37" s="1144"/>
      <c r="M37" s="1145"/>
      <c r="N37" s="1132"/>
      <c r="O37" s="1145"/>
      <c r="P37" s="3232" t="str">
        <f>A37</f>
        <v>成交单价</v>
      </c>
      <c r="Q37" s="3232"/>
      <c r="R37" s="3233">
        <f>E37</f>
        <v>0</v>
      </c>
      <c r="S37" s="3233"/>
      <c r="T37" s="3233">
        <f>G37</f>
        <v>0</v>
      </c>
      <c r="U37" s="3233"/>
      <c r="V37" s="3233">
        <f>I37</f>
        <v>0</v>
      </c>
      <c r="W37" s="3233"/>
      <c r="X37" s="757"/>
      <c r="Y37" s="779"/>
      <c r="Z37" s="757"/>
      <c r="AA37" s="757"/>
      <c r="AB37" s="757"/>
      <c r="AC37" s="757"/>
    </row>
    <row r="38" spans="1:29" ht="15.75" thickBot="1">
      <c r="A38" s="484" t="s">
        <v>2720</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7"/>
      <c r="Y38" s="757"/>
      <c r="Z38" s="757"/>
      <c r="AA38" s="757"/>
      <c r="AB38" s="757"/>
      <c r="AC38" s="757"/>
    </row>
    <row r="39" spans="1:29" ht="15.75" thickBot="1">
      <c r="A39" s="490" t="s">
        <v>2721</v>
      </c>
      <c r="B39" s="491"/>
      <c r="C39" s="1418" t="e">
        <f>R39</f>
        <v>#DIV/0!</v>
      </c>
      <c r="D39" s="1418"/>
      <c r="E39" s="1418"/>
      <c r="F39" s="1418"/>
      <c r="G39" s="1418"/>
      <c r="H39" s="1418"/>
      <c r="I39" s="1418"/>
      <c r="J39" s="1418"/>
      <c r="K39" s="619"/>
      <c r="L39" s="1144"/>
      <c r="M39" s="1145"/>
      <c r="N39" s="1145"/>
      <c r="O39" s="1145"/>
      <c r="P39" s="3229" t="str">
        <f>A39</f>
        <v>估价对象XX用房的比较价值（楼面单价，元/平方米）</v>
      </c>
      <c r="Q39" s="3230"/>
      <c r="R39" s="3231" t="e">
        <f>IF(F1="售价",ROUND(AVERAGE(R38:V38),0),ROUND(AVERAGE(R38:V38),1))</f>
        <v>#DIV/0!</v>
      </c>
      <c r="S39" s="3231"/>
      <c r="T39" s="3231"/>
      <c r="U39" s="3231"/>
      <c r="V39" s="3231"/>
      <c r="W39" s="323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2726</v>
      </c>
      <c r="B48" s="504"/>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39"/>
      <c r="Q48" s="1440"/>
      <c r="R48" s="1440"/>
      <c r="S48" s="1440"/>
      <c r="T48" s="1440"/>
      <c r="U48" s="1440"/>
      <c r="V48" s="1440"/>
      <c r="W48" s="1440"/>
      <c r="X48" s="1440"/>
      <c r="Y48" s="1440"/>
      <c r="Z48" s="1440"/>
      <c r="AA48" s="1440"/>
      <c r="AB48" s="1440"/>
      <c r="AC48" s="1440"/>
    </row>
    <row r="49" spans="1:29" s="116"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6" customFormat="1" ht="15.75" thickBot="1">
      <c r="A50" s="513" t="s">
        <v>2583</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6" customFormat="1" ht="15">
      <c r="A51" s="519" t="s">
        <v>2548</v>
      </c>
      <c r="B51" s="508"/>
      <c r="C51" s="520" t="s">
        <v>2650</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6"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2586</v>
      </c>
      <c r="B53" s="526" t="s">
        <v>2552</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2555</v>
      </c>
      <c r="C55" s="537" t="s">
        <v>2587</v>
      </c>
      <c r="D55" s="537" t="s">
        <v>2588</v>
      </c>
      <c r="E55" s="537" t="s">
        <v>2589</v>
      </c>
      <c r="F55" s="537" t="s">
        <v>2590</v>
      </c>
      <c r="G55" s="537" t="s">
        <v>2591</v>
      </c>
      <c r="H55" s="537" t="s">
        <v>2592</v>
      </c>
      <c r="I55" s="537" t="s">
        <v>2593</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2601</v>
      </c>
      <c r="C65" s="576" t="s">
        <v>2595</v>
      </c>
      <c r="D65" s="576" t="s">
        <v>2596</v>
      </c>
      <c r="E65" s="576" t="s">
        <v>2597</v>
      </c>
      <c r="F65" s="576" t="s">
        <v>2598</v>
      </c>
      <c r="G65" s="576" t="s">
        <v>2599</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2687</v>
      </c>
      <c r="C67" s="658" t="s">
        <v>2673</v>
      </c>
      <c r="D67" s="658" t="s">
        <v>2674</v>
      </c>
      <c r="E67" s="658" t="s">
        <v>2675</v>
      </c>
      <c r="F67" s="658" t="s">
        <v>2676</v>
      </c>
      <c r="G67" s="658" t="s">
        <v>2677</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2607</v>
      </c>
      <c r="C69" s="576" t="s">
        <v>2595</v>
      </c>
      <c r="D69" s="576" t="s">
        <v>2596</v>
      </c>
      <c r="E69" s="576" t="s">
        <v>2597</v>
      </c>
      <c r="F69" s="576" t="s">
        <v>2598</v>
      </c>
      <c r="G69" s="576" t="s">
        <v>2599</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2727</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6"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6"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6"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6"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2561</v>
      </c>
      <c r="B79" s="526" t="s">
        <v>2728</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2729</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2614</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2731</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2733</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2734</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2705</v>
      </c>
      <c r="B1" s="1620"/>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89"/>
      <c r="D2" s="1125" t="e">
        <f ca="1">SUMIF(INDIRECT("'"&amp;F2&amp;"'"&amp;"!A:A"),"承租人权益价值",INDIRECT("'"&amp;F2&amp;"'"&amp;"!c:c"))</f>
        <v>#REF!</v>
      </c>
      <c r="E2" s="2590" t="s">
        <v>2329</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7" t="e">
        <f ca="1">IF(C2="——",C37,ROUND(B2*10000/D3,0))</f>
        <v>#DIV/0!</v>
      </c>
      <c r="C3" s="399" t="s">
        <v>2642</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02" t="s">
        <v>2645</v>
      </c>
      <c r="S4" s="3203"/>
      <c r="T4" s="3202" t="s">
        <v>2646</v>
      </c>
      <c r="U4" s="3203"/>
      <c r="V4" s="3227" t="s">
        <v>2647</v>
      </c>
      <c r="W4" s="3227"/>
      <c r="X4" s="1814"/>
      <c r="Y4" s="3202" t="s">
        <v>2649</v>
      </c>
      <c r="Z4" s="3203"/>
      <c r="AA4" s="3197" t="s">
        <v>2645</v>
      </c>
      <c r="AB4" s="3198" t="s">
        <v>2646</v>
      </c>
      <c r="AC4" s="3197" t="s">
        <v>2647</v>
      </c>
    </row>
    <row r="5" spans="1:29" ht="15">
      <c r="A5" s="403"/>
      <c r="B5" s="404"/>
      <c r="C5" s="3208" t="s">
        <v>2540</v>
      </c>
      <c r="D5" s="3209"/>
      <c r="E5" s="3206" t="s">
        <v>2541</v>
      </c>
      <c r="F5" s="3207"/>
      <c r="G5" s="3208" t="s">
        <v>2542</v>
      </c>
      <c r="H5" s="3209"/>
      <c r="I5" s="3208" t="s">
        <v>2543</v>
      </c>
      <c r="J5" s="3209"/>
      <c r="K5" s="608"/>
      <c r="L5" s="1131"/>
      <c r="M5" s="1132"/>
      <c r="N5" s="1132"/>
      <c r="O5" s="1132"/>
      <c r="P5" s="3221"/>
      <c r="Q5" s="3222"/>
      <c r="R5" s="3204"/>
      <c r="S5" s="3205"/>
      <c r="T5" s="3204"/>
      <c r="U5" s="3205"/>
      <c r="V5" s="3227"/>
      <c r="W5" s="3227"/>
      <c r="X5" s="1814"/>
      <c r="Y5" s="3204"/>
      <c r="Z5" s="3205"/>
      <c r="AA5" s="3198"/>
      <c r="AB5" s="3198"/>
      <c r="AC5" s="3198"/>
    </row>
    <row r="6" spans="1:29" ht="15.75" thickBot="1">
      <c r="A6" s="405"/>
      <c r="B6" s="406"/>
      <c r="C6" s="3210" t="s">
        <v>2544</v>
      </c>
      <c r="D6" s="3211"/>
      <c r="E6" s="3212" t="s">
        <v>2544</v>
      </c>
      <c r="F6" s="3213"/>
      <c r="G6" s="3210" t="s">
        <v>2544</v>
      </c>
      <c r="H6" s="3211"/>
      <c r="I6" s="3210" t="s">
        <v>2544</v>
      </c>
      <c r="J6" s="3211"/>
      <c r="K6" s="608" t="s">
        <v>2545</v>
      </c>
      <c r="L6" s="1131"/>
      <c r="M6" s="1132"/>
      <c r="N6" s="1132"/>
      <c r="O6" s="1132"/>
      <c r="P6" s="3223"/>
      <c r="Q6" s="3224"/>
      <c r="R6" s="3204"/>
      <c r="S6" s="3205"/>
      <c r="T6" s="3225"/>
      <c r="U6" s="3226"/>
      <c r="V6" s="3227"/>
      <c r="W6" s="3227"/>
      <c r="X6" s="1814"/>
      <c r="Y6" s="3225"/>
      <c r="Z6" s="3226"/>
      <c r="AA6" s="3199"/>
      <c r="AB6" s="3199"/>
      <c r="AC6" s="3199"/>
    </row>
    <row r="7" spans="1:29" s="116" customFormat="1" ht="15.75" thickBot="1">
      <c r="A7" s="407" t="s">
        <v>2546</v>
      </c>
      <c r="B7" s="408"/>
      <c r="C7" s="409">
        <f>'数据-取费表'!B2</f>
        <v>43546</v>
      </c>
      <c r="D7" s="410">
        <v>100</v>
      </c>
      <c r="E7" s="411"/>
      <c r="F7" s="412">
        <f>SUMIF(46:46,YEAR(E7)&amp;"-"&amp;MONTH(E7),47:47)</f>
        <v>0</v>
      </c>
      <c r="G7" s="2699"/>
      <c r="H7" s="410">
        <f>SUMIF(46:46,YEAR(G7)&amp;"-"&amp;MONTH(G7),47:47)</f>
        <v>0</v>
      </c>
      <c r="I7" s="411"/>
      <c r="J7" s="410">
        <f>SUMIF(46:46,YEAR(I7)&amp;"-"&amp;MONTH(I7),47:47)</f>
        <v>0</v>
      </c>
      <c r="K7" s="609"/>
      <c r="L7" s="1133"/>
      <c r="M7" s="1134"/>
      <c r="N7" s="1134"/>
      <c r="O7" s="1134"/>
      <c r="P7" s="3200" t="s">
        <v>2547</v>
      </c>
      <c r="Q7" s="3228"/>
      <c r="R7" s="768" t="s">
        <v>17</v>
      </c>
      <c r="S7" s="769">
        <f t="shared" ref="S7:S14" si="0">F7</f>
        <v>0</v>
      </c>
      <c r="T7" s="768" t="s">
        <v>17</v>
      </c>
      <c r="U7" s="769">
        <f t="shared" ref="U7:U14" si="1">H7</f>
        <v>0</v>
      </c>
      <c r="V7" s="768" t="s">
        <v>17</v>
      </c>
      <c r="W7" s="769">
        <f t="shared" ref="W7:W14" si="2">J7</f>
        <v>0</v>
      </c>
      <c r="X7" s="770"/>
      <c r="Y7" s="3200" t="s">
        <v>2547</v>
      </c>
      <c r="Z7" s="3201"/>
      <c r="AA7" s="771" t="e">
        <f>D7/F7</f>
        <v>#DIV/0!</v>
      </c>
      <c r="AB7" s="771" t="e">
        <f>D7/H7</f>
        <v>#DIV/0!</v>
      </c>
      <c r="AC7" s="771"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09"/>
      <c r="L8" s="1133"/>
      <c r="M8" s="1134"/>
      <c r="N8" s="1134"/>
      <c r="O8" s="1134"/>
      <c r="P8" s="3200" t="s">
        <v>2550</v>
      </c>
      <c r="Q8" s="3201"/>
      <c r="R8" s="768" t="s">
        <v>17</v>
      </c>
      <c r="S8" s="769">
        <f t="shared" si="0"/>
        <v>0</v>
      </c>
      <c r="T8" s="768" t="s">
        <v>17</v>
      </c>
      <c r="U8" s="769">
        <f t="shared" si="1"/>
        <v>0</v>
      </c>
      <c r="V8" s="768" t="s">
        <v>17</v>
      </c>
      <c r="W8" s="769">
        <f t="shared" si="2"/>
        <v>0</v>
      </c>
      <c r="X8" s="770"/>
      <c r="Y8" s="3200" t="s">
        <v>2550</v>
      </c>
      <c r="Z8" s="3201"/>
      <c r="AA8" s="771" t="e">
        <f t="shared" ref="AA8:AA34" si="3">D8/F8</f>
        <v>#DIV/0!</v>
      </c>
      <c r="AB8" s="771" t="e">
        <f t="shared" ref="AB8:AB34" si="4">D8/H8</f>
        <v>#DIV/0!</v>
      </c>
      <c r="AC8" s="771"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09"/>
      <c r="L9" s="1133"/>
      <c r="M9" s="1134"/>
      <c r="N9" s="1134"/>
      <c r="O9" s="1135"/>
      <c r="P9" s="3232" t="s">
        <v>2553</v>
      </c>
      <c r="Q9" s="1796" t="str">
        <f t="shared" ref="Q9:Q14" si="6">B9</f>
        <v>用途</v>
      </c>
      <c r="R9" s="768" t="s">
        <v>17</v>
      </c>
      <c r="S9" s="769">
        <f t="shared" si="0"/>
        <v>100</v>
      </c>
      <c r="T9" s="768" t="s">
        <v>17</v>
      </c>
      <c r="U9" s="769">
        <f t="shared" si="1"/>
        <v>100</v>
      </c>
      <c r="V9" s="768" t="s">
        <v>17</v>
      </c>
      <c r="W9" s="769">
        <f t="shared" si="2"/>
        <v>100</v>
      </c>
      <c r="X9" s="770"/>
      <c r="Y9" s="3047" t="s">
        <v>2554</v>
      </c>
      <c r="Z9" s="54" t="str">
        <f t="shared" ref="Z9:Z14" si="7">Q9</f>
        <v>用途</v>
      </c>
      <c r="AA9" s="771">
        <f t="shared" si="3"/>
        <v>1</v>
      </c>
      <c r="AB9" s="771">
        <f t="shared" si="4"/>
        <v>1</v>
      </c>
      <c r="AC9" s="771">
        <f t="shared" si="5"/>
        <v>1</v>
      </c>
    </row>
    <row r="10" spans="1:29" s="425" customFormat="1" ht="27">
      <c r="A10" s="419"/>
      <c r="B10" s="420" t="s">
        <v>2555</v>
      </c>
      <c r="C10" s="421"/>
      <c r="D10" s="135">
        <v>100</v>
      </c>
      <c r="E10" s="421"/>
      <c r="F10" s="423">
        <f>SUMIF(53:53,E10,54:54)-SUMIF(53:53,C10,54:54)+100</f>
        <v>100</v>
      </c>
      <c r="G10" s="421"/>
      <c r="H10" s="135">
        <f>SUMIF(53:53,G10,54:54)-SUMIF(53:53,C10,54:54)+100</f>
        <v>100</v>
      </c>
      <c r="I10" s="421"/>
      <c r="J10" s="135">
        <f>SUMIF(53:53,I10,54:54)-SUMIF(53:53,C10,54:54)+100</f>
        <v>100</v>
      </c>
      <c r="K10" s="610"/>
      <c r="L10" s="1136"/>
      <c r="M10" s="1137"/>
      <c r="N10" s="1137"/>
      <c r="O10" s="1138"/>
      <c r="P10" s="3232"/>
      <c r="Q10" s="1796" t="str">
        <f t="shared" si="6"/>
        <v>土地使用年限（年）</v>
      </c>
      <c r="R10" s="768" t="s">
        <v>17</v>
      </c>
      <c r="S10" s="769">
        <f t="shared" si="0"/>
        <v>100</v>
      </c>
      <c r="T10" s="768" t="s">
        <v>17</v>
      </c>
      <c r="U10" s="769">
        <f t="shared" si="1"/>
        <v>100</v>
      </c>
      <c r="V10" s="768" t="s">
        <v>17</v>
      </c>
      <c r="W10" s="769">
        <f t="shared" si="2"/>
        <v>100</v>
      </c>
      <c r="X10" s="770"/>
      <c r="Y10" s="3047"/>
      <c r="Z10" s="54" t="str">
        <f t="shared" si="7"/>
        <v>土地使用年限（年）</v>
      </c>
      <c r="AA10" s="771">
        <f t="shared" si="3"/>
        <v>1</v>
      </c>
      <c r="AB10" s="771">
        <f t="shared" si="4"/>
        <v>1</v>
      </c>
      <c r="AC10" s="771">
        <f t="shared" si="5"/>
        <v>1</v>
      </c>
    </row>
    <row r="11" spans="1:29" ht="15">
      <c r="A11" s="426"/>
      <c r="B11" s="2603">
        <v>111</v>
      </c>
      <c r="C11" s="430"/>
      <c r="D11" s="135">
        <v>100</v>
      </c>
      <c r="E11" s="467"/>
      <c r="F11" s="423">
        <f>SUMIF(55:55,E11,56:56)-SUMIF(55:55,C11,56:56)+100</f>
        <v>100</v>
      </c>
      <c r="G11" s="467"/>
      <c r="H11" s="135">
        <f>SUMIF(55:55,G11,56:56)-SUMIF(55:55,C11,56:56)+100</f>
        <v>100</v>
      </c>
      <c r="I11" s="467"/>
      <c r="J11" s="135">
        <f>SUMIF(55:55,I11,56:56)-SUMIF(55:55,C11,56:56)+100</f>
        <v>100</v>
      </c>
      <c r="K11" s="611"/>
      <c r="L11" s="1139"/>
      <c r="M11" s="1132"/>
      <c r="N11" s="1132"/>
      <c r="O11" s="1140"/>
      <c r="P11" s="3232"/>
      <c r="Q11" s="1796">
        <f t="shared" si="6"/>
        <v>111</v>
      </c>
      <c r="R11" s="768" t="s">
        <v>17</v>
      </c>
      <c r="S11" s="769">
        <f t="shared" si="0"/>
        <v>100</v>
      </c>
      <c r="T11" s="768" t="s">
        <v>17</v>
      </c>
      <c r="U11" s="769">
        <f t="shared" si="1"/>
        <v>100</v>
      </c>
      <c r="V11" s="768" t="s">
        <v>17</v>
      </c>
      <c r="W11" s="769">
        <f t="shared" si="2"/>
        <v>100</v>
      </c>
      <c r="X11" s="770"/>
      <c r="Y11" s="3047"/>
      <c r="Z11" s="54">
        <f t="shared" si="7"/>
        <v>111</v>
      </c>
      <c r="AA11" s="771">
        <f t="shared" si="3"/>
        <v>1</v>
      </c>
      <c r="AB11" s="771">
        <f t="shared" si="4"/>
        <v>1</v>
      </c>
      <c r="AC11" s="771">
        <f t="shared" si="5"/>
        <v>1</v>
      </c>
    </row>
    <row r="12" spans="1:29" s="116" customFormat="1" ht="15">
      <c r="A12" s="429"/>
      <c r="B12" s="2603">
        <v>111</v>
      </c>
      <c r="C12" s="430"/>
      <c r="D12" s="431">
        <v>100</v>
      </c>
      <c r="E12" s="467"/>
      <c r="F12" s="423">
        <f>SUMIF(57:57,E12,58:58)-SUMIF(57:57,C12,58:58)+100</f>
        <v>100</v>
      </c>
      <c r="G12" s="467"/>
      <c r="H12" s="135">
        <f>SUMIF(57:57,G12,58:58)-SUMIF(57:57,C12,58:58)+100</f>
        <v>100</v>
      </c>
      <c r="I12" s="467"/>
      <c r="J12" s="135">
        <f>SUMIF(57:57,I12,58:58)-SUMIF(57:57,C12,58:58)+100</f>
        <v>100</v>
      </c>
      <c r="K12" s="611"/>
      <c r="L12" s="1133"/>
      <c r="M12" s="1134"/>
      <c r="N12" s="1134"/>
      <c r="O12" s="1135"/>
      <c r="P12" s="3232"/>
      <c r="Q12" s="1796">
        <f t="shared" si="6"/>
        <v>111</v>
      </c>
      <c r="R12" s="768" t="s">
        <v>17</v>
      </c>
      <c r="S12" s="769">
        <f t="shared" si="0"/>
        <v>100</v>
      </c>
      <c r="T12" s="768" t="s">
        <v>17</v>
      </c>
      <c r="U12" s="769">
        <f t="shared" si="1"/>
        <v>100</v>
      </c>
      <c r="V12" s="768" t="s">
        <v>17</v>
      </c>
      <c r="W12" s="769">
        <f t="shared" si="2"/>
        <v>100</v>
      </c>
      <c r="X12" s="770"/>
      <c r="Y12" s="3047"/>
      <c r="Z12" s="54">
        <f t="shared" si="7"/>
        <v>111</v>
      </c>
      <c r="AA12" s="771">
        <f>D12/F12</f>
        <v>1</v>
      </c>
      <c r="AB12" s="771">
        <f>D12/H12</f>
        <v>1</v>
      </c>
      <c r="AC12" s="771">
        <f>D12/J12</f>
        <v>1</v>
      </c>
    </row>
    <row r="13" spans="1:29" ht="15.75" thickBot="1">
      <c r="A13" s="426"/>
      <c r="B13" s="2603">
        <v>111</v>
      </c>
      <c r="C13" s="432"/>
      <c r="D13" s="433">
        <v>100</v>
      </c>
      <c r="E13" s="467"/>
      <c r="F13" s="423">
        <f>SUMIF(59:59,E13,60:60)-SUMIF(59:59,C13,60:60)+100</f>
        <v>100</v>
      </c>
      <c r="G13" s="2700"/>
      <c r="H13" s="436">
        <f>SUMIF(59:59,G13,60:60)-SUMIF(59:59,C13,60:60)+100</f>
        <v>100</v>
      </c>
      <c r="I13" s="467"/>
      <c r="J13" s="433">
        <f>SUMIF(59:59,I13,60:60)-SUMIF(59:59,C13,60:60)+100</f>
        <v>100</v>
      </c>
      <c r="K13" s="611"/>
      <c r="L13" s="1141"/>
      <c r="M13" s="1132"/>
      <c r="N13" s="1132"/>
      <c r="O13" s="1140"/>
      <c r="P13" s="3232"/>
      <c r="Q13" s="1796">
        <f t="shared" si="6"/>
        <v>111</v>
      </c>
      <c r="R13" s="768" t="s">
        <v>17</v>
      </c>
      <c r="S13" s="769">
        <f t="shared" si="0"/>
        <v>100</v>
      </c>
      <c r="T13" s="768" t="s">
        <v>17</v>
      </c>
      <c r="U13" s="769">
        <f t="shared" si="1"/>
        <v>100</v>
      </c>
      <c r="V13" s="768" t="s">
        <v>17</v>
      </c>
      <c r="W13" s="769">
        <f t="shared" si="2"/>
        <v>100</v>
      </c>
      <c r="X13" s="770"/>
      <c r="Y13" s="3047"/>
      <c r="Z13" s="54">
        <f t="shared" si="7"/>
        <v>111</v>
      </c>
      <c r="AA13" s="771">
        <f t="shared" si="3"/>
        <v>1</v>
      </c>
      <c r="AB13" s="771">
        <f t="shared" si="4"/>
        <v>1</v>
      </c>
      <c r="AC13" s="771">
        <f t="shared" si="5"/>
        <v>1</v>
      </c>
    </row>
    <row r="14" spans="1:29" ht="85.5">
      <c r="A14" s="438" t="s">
        <v>2557</v>
      </c>
      <c r="B14" s="68" t="s">
        <v>2707</v>
      </c>
      <c r="C14" s="269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34" t="s">
        <v>2558</v>
      </c>
      <c r="Q14" s="1811" t="str">
        <f t="shared" si="6"/>
        <v>交通便捷度</v>
      </c>
      <c r="R14" s="772" t="s">
        <v>17</v>
      </c>
      <c r="S14" s="773">
        <f t="shared" si="0"/>
        <v>100</v>
      </c>
      <c r="T14" s="772" t="s">
        <v>17</v>
      </c>
      <c r="U14" s="773">
        <f t="shared" si="1"/>
        <v>100</v>
      </c>
      <c r="V14" s="772" t="s">
        <v>17</v>
      </c>
      <c r="W14" s="773">
        <f t="shared" si="2"/>
        <v>100</v>
      </c>
      <c r="X14" s="1814"/>
      <c r="Y14" s="3234" t="s">
        <v>2558</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35"/>
      <c r="Q15" s="1811"/>
      <c r="R15" s="772"/>
      <c r="S15" s="773"/>
      <c r="T15" s="772"/>
      <c r="U15" s="773"/>
      <c r="V15" s="772"/>
      <c r="W15" s="773"/>
      <c r="X15" s="1814"/>
      <c r="Y15" s="3235"/>
      <c r="Z15" s="1815"/>
      <c r="AA15" s="1812">
        <v>1</v>
      </c>
      <c r="AB15" s="1812">
        <v>1</v>
      </c>
      <c r="AC15" s="1812">
        <v>1</v>
      </c>
    </row>
    <row r="16" spans="1:29" ht="42.75">
      <c r="A16" s="426"/>
      <c r="B16" s="449" t="s">
        <v>2686</v>
      </c>
      <c r="C16" s="261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35"/>
      <c r="Q16" s="1811" t="str">
        <f>B16</f>
        <v>公共配套设施</v>
      </c>
      <c r="R16" s="772" t="s">
        <v>17</v>
      </c>
      <c r="S16" s="773">
        <f>F16</f>
        <v>100</v>
      </c>
      <c r="T16" s="772" t="s">
        <v>17</v>
      </c>
      <c r="U16" s="773">
        <f>H16</f>
        <v>100</v>
      </c>
      <c r="V16" s="772" t="s">
        <v>17</v>
      </c>
      <c r="W16" s="773">
        <f>J16</f>
        <v>100</v>
      </c>
      <c r="X16" s="1814"/>
      <c r="Y16" s="3235"/>
      <c r="Z16" s="1815" t="str">
        <f>Q16</f>
        <v>公共配套设施</v>
      </c>
      <c r="AA16" s="1812">
        <f t="shared" si="3"/>
        <v>1</v>
      </c>
      <c r="AB16" s="1812">
        <f t="shared" si="4"/>
        <v>1</v>
      </c>
      <c r="AC16" s="1812">
        <f t="shared" si="5"/>
        <v>1</v>
      </c>
    </row>
    <row r="17" spans="1:29" ht="15">
      <c r="A17" s="426"/>
      <c r="B17" s="454"/>
      <c r="C17" s="2611"/>
      <c r="D17" s="446"/>
      <c r="E17" s="445"/>
      <c r="F17" s="447"/>
      <c r="G17" s="445"/>
      <c r="H17" s="446"/>
      <c r="I17" s="445"/>
      <c r="J17" s="446"/>
      <c r="K17" s="613"/>
      <c r="L17" s="1141"/>
      <c r="M17" s="1132"/>
      <c r="N17" s="1132"/>
      <c r="O17" s="1140"/>
      <c r="P17" s="3235"/>
      <c r="Q17" s="1811"/>
      <c r="R17" s="772"/>
      <c r="S17" s="773"/>
      <c r="T17" s="772"/>
      <c r="U17" s="773"/>
      <c r="V17" s="772"/>
      <c r="W17" s="773"/>
      <c r="X17" s="1814"/>
      <c r="Y17" s="3235"/>
      <c r="Z17" s="1815"/>
      <c r="AA17" s="1812">
        <v>1</v>
      </c>
      <c r="AB17" s="1812">
        <v>1</v>
      </c>
      <c r="AC17" s="1812">
        <v>1</v>
      </c>
    </row>
    <row r="18" spans="1:29" ht="28.5">
      <c r="A18" s="426"/>
      <c r="B18" s="1385" t="s">
        <v>2687</v>
      </c>
      <c r="C18" s="261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35"/>
      <c r="Q18" s="1811" t="str">
        <f>B18</f>
        <v>基础设施水平</v>
      </c>
      <c r="R18" s="772" t="s">
        <v>17</v>
      </c>
      <c r="S18" s="773">
        <f>F18</f>
        <v>100</v>
      </c>
      <c r="T18" s="772" t="s">
        <v>17</v>
      </c>
      <c r="U18" s="773">
        <f>H18</f>
        <v>100</v>
      </c>
      <c r="V18" s="772" t="s">
        <v>17</v>
      </c>
      <c r="W18" s="773">
        <f>J18</f>
        <v>100</v>
      </c>
      <c r="X18" s="1814"/>
      <c r="Y18" s="3235"/>
      <c r="Z18" s="1815" t="str">
        <f>Q18</f>
        <v>基础设施水平</v>
      </c>
      <c r="AA18" s="1812">
        <f t="shared" ref="AA18" si="8">D18/F18</f>
        <v>1</v>
      </c>
      <c r="AB18" s="1812">
        <f t="shared" ref="AB18" si="9">D18/H18</f>
        <v>1</v>
      </c>
      <c r="AC18" s="1812">
        <f t="shared" ref="AC18" si="10">D18/J18</f>
        <v>1</v>
      </c>
    </row>
    <row r="19" spans="1:29" ht="15">
      <c r="A19" s="426"/>
      <c r="B19" s="1385"/>
      <c r="C19" s="2611"/>
      <c r="D19" s="448"/>
      <c r="E19" s="2611"/>
      <c r="F19" s="451"/>
      <c r="G19" s="2611"/>
      <c r="H19" s="446"/>
      <c r="I19" s="445"/>
      <c r="J19" s="446"/>
      <c r="K19" s="1384"/>
      <c r="L19" s="1141"/>
      <c r="M19" s="1132"/>
      <c r="N19" s="1132"/>
      <c r="O19" s="1140"/>
      <c r="P19" s="3235"/>
      <c r="Q19" s="1811"/>
      <c r="R19" s="772"/>
      <c r="S19" s="773"/>
      <c r="T19" s="772"/>
      <c r="U19" s="773"/>
      <c r="V19" s="772"/>
      <c r="W19" s="773"/>
      <c r="X19" s="1814"/>
      <c r="Y19" s="3235"/>
      <c r="Z19" s="1815"/>
      <c r="AA19" s="1812">
        <v>1</v>
      </c>
      <c r="AB19" s="1812">
        <v>1</v>
      </c>
      <c r="AC19" s="1812">
        <v>1</v>
      </c>
    </row>
    <row r="20" spans="1:29" ht="57">
      <c r="A20" s="426"/>
      <c r="B20" s="449" t="s">
        <v>2708</v>
      </c>
      <c r="C20" s="261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35"/>
      <c r="Q20" s="1811" t="str">
        <f>B20</f>
        <v>自然及人文环境</v>
      </c>
      <c r="R20" s="772" t="s">
        <v>17</v>
      </c>
      <c r="S20" s="773">
        <f>F20</f>
        <v>100</v>
      </c>
      <c r="T20" s="772" t="s">
        <v>17</v>
      </c>
      <c r="U20" s="773">
        <f>H20</f>
        <v>100</v>
      </c>
      <c r="V20" s="772" t="s">
        <v>17</v>
      </c>
      <c r="W20" s="773">
        <f>J20</f>
        <v>100</v>
      </c>
      <c r="X20" s="1814"/>
      <c r="Y20" s="3235"/>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35"/>
      <c r="Q21" s="1811"/>
      <c r="R21" s="772"/>
      <c r="S21" s="773"/>
      <c r="T21" s="772"/>
      <c r="U21" s="773"/>
      <c r="V21" s="772"/>
      <c r="W21" s="773"/>
      <c r="X21" s="1814"/>
      <c r="Y21" s="3235"/>
      <c r="Z21" s="1815"/>
      <c r="AA21" s="1812">
        <v>1</v>
      </c>
      <c r="AB21" s="1812">
        <v>1</v>
      </c>
      <c r="AC21" s="1812">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35"/>
      <c r="Q22" s="1811" t="str">
        <f>B22</f>
        <v>楼层</v>
      </c>
      <c r="R22" s="772" t="s">
        <v>17</v>
      </c>
      <c r="S22" s="773">
        <f>F22</f>
        <v>100</v>
      </c>
      <c r="T22" s="772" t="s">
        <v>17</v>
      </c>
      <c r="U22" s="773">
        <f>H22</f>
        <v>100</v>
      </c>
      <c r="V22" s="772" t="s">
        <v>17</v>
      </c>
      <c r="W22" s="773">
        <f>J22</f>
        <v>100</v>
      </c>
      <c r="X22" s="1814"/>
      <c r="Y22" s="3235"/>
      <c r="Z22" s="1815" t="str">
        <f>Q22</f>
        <v>楼层</v>
      </c>
      <c r="AA22" s="1812">
        <f t="shared" si="3"/>
        <v>1</v>
      </c>
      <c r="AB22" s="1812">
        <f t="shared" si="4"/>
        <v>1</v>
      </c>
      <c r="AC22" s="1812">
        <f t="shared" si="5"/>
        <v>1</v>
      </c>
    </row>
    <row r="23" spans="1:29" ht="15">
      <c r="A23" s="403"/>
      <c r="B23" s="2603">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35"/>
      <c r="Q23" s="1811">
        <f>B23</f>
        <v>111</v>
      </c>
      <c r="R23" s="772" t="s">
        <v>17</v>
      </c>
      <c r="S23" s="773">
        <f>F23</f>
        <v>100</v>
      </c>
      <c r="T23" s="772" t="s">
        <v>17</v>
      </c>
      <c r="U23" s="773">
        <f>H23</f>
        <v>100</v>
      </c>
      <c r="V23" s="772" t="s">
        <v>17</v>
      </c>
      <c r="W23" s="773">
        <f>J23</f>
        <v>100</v>
      </c>
      <c r="X23" s="1814"/>
      <c r="Y23" s="3235"/>
      <c r="Z23" s="1815">
        <f>Q23</f>
        <v>111</v>
      </c>
      <c r="AA23" s="1812">
        <f t="shared" si="3"/>
        <v>1</v>
      </c>
      <c r="AB23" s="1812">
        <f t="shared" si="4"/>
        <v>1</v>
      </c>
      <c r="AC23" s="1812">
        <f t="shared" si="5"/>
        <v>1</v>
      </c>
    </row>
    <row r="24" spans="1:29" ht="15">
      <c r="A24" s="426"/>
      <c r="B24" s="2603">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35"/>
      <c r="Q24" s="1811">
        <f t="shared" ref="Q24:Q34" si="11">B24</f>
        <v>111</v>
      </c>
      <c r="R24" s="772" t="s">
        <v>17</v>
      </c>
      <c r="S24" s="773">
        <f>F24</f>
        <v>100</v>
      </c>
      <c r="T24" s="772" t="s">
        <v>17</v>
      </c>
      <c r="U24" s="773">
        <f>H24</f>
        <v>100</v>
      </c>
      <c r="V24" s="772" t="s">
        <v>17</v>
      </c>
      <c r="W24" s="773">
        <f>J24</f>
        <v>100</v>
      </c>
      <c r="X24" s="1814"/>
      <c r="Y24" s="3235"/>
      <c r="Z24" s="1815">
        <f>Q24</f>
        <v>111</v>
      </c>
      <c r="AA24" s="1812">
        <f t="shared" si="3"/>
        <v>1</v>
      </c>
      <c r="AB24" s="1812">
        <f t="shared" si="4"/>
        <v>1</v>
      </c>
      <c r="AC24" s="1812">
        <f t="shared" si="5"/>
        <v>1</v>
      </c>
    </row>
    <row r="25" spans="1:29" s="116" customFormat="1" ht="15.75" thickBot="1">
      <c r="A25" s="429"/>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235"/>
      <c r="Q25" s="1796">
        <f t="shared" si="11"/>
        <v>111</v>
      </c>
      <c r="R25" s="768" t="s">
        <v>17</v>
      </c>
      <c r="S25" s="769">
        <f>F25</f>
        <v>100</v>
      </c>
      <c r="T25" s="768" t="s">
        <v>17</v>
      </c>
      <c r="U25" s="769">
        <f>H25</f>
        <v>100</v>
      </c>
      <c r="V25" s="768" t="s">
        <v>17</v>
      </c>
      <c r="W25" s="769">
        <f>J25</f>
        <v>100</v>
      </c>
      <c r="X25" s="770"/>
      <c r="Y25" s="3235"/>
      <c r="Z25" s="54">
        <f>Q25</f>
        <v>111</v>
      </c>
      <c r="AA25" s="1812">
        <f>D25/F25</f>
        <v>1</v>
      </c>
      <c r="AB25" s="1812">
        <f>D25/H25</f>
        <v>1</v>
      </c>
      <c r="AC25" s="1812">
        <f>D25/J25</f>
        <v>1</v>
      </c>
    </row>
    <row r="26" spans="1:29" ht="28.5">
      <c r="A26" s="464" t="s">
        <v>2561</v>
      </c>
      <c r="B26" s="70" t="s">
        <v>2712</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259" t="s">
        <v>2563</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39" t="s">
        <v>2563</v>
      </c>
      <c r="Z26" s="1815" t="str">
        <f t="shared" ref="Z26:Z34" si="15">Q26</f>
        <v>公共部分装修</v>
      </c>
      <c r="AA26" s="1812">
        <f t="shared" si="3"/>
        <v>1</v>
      </c>
      <c r="AB26" s="1812">
        <f t="shared" si="4"/>
        <v>1</v>
      </c>
      <c r="AC26" s="1812">
        <f t="shared" si="5"/>
        <v>1</v>
      </c>
    </row>
    <row r="27" spans="1:29" s="469" customFormat="1" ht="15">
      <c r="A27" s="466"/>
      <c r="B27" s="420" t="s">
        <v>2713</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39"/>
      <c r="Q27" s="774" t="str">
        <f t="shared" si="11"/>
        <v>成新率</v>
      </c>
      <c r="R27" s="775" t="s">
        <v>17</v>
      </c>
      <c r="S27" s="776" t="e">
        <f t="shared" si="12"/>
        <v>#N/A</v>
      </c>
      <c r="T27" s="775" t="s">
        <v>17</v>
      </c>
      <c r="U27" s="776" t="e">
        <f t="shared" si="13"/>
        <v>#N/A</v>
      </c>
      <c r="V27" s="775" t="s">
        <v>17</v>
      </c>
      <c r="W27" s="776" t="e">
        <f t="shared" si="14"/>
        <v>#N/A</v>
      </c>
      <c r="X27" s="777"/>
      <c r="Y27" s="3239"/>
      <c r="Z27" s="778" t="str">
        <f t="shared" si="15"/>
        <v>成新率</v>
      </c>
      <c r="AA27" s="1812" t="e">
        <f t="shared" si="3"/>
        <v>#N/A</v>
      </c>
      <c r="AB27" s="1812" t="e">
        <f t="shared" si="4"/>
        <v>#N/A</v>
      </c>
      <c r="AC27" s="1812"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39"/>
      <c r="Q28" s="1811" t="str">
        <f t="shared" si="11"/>
        <v>物业等级</v>
      </c>
      <c r="R28" s="772" t="s">
        <v>17</v>
      </c>
      <c r="S28" s="773">
        <f t="shared" si="12"/>
        <v>100</v>
      </c>
      <c r="T28" s="772" t="s">
        <v>17</v>
      </c>
      <c r="U28" s="773">
        <f t="shared" si="13"/>
        <v>100</v>
      </c>
      <c r="V28" s="772" t="s">
        <v>17</v>
      </c>
      <c r="W28" s="773">
        <f t="shared" si="14"/>
        <v>100</v>
      </c>
      <c r="X28" s="1814"/>
      <c r="Y28" s="3239"/>
      <c r="Z28" s="1815" t="str">
        <f t="shared" si="15"/>
        <v>物业等级</v>
      </c>
      <c r="AA28" s="1812">
        <f t="shared" si="3"/>
        <v>1</v>
      </c>
      <c r="AB28" s="1812">
        <f t="shared" si="4"/>
        <v>1</v>
      </c>
      <c r="AC28" s="1812">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39"/>
      <c r="Q29" s="1811" t="str">
        <f t="shared" si="11"/>
        <v>有无电梯</v>
      </c>
      <c r="R29" s="772" t="s">
        <v>17</v>
      </c>
      <c r="S29" s="773">
        <f t="shared" si="12"/>
        <v>100</v>
      </c>
      <c r="T29" s="772" t="s">
        <v>17</v>
      </c>
      <c r="U29" s="773">
        <f t="shared" si="13"/>
        <v>100</v>
      </c>
      <c r="V29" s="772" t="s">
        <v>17</v>
      </c>
      <c r="W29" s="773">
        <f t="shared" si="14"/>
        <v>100</v>
      </c>
      <c r="X29" s="1814"/>
      <c r="Y29" s="3239"/>
      <c r="Z29" s="1815" t="str">
        <f t="shared" si="15"/>
        <v>有无电梯</v>
      </c>
      <c r="AA29" s="1812">
        <f t="shared" si="3"/>
        <v>1</v>
      </c>
      <c r="AB29" s="1812">
        <f t="shared" si="4"/>
        <v>1</v>
      </c>
      <c r="AC29" s="1812">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39"/>
      <c r="Q30" s="1811" t="str">
        <f t="shared" si="11"/>
        <v>建筑面积</v>
      </c>
      <c r="R30" s="772" t="s">
        <v>17</v>
      </c>
      <c r="S30" s="773" t="e">
        <f t="shared" si="12"/>
        <v>#N/A</v>
      </c>
      <c r="T30" s="772" t="s">
        <v>17</v>
      </c>
      <c r="U30" s="773" t="e">
        <f t="shared" si="13"/>
        <v>#N/A</v>
      </c>
      <c r="V30" s="772" t="s">
        <v>17</v>
      </c>
      <c r="W30" s="773" t="e">
        <f t="shared" si="14"/>
        <v>#N/A</v>
      </c>
      <c r="X30" s="1814"/>
      <c r="Y30" s="3239"/>
      <c r="Z30" s="1815" t="str">
        <f t="shared" si="15"/>
        <v>建筑面积</v>
      </c>
      <c r="AA30" s="1812" t="e">
        <f t="shared" si="3"/>
        <v>#N/A</v>
      </c>
      <c r="AB30" s="1812" t="e">
        <f t="shared" si="4"/>
        <v>#N/A</v>
      </c>
      <c r="AC30" s="1812" t="e">
        <f t="shared" si="5"/>
        <v>#N/A</v>
      </c>
    </row>
    <row r="31" spans="1:29" s="116" customFormat="1" ht="15">
      <c r="A31" s="471"/>
      <c r="B31" s="420" t="s">
        <v>2737</v>
      </c>
      <c r="C31" s="655"/>
      <c r="D31" s="135">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39"/>
      <c r="Q31" s="1796" t="str">
        <f t="shared" si="11"/>
        <v>是否封闭</v>
      </c>
      <c r="R31" s="768" t="s">
        <v>17</v>
      </c>
      <c r="S31" s="769">
        <f t="shared" si="12"/>
        <v>100</v>
      </c>
      <c r="T31" s="768" t="s">
        <v>17</v>
      </c>
      <c r="U31" s="769">
        <f t="shared" si="13"/>
        <v>100</v>
      </c>
      <c r="V31" s="768" t="s">
        <v>17</v>
      </c>
      <c r="W31" s="769">
        <f t="shared" si="14"/>
        <v>100</v>
      </c>
      <c r="X31" s="770"/>
      <c r="Y31" s="3239"/>
      <c r="Z31" s="54" t="str">
        <f t="shared" si="15"/>
        <v>是否封闭</v>
      </c>
      <c r="AA31" s="771">
        <f t="shared" si="3"/>
        <v>1</v>
      </c>
      <c r="AB31" s="771">
        <f t="shared" si="4"/>
        <v>1</v>
      </c>
      <c r="AC31" s="771">
        <f t="shared" si="5"/>
        <v>1</v>
      </c>
    </row>
    <row r="32" spans="1:29" ht="15">
      <c r="A32" s="470"/>
      <c r="B32" s="2603">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39" t="s">
        <v>2563</v>
      </c>
      <c r="Q32" s="1811">
        <f t="shared" si="11"/>
        <v>111</v>
      </c>
      <c r="R32" s="772" t="s">
        <v>17</v>
      </c>
      <c r="S32" s="773">
        <f t="shared" si="12"/>
        <v>100</v>
      </c>
      <c r="T32" s="772" t="s">
        <v>17</v>
      </c>
      <c r="U32" s="773">
        <f t="shared" si="13"/>
        <v>100</v>
      </c>
      <c r="V32" s="772" t="s">
        <v>17</v>
      </c>
      <c r="W32" s="773">
        <f t="shared" si="14"/>
        <v>100</v>
      </c>
      <c r="X32" s="1814"/>
      <c r="Y32" s="3239" t="s">
        <v>2563</v>
      </c>
      <c r="Z32" s="1815">
        <f t="shared" si="15"/>
        <v>111</v>
      </c>
      <c r="AA32" s="1812">
        <f t="shared" si="3"/>
        <v>1</v>
      </c>
      <c r="AB32" s="1812">
        <f t="shared" si="4"/>
        <v>1</v>
      </c>
      <c r="AC32" s="1812">
        <f t="shared" si="5"/>
        <v>1</v>
      </c>
    </row>
    <row r="33" spans="1:29" ht="15">
      <c r="A33" s="470"/>
      <c r="B33" s="2603">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39"/>
      <c r="Q33" s="1811">
        <f t="shared" si="11"/>
        <v>111</v>
      </c>
      <c r="R33" s="772" t="s">
        <v>17</v>
      </c>
      <c r="S33" s="773">
        <f t="shared" si="12"/>
        <v>100</v>
      </c>
      <c r="T33" s="772" t="s">
        <v>17</v>
      </c>
      <c r="U33" s="773">
        <f t="shared" si="13"/>
        <v>100</v>
      </c>
      <c r="V33" s="772" t="s">
        <v>17</v>
      </c>
      <c r="W33" s="773">
        <f t="shared" si="14"/>
        <v>100</v>
      </c>
      <c r="X33" s="1814"/>
      <c r="Y33" s="3239"/>
      <c r="Z33" s="1815">
        <f t="shared" si="15"/>
        <v>111</v>
      </c>
      <c r="AA33" s="1812">
        <f t="shared" si="3"/>
        <v>1</v>
      </c>
      <c r="AB33" s="1812">
        <f t="shared" si="4"/>
        <v>1</v>
      </c>
      <c r="AC33" s="1812">
        <f t="shared" si="5"/>
        <v>1</v>
      </c>
    </row>
    <row r="34" spans="1:29" ht="15.75" thickBot="1">
      <c r="A34" s="476"/>
      <c r="B34" s="2605">
        <v>111</v>
      </c>
      <c r="C34" s="435"/>
      <c r="D34" s="436">
        <v>100</v>
      </c>
      <c r="E34" s="2700"/>
      <c r="F34" s="437">
        <f>SUMIF(95:95,E34,96:96)-SUMIF(95:95,C34,96:96)+100</f>
        <v>100</v>
      </c>
      <c r="G34" s="2700"/>
      <c r="H34" s="436">
        <f>SUMIF(95:95,G34,96:96)-SUMIF(95:95,C34,96:96)+100</f>
        <v>100</v>
      </c>
      <c r="I34" s="2700"/>
      <c r="J34" s="436">
        <f>SUMIF(95:95,I34,96:96)-SUMIF(95:95,C34,96:96)+100</f>
        <v>100</v>
      </c>
      <c r="K34" s="611"/>
      <c r="L34" s="1141"/>
      <c r="M34" s="1132"/>
      <c r="N34" s="1132"/>
      <c r="O34" s="1140"/>
      <c r="P34" s="3239"/>
      <c r="Q34" s="1811">
        <f t="shared" si="11"/>
        <v>111</v>
      </c>
      <c r="R34" s="772" t="s">
        <v>17</v>
      </c>
      <c r="S34" s="773">
        <f t="shared" si="12"/>
        <v>100</v>
      </c>
      <c r="T34" s="772" t="s">
        <v>17</v>
      </c>
      <c r="U34" s="773">
        <f t="shared" si="13"/>
        <v>100</v>
      </c>
      <c r="V34" s="772" t="s">
        <v>17</v>
      </c>
      <c r="W34" s="773">
        <f t="shared" si="14"/>
        <v>100</v>
      </c>
      <c r="X34" s="1814"/>
      <c r="Y34" s="3239"/>
      <c r="Z34" s="1815">
        <f t="shared" si="15"/>
        <v>111</v>
      </c>
      <c r="AA34" s="1812">
        <f t="shared" si="3"/>
        <v>1</v>
      </c>
      <c r="AB34" s="1812">
        <f t="shared" si="4"/>
        <v>1</v>
      </c>
      <c r="AC34" s="1812">
        <f t="shared" si="5"/>
        <v>1</v>
      </c>
    </row>
    <row r="35" spans="1:29" ht="15">
      <c r="A35" s="477" t="s">
        <v>2575</v>
      </c>
      <c r="B35" s="478"/>
      <c r="C35" s="1408" t="s">
        <v>1</v>
      </c>
      <c r="D35" s="1409"/>
      <c r="E35" s="1410"/>
      <c r="F35" s="1411"/>
      <c r="G35" s="1412"/>
      <c r="H35" s="1413"/>
      <c r="I35" s="1410"/>
      <c r="J35" s="1413"/>
      <c r="K35" s="781"/>
      <c r="L35" s="1144"/>
      <c r="M35" s="1145"/>
      <c r="N35" s="1132"/>
      <c r="O35" s="1145"/>
      <c r="P35" s="3232" t="str">
        <f>A35</f>
        <v>成交单价（元/平方米）</v>
      </c>
      <c r="Q35" s="3232"/>
      <c r="R35" s="3233">
        <f>E35</f>
        <v>0</v>
      </c>
      <c r="S35" s="3233"/>
      <c r="T35" s="3233">
        <f>G35</f>
        <v>0</v>
      </c>
      <c r="U35" s="3233"/>
      <c r="V35" s="3233">
        <f>I35</f>
        <v>0</v>
      </c>
      <c r="W35" s="3233"/>
      <c r="X35" s="757"/>
      <c r="Y35" s="779"/>
      <c r="Z35" s="757"/>
      <c r="AA35" s="757"/>
      <c r="AB35" s="757"/>
      <c r="AC35" s="757"/>
    </row>
    <row r="36" spans="1:29" ht="15.75" thickBot="1">
      <c r="A36" s="484" t="s">
        <v>2667</v>
      </c>
      <c r="B36" s="485"/>
      <c r="C36" s="1414" t="e">
        <f>R37</f>
        <v>#DIV/0!</v>
      </c>
      <c r="D36" s="1415"/>
      <c r="E36" s="1416" t="e">
        <f>R36</f>
        <v>#DIV/0!</v>
      </c>
      <c r="F36" s="1416"/>
      <c r="G36" s="1414" t="e">
        <f>T36</f>
        <v>#DIV/0!</v>
      </c>
      <c r="H36" s="1415"/>
      <c r="I36" s="1416" t="e">
        <f>V36</f>
        <v>#DIV/0!</v>
      </c>
      <c r="J36" s="1415"/>
      <c r="K36" s="782"/>
      <c r="L36" s="1144"/>
      <c r="M36" s="1145"/>
      <c r="N36" s="1132"/>
      <c r="O36" s="1145"/>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7"/>
      <c r="Y36" s="757"/>
      <c r="Z36" s="757"/>
      <c r="AA36" s="757"/>
      <c r="AB36" s="757"/>
      <c r="AC36" s="757"/>
    </row>
    <row r="37" spans="1:29" ht="15.75" thickBot="1">
      <c r="A37" s="490" t="s">
        <v>2668</v>
      </c>
      <c r="B37" s="491"/>
      <c r="C37" s="1418" t="e">
        <f>R37</f>
        <v>#DIV/0!</v>
      </c>
      <c r="D37" s="1418"/>
      <c r="E37" s="1418"/>
      <c r="F37" s="1418"/>
      <c r="G37" s="1418"/>
      <c r="H37" s="1418"/>
      <c r="I37" s="1418"/>
      <c r="J37" s="1418"/>
      <c r="K37" s="783"/>
      <c r="L37" s="1144"/>
      <c r="M37" s="1145"/>
      <c r="N37" s="1145"/>
      <c r="O37" s="1145"/>
      <c r="P37" s="3229" t="str">
        <f>A37</f>
        <v>估价对象XX用房的比较价值（楼面单价，元/平方米）</v>
      </c>
      <c r="Q37" s="3230"/>
      <c r="R37" s="3231" t="e">
        <f>IF(F1="售价",ROUND(AVERAGE(R36:V36),0),ROUND(AVERAGE(R36:V36),1))</f>
        <v>#DIV/0!</v>
      </c>
      <c r="S37" s="3231"/>
      <c r="T37" s="3231"/>
      <c r="U37" s="3231"/>
      <c r="V37" s="3231"/>
      <c r="W37" s="323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1"/>
      <c r="Q45" s="502"/>
    </row>
    <row r="46" spans="1:29" s="506" customFormat="1" ht="15">
      <c r="A46" s="503" t="s">
        <v>2546</v>
      </c>
      <c r="B46" s="504"/>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5"/>
    </row>
    <row r="47" spans="1:29" s="116" customFormat="1" ht="15">
      <c r="A47" s="507"/>
      <c r="B47" s="508"/>
      <c r="C47" s="1574">
        <v>100</v>
      </c>
      <c r="D47" s="510"/>
      <c r="E47" s="510"/>
      <c r="F47" s="510"/>
      <c r="G47" s="510"/>
      <c r="H47" s="510"/>
      <c r="I47" s="510"/>
      <c r="J47" s="510"/>
      <c r="K47" s="510"/>
      <c r="L47" s="510"/>
      <c r="M47" s="511"/>
      <c r="N47" s="510"/>
      <c r="O47" s="512"/>
      <c r="P47" s="502"/>
    </row>
    <row r="48" spans="1:29" s="116" customFormat="1" ht="15.75" thickBot="1">
      <c r="A48" s="513" t="s">
        <v>2583</v>
      </c>
      <c r="B48" s="514"/>
      <c r="C48" s="515"/>
      <c r="D48" s="516"/>
      <c r="E48" s="516"/>
      <c r="F48" s="516"/>
      <c r="G48" s="516"/>
      <c r="H48" s="516"/>
      <c r="I48" s="516"/>
      <c r="J48" s="516"/>
      <c r="K48" s="516"/>
      <c r="L48" s="516"/>
      <c r="M48" s="517"/>
      <c r="N48" s="516"/>
      <c r="O48" s="518"/>
      <c r="P48" s="502"/>
      <c r="Q48" s="502"/>
    </row>
    <row r="49" spans="1:17" s="116" customFormat="1" ht="15">
      <c r="A49" s="519" t="s">
        <v>2548</v>
      </c>
      <c r="B49" s="508"/>
      <c r="C49" s="520" t="s">
        <v>2650</v>
      </c>
      <c r="D49" s="521"/>
      <c r="E49" s="521"/>
      <c r="F49" s="521"/>
      <c r="G49" s="521"/>
      <c r="H49" s="521"/>
      <c r="I49" s="521"/>
      <c r="J49" s="521"/>
      <c r="K49" s="521"/>
      <c r="L49" s="522"/>
      <c r="M49" s="523"/>
      <c r="N49" s="1152"/>
      <c r="O49" s="1152"/>
      <c r="P49" s="524"/>
      <c r="Q49" s="502"/>
    </row>
    <row r="50" spans="1:17" s="116"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2586</v>
      </c>
      <c r="B51" s="526" t="s">
        <v>2552</v>
      </c>
      <c r="C51" s="527">
        <f>C9</f>
        <v>0</v>
      </c>
      <c r="D51" s="528"/>
      <c r="E51" s="528"/>
      <c r="F51" s="528"/>
      <c r="G51" s="528"/>
      <c r="H51" s="528"/>
      <c r="I51" s="528"/>
      <c r="J51" s="528"/>
      <c r="K51" s="529"/>
      <c r="L51" s="530"/>
      <c r="M51" s="531"/>
      <c r="N51" s="1153"/>
      <c r="O51" s="1153"/>
      <c r="P51" s="44"/>
      <c r="Q51" s="502"/>
    </row>
    <row r="52" spans="1:17" ht="15.75" thickBot="1">
      <c r="A52" s="532"/>
      <c r="B52" s="533"/>
      <c r="C52" s="534">
        <v>100</v>
      </c>
      <c r="D52" s="534"/>
      <c r="E52" s="534"/>
      <c r="F52" s="534"/>
      <c r="G52" s="534"/>
      <c r="H52" s="534"/>
      <c r="I52" s="534"/>
      <c r="J52" s="534"/>
      <c r="K52" s="534"/>
      <c r="L52" s="534"/>
      <c r="M52" s="535"/>
      <c r="N52" s="1154"/>
      <c r="O52" s="1154"/>
      <c r="P52" s="44"/>
      <c r="Q52" s="502"/>
    </row>
    <row r="53" spans="1:17" ht="27.75" thickTop="1">
      <c r="A53" s="532"/>
      <c r="B53" s="536" t="s">
        <v>2555</v>
      </c>
      <c r="C53" s="537" t="s">
        <v>2587</v>
      </c>
      <c r="D53" s="537" t="s">
        <v>2588</v>
      </c>
      <c r="E53" s="537" t="s">
        <v>2589</v>
      </c>
      <c r="F53" s="537" t="s">
        <v>2590</v>
      </c>
      <c r="G53" s="537" t="s">
        <v>2591</v>
      </c>
      <c r="H53" s="537" t="s">
        <v>2592</v>
      </c>
      <c r="I53" s="537" t="s">
        <v>2593</v>
      </c>
      <c r="J53" s="537"/>
      <c r="K53" s="538"/>
      <c r="L53" s="539"/>
      <c r="M53" s="540"/>
      <c r="N53" s="1153"/>
      <c r="O53" s="1153"/>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4"/>
      <c r="Q54" s="502"/>
    </row>
    <row r="55" spans="1:17" ht="15.75" thickTop="1">
      <c r="A55" s="532"/>
      <c r="B55" s="658">
        <f>B11</f>
        <v>111</v>
      </c>
      <c r="C55" s="547"/>
      <c r="D55" s="547"/>
      <c r="E55" s="547"/>
      <c r="F55" s="547"/>
      <c r="G55" s="547"/>
      <c r="H55" s="547"/>
      <c r="I55" s="547"/>
      <c r="J55" s="547"/>
      <c r="K55" s="548"/>
      <c r="L55" s="549"/>
      <c r="M55" s="550"/>
      <c r="N55" s="1153"/>
      <c r="O55" s="1153"/>
      <c r="P55" s="44"/>
      <c r="Q55" s="502"/>
    </row>
    <row r="56" spans="1:17" ht="15.75" thickBot="1">
      <c r="A56" s="532"/>
      <c r="B56" s="533"/>
      <c r="C56" s="558"/>
      <c r="D56" s="534"/>
      <c r="E56" s="534"/>
      <c r="F56" s="534"/>
      <c r="G56" s="534"/>
      <c r="H56" s="534"/>
      <c r="I56" s="534"/>
      <c r="J56" s="534"/>
      <c r="K56" s="534"/>
      <c r="L56" s="534"/>
      <c r="M56" s="535"/>
      <c r="N56" s="1154"/>
      <c r="O56" s="1154"/>
      <c r="P56" s="44"/>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4"/>
      <c r="Q62" s="502"/>
    </row>
    <row r="63" spans="1:17" ht="27.75" thickTop="1">
      <c r="A63" s="532"/>
      <c r="B63" s="536" t="s">
        <v>2738</v>
      </c>
      <c r="C63" s="576" t="s">
        <v>2595</v>
      </c>
      <c r="D63" s="576" t="s">
        <v>2596</v>
      </c>
      <c r="E63" s="576" t="s">
        <v>2597</v>
      </c>
      <c r="F63" s="576" t="s">
        <v>2598</v>
      </c>
      <c r="G63" s="576" t="s">
        <v>2599</v>
      </c>
      <c r="H63" s="537"/>
      <c r="I63" s="537"/>
      <c r="J63" s="537"/>
      <c r="K63" s="538"/>
      <c r="L63" s="539"/>
      <c r="M63" s="540"/>
      <c r="N63" s="1153"/>
      <c r="O63" s="1153"/>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4"/>
      <c r="Q64" s="502"/>
    </row>
    <row r="65" spans="1:17" ht="15.75" thickTop="1">
      <c r="A65" s="532"/>
      <c r="B65" s="544" t="s">
        <v>2687</v>
      </c>
      <c r="C65" s="658" t="s">
        <v>2673</v>
      </c>
      <c r="D65" s="658" t="s">
        <v>2674</v>
      </c>
      <c r="E65" s="658" t="s">
        <v>2675</v>
      </c>
      <c r="F65" s="658" t="s">
        <v>2676</v>
      </c>
      <c r="G65" s="658" t="s">
        <v>2677</v>
      </c>
      <c r="H65" s="537"/>
      <c r="I65" s="537"/>
      <c r="J65" s="537"/>
      <c r="K65" s="537"/>
      <c r="L65" s="537"/>
      <c r="M65" s="1383"/>
      <c r="N65" s="1154"/>
      <c r="O65" s="1154"/>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4"/>
      <c r="Q66" s="502"/>
    </row>
    <row r="67" spans="1:17" ht="15.75" thickTop="1">
      <c r="A67" s="532"/>
      <c r="B67" s="536" t="s">
        <v>2607</v>
      </c>
      <c r="C67" s="576" t="s">
        <v>2595</v>
      </c>
      <c r="D67" s="576" t="s">
        <v>2596</v>
      </c>
      <c r="E67" s="576" t="s">
        <v>2597</v>
      </c>
      <c r="F67" s="576" t="s">
        <v>2598</v>
      </c>
      <c r="G67" s="576" t="s">
        <v>2599</v>
      </c>
      <c r="H67" s="537"/>
      <c r="I67" s="537"/>
      <c r="J67" s="537"/>
      <c r="K67" s="538"/>
      <c r="L67" s="539"/>
      <c r="M67" s="540"/>
      <c r="N67" s="1153"/>
      <c r="O67" s="1153"/>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4"/>
      <c r="Q68" s="502"/>
    </row>
    <row r="69" spans="1:17" ht="15.75" thickTop="1">
      <c r="A69" s="532"/>
      <c r="B69" s="536" t="s">
        <v>2727</v>
      </c>
      <c r="C69" s="552"/>
      <c r="D69" s="552"/>
      <c r="E69" s="552"/>
      <c r="F69" s="552"/>
      <c r="G69" s="552"/>
      <c r="H69" s="581"/>
      <c r="I69" s="581"/>
      <c r="J69" s="581"/>
      <c r="K69" s="582"/>
      <c r="L69" s="583"/>
      <c r="M69" s="584"/>
      <c r="N69" s="1153"/>
      <c r="O69" s="1153"/>
      <c r="P69" s="44"/>
      <c r="Q69" s="502"/>
    </row>
    <row r="70" spans="1:17" ht="15.75" thickBot="1">
      <c r="A70" s="532"/>
      <c r="B70" s="541"/>
      <c r="C70" s="542">
        <v>100</v>
      </c>
      <c r="D70" s="542">
        <f>C70-$K22</f>
        <v>100</v>
      </c>
      <c r="E70" s="542"/>
      <c r="F70" s="542"/>
      <c r="G70" s="542"/>
      <c r="H70" s="542"/>
      <c r="I70" s="542"/>
      <c r="J70" s="542"/>
      <c r="K70" s="542"/>
      <c r="L70" s="542"/>
      <c r="M70" s="543"/>
      <c r="N70" s="1154"/>
      <c r="O70" s="1154"/>
      <c r="P70" s="44"/>
      <c r="Q70" s="502"/>
    </row>
    <row r="71" spans="1:17" s="116" customFormat="1" ht="15.75" thickTop="1">
      <c r="A71" s="577"/>
      <c r="B71" s="536">
        <f>B23</f>
        <v>111</v>
      </c>
      <c r="C71" s="547"/>
      <c r="D71" s="547"/>
      <c r="E71" s="547"/>
      <c r="F71" s="547"/>
      <c r="G71" s="552"/>
      <c r="H71" s="552"/>
      <c r="I71" s="552"/>
      <c r="J71" s="552"/>
      <c r="K71" s="552"/>
      <c r="L71" s="578"/>
      <c r="M71" s="579"/>
      <c r="N71" s="1152"/>
      <c r="O71" s="1152"/>
      <c r="P71" s="44"/>
      <c r="Q71" s="502"/>
    </row>
    <row r="72" spans="1:17" s="116" customFormat="1" ht="15.75" thickBot="1">
      <c r="A72" s="577"/>
      <c r="B72" s="541"/>
      <c r="C72" s="558"/>
      <c r="D72" s="534"/>
      <c r="E72" s="534"/>
      <c r="F72" s="534"/>
      <c r="G72" s="534"/>
      <c r="H72" s="534"/>
      <c r="I72" s="534"/>
      <c r="J72" s="534"/>
      <c r="K72" s="534"/>
      <c r="L72" s="534"/>
      <c r="M72" s="535"/>
      <c r="N72" s="1154"/>
      <c r="O72" s="1154"/>
      <c r="P72" s="44"/>
      <c r="Q72" s="502"/>
    </row>
    <row r="73" spans="1:17" s="116" customFormat="1" ht="15.75" thickTop="1">
      <c r="A73" s="577"/>
      <c r="B73" s="536">
        <f>B24</f>
        <v>111</v>
      </c>
      <c r="C73" s="547"/>
      <c r="D73" s="547"/>
      <c r="E73" s="547"/>
      <c r="F73" s="547"/>
      <c r="G73" s="552"/>
      <c r="H73" s="552"/>
      <c r="I73" s="552"/>
      <c r="J73" s="552"/>
      <c r="K73" s="552"/>
      <c r="L73" s="552"/>
      <c r="M73" s="579"/>
      <c r="N73" s="1152"/>
      <c r="O73" s="1152"/>
      <c r="P73" s="44"/>
      <c r="Q73" s="502"/>
    </row>
    <row r="74" spans="1:17" s="116" customFormat="1" ht="15.75" thickBot="1">
      <c r="A74" s="577"/>
      <c r="B74" s="541"/>
      <c r="C74" s="558"/>
      <c r="D74" s="534"/>
      <c r="E74" s="534"/>
      <c r="F74" s="534"/>
      <c r="G74" s="534"/>
      <c r="H74" s="534"/>
      <c r="I74" s="534"/>
      <c r="J74" s="534"/>
      <c r="K74" s="534"/>
      <c r="L74" s="534"/>
      <c r="M74" s="535"/>
      <c r="N74" s="1154"/>
      <c r="O74" s="1154"/>
      <c r="P74" s="44"/>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2561</v>
      </c>
      <c r="B77" s="526" t="s">
        <v>2614</v>
      </c>
      <c r="C77" s="552"/>
      <c r="D77" s="552"/>
      <c r="E77" s="528"/>
      <c r="F77" s="528"/>
      <c r="G77" s="528"/>
      <c r="H77" s="528"/>
      <c r="I77" s="528"/>
      <c r="J77" s="528"/>
      <c r="K77" s="529"/>
      <c r="L77" s="530"/>
      <c r="M77" s="531"/>
      <c r="N77" s="1153"/>
      <c r="O77" s="1153"/>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4"/>
      <c r="Q78" s="502"/>
    </row>
    <row r="79" spans="1:17" ht="15.7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4"/>
      <c r="Q79" s="502"/>
    </row>
    <row r="80" spans="1:17" ht="15">
      <c r="A80" s="532"/>
      <c r="B80" s="544"/>
      <c r="C80" s="601">
        <v>0.5</v>
      </c>
      <c r="D80" s="601">
        <v>0.6</v>
      </c>
      <c r="E80" s="601">
        <v>0.7</v>
      </c>
      <c r="F80" s="601">
        <v>0.8</v>
      </c>
      <c r="G80" s="601">
        <v>0.9</v>
      </c>
      <c r="H80" s="601">
        <v>1.0001</v>
      </c>
      <c r="I80" s="658"/>
      <c r="J80" s="658"/>
      <c r="K80" s="666"/>
      <c r="L80" s="667"/>
      <c r="M80" s="668"/>
      <c r="N80" s="1152"/>
      <c r="O80" s="1152"/>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2731</v>
      </c>
      <c r="C82" s="552"/>
      <c r="D82" s="552"/>
      <c r="E82" s="581"/>
      <c r="F82" s="581"/>
      <c r="G82" s="581"/>
      <c r="H82" s="581"/>
      <c r="I82" s="581"/>
      <c r="J82" s="581"/>
      <c r="K82" s="582"/>
      <c r="L82" s="583"/>
      <c r="M82" s="584"/>
      <c r="N82" s="1153"/>
      <c r="O82" s="1153"/>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4"/>
      <c r="Q83" s="502"/>
    </row>
    <row r="84" spans="1:17" ht="15" thickTop="1">
      <c r="A84" s="597"/>
      <c r="B84" s="536" t="s">
        <v>2739</v>
      </c>
      <c r="C84" s="552"/>
      <c r="D84" s="552"/>
      <c r="E84" s="552"/>
      <c r="F84" s="552"/>
      <c r="G84" s="552"/>
      <c r="H84" s="552"/>
      <c r="I84" s="581"/>
      <c r="J84" s="581"/>
      <c r="K84" s="582"/>
      <c r="L84" s="583"/>
      <c r="M84" s="584"/>
      <c r="N84" s="1153"/>
      <c r="O84" s="1153"/>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4"/>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4"/>
      <c r="Q86" s="502"/>
    </row>
    <row r="87" spans="1:17">
      <c r="A87" s="597"/>
      <c r="B87" s="544"/>
      <c r="C87" s="593"/>
      <c r="D87" s="593"/>
      <c r="E87" s="593"/>
      <c r="F87" s="593"/>
      <c r="G87" s="593"/>
      <c r="H87" s="593"/>
      <c r="I87" s="593"/>
      <c r="J87" s="594"/>
      <c r="K87" s="594"/>
      <c r="L87" s="595"/>
      <c r="M87" s="596"/>
      <c r="N87" s="1153"/>
      <c r="O87" s="1153"/>
      <c r="P87" s="44"/>
      <c r="Q87" s="502"/>
    </row>
    <row r="88" spans="1:17" ht="15.75" thickBot="1">
      <c r="A88" s="532"/>
      <c r="B88" s="541"/>
      <c r="C88" s="558"/>
      <c r="D88" s="534"/>
      <c r="E88" s="534"/>
      <c r="F88" s="534"/>
      <c r="G88" s="534"/>
      <c r="H88" s="534"/>
      <c r="I88" s="534"/>
      <c r="J88" s="534"/>
      <c r="K88" s="534"/>
      <c r="L88" s="534"/>
      <c r="M88" s="534"/>
      <c r="N88" s="1154"/>
      <c r="O88" s="1154"/>
      <c r="P88" s="44"/>
      <c r="Q88" s="502"/>
    </row>
    <row r="89" spans="1:17" s="469" customFormat="1" ht="15" thickTop="1">
      <c r="A89" s="591"/>
      <c r="B89" s="536" t="s">
        <v>2741</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4"/>
      <c r="Q91" s="502"/>
    </row>
    <row r="92" spans="1:17" ht="15.75" thickBot="1">
      <c r="A92" s="532"/>
      <c r="B92" s="541"/>
      <c r="C92" s="558"/>
      <c r="D92" s="534"/>
      <c r="E92" s="534"/>
      <c r="F92" s="534"/>
      <c r="G92" s="558"/>
      <c r="H92" s="560"/>
      <c r="I92" s="560"/>
      <c r="J92" s="560"/>
      <c r="K92" s="560"/>
      <c r="L92" s="560"/>
      <c r="M92" s="561"/>
      <c r="N92" s="1154"/>
      <c r="O92" s="1154"/>
      <c r="P92" s="44"/>
      <c r="Q92" s="502"/>
    </row>
    <row r="93" spans="1:17" ht="15" thickTop="1">
      <c r="A93" s="597"/>
      <c r="B93" s="536">
        <f>B33</f>
        <v>111</v>
      </c>
      <c r="C93" s="547"/>
      <c r="D93" s="547"/>
      <c r="E93" s="547"/>
      <c r="F93" s="547"/>
      <c r="G93" s="552"/>
      <c r="H93" s="553"/>
      <c r="I93" s="553"/>
      <c r="J93" s="553"/>
      <c r="K93" s="553"/>
      <c r="L93" s="554"/>
      <c r="M93" s="555"/>
      <c r="N93" s="1153"/>
      <c r="O93" s="1153"/>
      <c r="P93" s="44"/>
      <c r="Q93" s="502"/>
    </row>
    <row r="94" spans="1:17" ht="15.75" thickBot="1">
      <c r="A94" s="532"/>
      <c r="B94" s="541"/>
      <c r="C94" s="558"/>
      <c r="D94" s="534"/>
      <c r="E94" s="534"/>
      <c r="F94" s="534"/>
      <c r="G94" s="558"/>
      <c r="H94" s="560"/>
      <c r="I94" s="560"/>
      <c r="J94" s="560"/>
      <c r="K94" s="560"/>
      <c r="L94" s="560"/>
      <c r="M94" s="561"/>
      <c r="N94" s="1154"/>
      <c r="O94" s="1154"/>
      <c r="P94" s="44"/>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4"/>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2328</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2330</v>
      </c>
      <c r="B3" s="607" t="e">
        <f>ROUND(IF(D3="",B2*10000/'数据-汇总表'!E3,B2*10000/D3),0)</f>
        <v>#DIV/0!</v>
      </c>
      <c r="C3" s="246"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02" t="s">
        <v>2645</v>
      </c>
      <c r="S4" s="3203"/>
      <c r="T4" s="3202" t="s">
        <v>2646</v>
      </c>
      <c r="U4" s="3203"/>
      <c r="V4" s="3227" t="s">
        <v>2647</v>
      </c>
      <c r="W4" s="3227"/>
      <c r="X4" s="1814"/>
      <c r="Y4" s="3202" t="s">
        <v>2649</v>
      </c>
      <c r="Z4" s="3203"/>
      <c r="AA4" s="3197" t="s">
        <v>2645</v>
      </c>
      <c r="AB4" s="3198" t="s">
        <v>2646</v>
      </c>
      <c r="AC4" s="3197" t="s">
        <v>2647</v>
      </c>
    </row>
    <row r="5" spans="1:30" ht="15">
      <c r="A5" s="403"/>
      <c r="B5" s="404"/>
      <c r="C5" s="3208" t="s">
        <v>2540</v>
      </c>
      <c r="D5" s="3209"/>
      <c r="E5" s="3206" t="s">
        <v>2541</v>
      </c>
      <c r="F5" s="3207"/>
      <c r="G5" s="3208" t="s">
        <v>2542</v>
      </c>
      <c r="H5" s="3209"/>
      <c r="I5" s="3208" t="s">
        <v>2543</v>
      </c>
      <c r="J5" s="3209"/>
      <c r="K5" s="608"/>
      <c r="L5" s="1131"/>
      <c r="M5" s="1132"/>
      <c r="N5" s="1132"/>
      <c r="O5" s="1132"/>
      <c r="P5" s="3221"/>
      <c r="Q5" s="3222"/>
      <c r="R5" s="3204"/>
      <c r="S5" s="3205"/>
      <c r="T5" s="3204"/>
      <c r="U5" s="3205"/>
      <c r="V5" s="3227"/>
      <c r="W5" s="3227"/>
      <c r="X5" s="1814"/>
      <c r="Y5" s="3204"/>
      <c r="Z5" s="3205"/>
      <c r="AA5" s="3198"/>
      <c r="AB5" s="3198"/>
      <c r="AC5" s="3198"/>
    </row>
    <row r="6" spans="1:30" ht="15.75" thickBot="1">
      <c r="A6" s="405"/>
      <c r="B6" s="406"/>
      <c r="C6" s="3210" t="s">
        <v>2544</v>
      </c>
      <c r="D6" s="3211"/>
      <c r="E6" s="3212" t="s">
        <v>2544</v>
      </c>
      <c r="F6" s="3213"/>
      <c r="G6" s="3210" t="s">
        <v>2544</v>
      </c>
      <c r="H6" s="3211"/>
      <c r="I6" s="3210" t="s">
        <v>2544</v>
      </c>
      <c r="J6" s="3211"/>
      <c r="K6" s="608" t="s">
        <v>2545</v>
      </c>
      <c r="L6" s="1131"/>
      <c r="M6" s="1132"/>
      <c r="N6" s="1132"/>
      <c r="O6" s="1132"/>
      <c r="P6" s="3223"/>
      <c r="Q6" s="3224"/>
      <c r="R6" s="3204"/>
      <c r="S6" s="3205"/>
      <c r="T6" s="3225"/>
      <c r="U6" s="3226"/>
      <c r="V6" s="3227"/>
      <c r="W6" s="3227"/>
      <c r="X6" s="1814"/>
      <c r="Y6" s="3225"/>
      <c r="Z6" s="3226"/>
      <c r="AA6" s="3199"/>
      <c r="AB6" s="3199"/>
      <c r="AC6" s="3199"/>
    </row>
    <row r="7" spans="1:30" s="116" customFormat="1" ht="15.75" thickBot="1">
      <c r="A7" s="407" t="s">
        <v>2546</v>
      </c>
      <c r="B7" s="408"/>
      <c r="C7" s="409">
        <f>'数据-取费表'!B2</f>
        <v>43546</v>
      </c>
      <c r="D7" s="410">
        <v>100</v>
      </c>
      <c r="E7" s="411">
        <v>42309</v>
      </c>
      <c r="F7" s="412">
        <f>SUMIF(70:70,YEAR(E7)&amp;"-"&amp;INT((MONTH(E7)+2)/3),71:71)</f>
        <v>0</v>
      </c>
      <c r="G7" s="2699">
        <v>42309</v>
      </c>
      <c r="H7" s="410">
        <f>SUMIF(70:70,YEAR(G7)&amp;"-"&amp;INT((MONTH(G7)+2)/3),71:71)</f>
        <v>0</v>
      </c>
      <c r="I7" s="2699">
        <v>42036</v>
      </c>
      <c r="J7" s="410">
        <f>SUMIF(70:70,YEAR(I7)&amp;"-"&amp;INT((MONTH(I7)+2)/3),71:71)</f>
        <v>0</v>
      </c>
      <c r="K7" s="609"/>
      <c r="L7" s="1133"/>
      <c r="M7" s="1134"/>
      <c r="N7" s="1134"/>
      <c r="O7" s="1134"/>
      <c r="P7" s="3200" t="s">
        <v>2547</v>
      </c>
      <c r="Q7" s="3228"/>
      <c r="R7" s="768" t="s">
        <v>17</v>
      </c>
      <c r="S7" s="769">
        <f t="shared" ref="S7:S15" si="0">F7</f>
        <v>0</v>
      </c>
      <c r="T7" s="768" t="s">
        <v>17</v>
      </c>
      <c r="U7" s="769">
        <f t="shared" ref="U7:U15" si="1">H7</f>
        <v>0</v>
      </c>
      <c r="V7" s="768" t="s">
        <v>17</v>
      </c>
      <c r="W7" s="769">
        <f t="shared" ref="W7:W15" si="2">J7</f>
        <v>0</v>
      </c>
      <c r="X7" s="770"/>
      <c r="Y7" s="3200" t="s">
        <v>2547</v>
      </c>
      <c r="Z7" s="3201"/>
      <c r="AA7" s="771" t="e">
        <f>D7/F7</f>
        <v>#DIV/0!</v>
      </c>
      <c r="AB7" s="771" t="e">
        <f>D7/H7</f>
        <v>#DIV/0!</v>
      </c>
      <c r="AC7" s="771"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09"/>
      <c r="L8" s="1133"/>
      <c r="M8" s="1134"/>
      <c r="N8" s="1134"/>
      <c r="O8" s="1134"/>
      <c r="P8" s="3200" t="s">
        <v>2550</v>
      </c>
      <c r="Q8" s="3201"/>
      <c r="R8" s="768" t="s">
        <v>17</v>
      </c>
      <c r="S8" s="769">
        <f t="shared" si="0"/>
        <v>0</v>
      </c>
      <c r="T8" s="768" t="s">
        <v>17</v>
      </c>
      <c r="U8" s="769">
        <f t="shared" si="1"/>
        <v>0</v>
      </c>
      <c r="V8" s="768" t="s">
        <v>17</v>
      </c>
      <c r="W8" s="769">
        <f t="shared" si="2"/>
        <v>0</v>
      </c>
      <c r="X8" s="770"/>
      <c r="Y8" s="3200" t="s">
        <v>2550</v>
      </c>
      <c r="Z8" s="3201"/>
      <c r="AA8" s="771" t="e">
        <f t="shared" ref="AA8:AA45" si="3">D8/F8</f>
        <v>#DIV/0!</v>
      </c>
      <c r="AB8" s="771" t="e">
        <f t="shared" ref="AB8:AB45" si="4">D8/H8</f>
        <v>#DIV/0!</v>
      </c>
      <c r="AC8" s="771" t="e">
        <f t="shared" ref="AC8:AC45" si="5">D8/J8</f>
        <v>#DIV/0!</v>
      </c>
    </row>
    <row r="9" spans="1:30" s="116" customFormat="1">
      <c r="A9" s="414" t="s">
        <v>2551</v>
      </c>
      <c r="B9" s="70" t="s">
        <v>2552</v>
      </c>
      <c r="C9" s="2702"/>
      <c r="D9" s="134">
        <v>100</v>
      </c>
      <c r="E9" s="2702"/>
      <c r="F9" s="134">
        <f>SUMIF(75:75,E9,76:76)-SUMIF(75:75,C9,76:76)+100</f>
        <v>100</v>
      </c>
      <c r="G9" s="2702"/>
      <c r="H9" s="134">
        <f>SUMIF(75:75,G9,76:76)-SUMIF(75:75,C9,76:76)+100</f>
        <v>100</v>
      </c>
      <c r="I9" s="2702"/>
      <c r="J9" s="134">
        <f>SUMIF(75:75,I9,76:76)-SUMIF(75:75,C9,76:76)+100</f>
        <v>100</v>
      </c>
      <c r="K9" s="609"/>
      <c r="L9" s="1133"/>
      <c r="M9" s="1134"/>
      <c r="N9" s="1134"/>
      <c r="O9" s="1135"/>
      <c r="P9" s="3232" t="s">
        <v>2553</v>
      </c>
      <c r="Q9" s="1796" t="str">
        <f t="shared" ref="Q9:Q15" si="6">B9</f>
        <v>用途</v>
      </c>
      <c r="R9" s="768" t="s">
        <v>17</v>
      </c>
      <c r="S9" s="769">
        <f t="shared" si="0"/>
        <v>100</v>
      </c>
      <c r="T9" s="768" t="s">
        <v>17</v>
      </c>
      <c r="U9" s="769">
        <f t="shared" si="1"/>
        <v>100</v>
      </c>
      <c r="V9" s="768" t="s">
        <v>17</v>
      </c>
      <c r="W9" s="769">
        <f t="shared" si="2"/>
        <v>100</v>
      </c>
      <c r="X9" s="770"/>
      <c r="Y9" s="3047" t="s">
        <v>2554</v>
      </c>
      <c r="Z9" s="54" t="str">
        <f t="shared" ref="Z9:Z15" si="7">Q9</f>
        <v>用途</v>
      </c>
      <c r="AA9" s="771">
        <f t="shared" si="3"/>
        <v>1</v>
      </c>
      <c r="AB9" s="771">
        <f t="shared" si="4"/>
        <v>1</v>
      </c>
      <c r="AC9" s="771">
        <f t="shared" si="5"/>
        <v>1</v>
      </c>
    </row>
    <row r="10" spans="1:30" s="425" customFormat="1" ht="27">
      <c r="A10" s="419"/>
      <c r="B10" s="420" t="s">
        <v>2555</v>
      </c>
      <c r="C10" s="430"/>
      <c r="D10" s="135">
        <v>100</v>
      </c>
      <c r="E10" s="463"/>
      <c r="F10" s="135">
        <f>ROUND(100/'数据-取费表'!G16,0)</f>
        <v>113</v>
      </c>
      <c r="G10" s="461"/>
      <c r="H10" s="135">
        <f>ROUND(100/'数据-取费表'!G16,0)</f>
        <v>113</v>
      </c>
      <c r="I10" s="461"/>
      <c r="J10" s="135">
        <f>ROUND(100/'数据-取费表'!G16,0)</f>
        <v>113</v>
      </c>
      <c r="K10" s="670"/>
      <c r="L10" s="1136"/>
      <c r="M10" s="1137"/>
      <c r="N10" s="1137"/>
      <c r="O10" s="1138"/>
      <c r="P10" s="3232"/>
      <c r="Q10" s="1796" t="str">
        <f t="shared" si="6"/>
        <v>土地使用年限（年）</v>
      </c>
      <c r="R10" s="768" t="s">
        <v>17</v>
      </c>
      <c r="S10" s="769">
        <f t="shared" si="0"/>
        <v>113</v>
      </c>
      <c r="T10" s="768" t="s">
        <v>17</v>
      </c>
      <c r="U10" s="769">
        <f t="shared" si="1"/>
        <v>113</v>
      </c>
      <c r="V10" s="768" t="s">
        <v>17</v>
      </c>
      <c r="W10" s="769">
        <f t="shared" si="2"/>
        <v>113</v>
      </c>
      <c r="X10" s="770"/>
      <c r="Y10" s="3047"/>
      <c r="Z10" s="54" t="str">
        <f t="shared" si="7"/>
        <v>土地使用年限（年）</v>
      </c>
      <c r="AA10" s="771">
        <f t="shared" si="3"/>
        <v>0.88495575221238942</v>
      </c>
      <c r="AB10" s="771">
        <f t="shared" si="4"/>
        <v>0.88495575221238942</v>
      </c>
      <c r="AC10" s="771">
        <f t="shared" si="5"/>
        <v>0.88495575221238942</v>
      </c>
    </row>
    <row r="11" spans="1:30" ht="15">
      <c r="A11" s="426"/>
      <c r="B11" s="420" t="s">
        <v>2556</v>
      </c>
      <c r="C11" s="427"/>
      <c r="D11" s="135">
        <v>100</v>
      </c>
      <c r="E11" s="427"/>
      <c r="F11" s="135" t="e">
        <f>LOOKUP(E11,80:80,81:81)-LOOKUP(C11,80:80,81:81)+100</f>
        <v>#N/A</v>
      </c>
      <c r="G11" s="428"/>
      <c r="H11" s="135" t="e">
        <f>LOOKUP(G11,80:80,81:81)-LOOKUP(C11,80:80,81:81)+100</f>
        <v>#N/A</v>
      </c>
      <c r="I11" s="427"/>
      <c r="J11" s="135" t="e">
        <f>LOOKUP(I11,80:80,81:81)-LOOKUP(C11,80:80,81:81)+100</f>
        <v>#N/A</v>
      </c>
      <c r="K11" s="671"/>
      <c r="L11" s="1139"/>
      <c r="M11" s="1132"/>
      <c r="N11" s="1132"/>
      <c r="O11" s="1140"/>
      <c r="P11" s="3232"/>
      <c r="Q11" s="1796" t="str">
        <f t="shared" si="6"/>
        <v>容积率</v>
      </c>
      <c r="R11" s="768" t="s">
        <v>17</v>
      </c>
      <c r="S11" s="769" t="e">
        <f t="shared" si="0"/>
        <v>#N/A</v>
      </c>
      <c r="T11" s="768" t="s">
        <v>17</v>
      </c>
      <c r="U11" s="769" t="e">
        <f t="shared" si="1"/>
        <v>#N/A</v>
      </c>
      <c r="V11" s="768" t="s">
        <v>17</v>
      </c>
      <c r="W11" s="769" t="e">
        <f t="shared" si="2"/>
        <v>#N/A</v>
      </c>
      <c r="X11" s="770"/>
      <c r="Y11" s="3047"/>
      <c r="Z11" s="54" t="str">
        <f t="shared" si="7"/>
        <v>容积率</v>
      </c>
      <c r="AA11" s="771" t="e">
        <f t="shared" si="3"/>
        <v>#N/A</v>
      </c>
      <c r="AB11" s="771" t="e">
        <f t="shared" si="4"/>
        <v>#N/A</v>
      </c>
      <c r="AC11" s="771" t="e">
        <f t="shared" si="5"/>
        <v>#N/A</v>
      </c>
    </row>
    <row r="12" spans="1:30" s="116" customFormat="1" ht="15">
      <c r="A12" s="429"/>
      <c r="B12" s="2603" t="s">
        <v>2745</v>
      </c>
      <c r="C12" s="430"/>
      <c r="D12" s="431">
        <v>100</v>
      </c>
      <c r="E12" s="463"/>
      <c r="F12" s="135">
        <f>SUMIF(82:82,E12,83:83)-SUMIF(82:82,C12,83:83)+100</f>
        <v>100</v>
      </c>
      <c r="G12" s="461"/>
      <c r="H12" s="135">
        <f>SUMIF(82:82,G12,83:83)-SUMIF(82:82,C12,83:83)+100</f>
        <v>100</v>
      </c>
      <c r="I12" s="463"/>
      <c r="J12" s="135">
        <f>SUMIF(82:82,I12,83:83)-SUMIF(82:82,C12,83:83)+100</f>
        <v>100</v>
      </c>
      <c r="K12" s="670"/>
      <c r="L12" s="1133"/>
      <c r="M12" s="1134"/>
      <c r="N12" s="1134"/>
      <c r="O12" s="1135"/>
      <c r="P12" s="3232"/>
      <c r="Q12" s="1796" t="str">
        <f t="shared" si="6"/>
        <v>配建</v>
      </c>
      <c r="R12" s="768" t="s">
        <v>17</v>
      </c>
      <c r="S12" s="769">
        <f t="shared" si="0"/>
        <v>100</v>
      </c>
      <c r="T12" s="768" t="s">
        <v>17</v>
      </c>
      <c r="U12" s="769">
        <f t="shared" si="1"/>
        <v>100</v>
      </c>
      <c r="V12" s="768" t="s">
        <v>17</v>
      </c>
      <c r="W12" s="769">
        <f t="shared" si="2"/>
        <v>100</v>
      </c>
      <c r="X12" s="770"/>
      <c r="Y12" s="3047"/>
      <c r="Z12" s="54" t="str">
        <f t="shared" si="7"/>
        <v>配建</v>
      </c>
      <c r="AA12" s="771">
        <f>D12/F12</f>
        <v>1</v>
      </c>
      <c r="AB12" s="771">
        <f>D12/H12</f>
        <v>1</v>
      </c>
      <c r="AC12" s="771">
        <f>D12/J12</f>
        <v>1</v>
      </c>
    </row>
    <row r="13" spans="1:30" ht="15">
      <c r="A13" s="426"/>
      <c r="B13" s="2603">
        <v>111</v>
      </c>
      <c r="C13" s="432"/>
      <c r="D13" s="433">
        <v>100</v>
      </c>
      <c r="E13" s="547"/>
      <c r="F13" s="135">
        <f>SUMIF(84:84,E13,85:85)-SUMIF(84:84,C13,85:85)+100</f>
        <v>100</v>
      </c>
      <c r="G13" s="672"/>
      <c r="H13" s="433">
        <f>SUMIF(84:84,G13,85:85)-SUMIF(84:84,C13,85:85)+100</f>
        <v>100</v>
      </c>
      <c r="I13" s="672"/>
      <c r="J13" s="433">
        <f>SUMIF(84:84,I13,85:85)-SUMIF(84:84,C13,85:85)+100</f>
        <v>100</v>
      </c>
      <c r="K13" s="670"/>
      <c r="L13" s="1141"/>
      <c r="M13" s="1132"/>
      <c r="N13" s="1132"/>
      <c r="O13" s="1140"/>
      <c r="P13" s="3232"/>
      <c r="Q13" s="1796">
        <f t="shared" si="6"/>
        <v>111</v>
      </c>
      <c r="R13" s="768" t="s">
        <v>17</v>
      </c>
      <c r="S13" s="769">
        <f t="shared" si="0"/>
        <v>100</v>
      </c>
      <c r="T13" s="768" t="s">
        <v>17</v>
      </c>
      <c r="U13" s="769">
        <f t="shared" si="1"/>
        <v>100</v>
      </c>
      <c r="V13" s="768" t="s">
        <v>17</v>
      </c>
      <c r="W13" s="769">
        <f t="shared" si="2"/>
        <v>100</v>
      </c>
      <c r="X13" s="770"/>
      <c r="Y13" s="3047"/>
      <c r="Z13" s="54">
        <f t="shared" si="7"/>
        <v>111</v>
      </c>
      <c r="AA13" s="771">
        <f>D13/F13</f>
        <v>1</v>
      </c>
      <c r="AB13" s="771">
        <f>D13/H13</f>
        <v>1</v>
      </c>
      <c r="AC13" s="771">
        <f>D13/J13</f>
        <v>1</v>
      </c>
    </row>
    <row r="14" spans="1:30" ht="15.75" thickBot="1">
      <c r="A14" s="434"/>
      <c r="B14" s="2605">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32"/>
      <c r="Q14" s="1796">
        <f t="shared" si="6"/>
        <v>111</v>
      </c>
      <c r="R14" s="768" t="s">
        <v>17</v>
      </c>
      <c r="S14" s="769">
        <f t="shared" si="0"/>
        <v>100</v>
      </c>
      <c r="T14" s="768" t="s">
        <v>17</v>
      </c>
      <c r="U14" s="769">
        <f t="shared" si="1"/>
        <v>100</v>
      </c>
      <c r="V14" s="768" t="s">
        <v>17</v>
      </c>
      <c r="W14" s="769">
        <f t="shared" si="2"/>
        <v>100</v>
      </c>
      <c r="X14" s="770"/>
      <c r="Y14" s="3047"/>
      <c r="Z14" s="54">
        <f t="shared" si="7"/>
        <v>111</v>
      </c>
      <c r="AA14" s="771">
        <f>D14/F14</f>
        <v>1</v>
      </c>
      <c r="AB14" s="771">
        <f>D14/H14</f>
        <v>1</v>
      </c>
      <c r="AC14" s="771">
        <f>D14/J14</f>
        <v>1</v>
      </c>
    </row>
    <row r="15" spans="1:30" ht="99.75">
      <c r="A15" s="438" t="s">
        <v>2557</v>
      </c>
      <c r="B15" s="68" t="s">
        <v>2085</v>
      </c>
      <c r="C15" s="260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34" t="s">
        <v>2558</v>
      </c>
      <c r="Q15" s="1811" t="str">
        <f t="shared" si="6"/>
        <v>居住社区成熟度</v>
      </c>
      <c r="R15" s="772" t="s">
        <v>17</v>
      </c>
      <c r="S15" s="773">
        <f t="shared" si="0"/>
        <v>100</v>
      </c>
      <c r="T15" s="772" t="s">
        <v>17</v>
      </c>
      <c r="U15" s="773">
        <f t="shared" si="1"/>
        <v>100</v>
      </c>
      <c r="V15" s="772" t="s">
        <v>17</v>
      </c>
      <c r="W15" s="773">
        <f t="shared" si="2"/>
        <v>100</v>
      </c>
      <c r="X15" s="1814"/>
      <c r="Y15" s="3234" t="s">
        <v>2558</v>
      </c>
      <c r="Z15" s="1815" t="str">
        <f t="shared" si="7"/>
        <v>居住社区成熟度</v>
      </c>
      <c r="AA15" s="1812">
        <f t="shared" si="3"/>
        <v>1</v>
      </c>
      <c r="AB15" s="1812">
        <f t="shared" si="4"/>
        <v>1</v>
      </c>
      <c r="AC15" s="1812">
        <f t="shared" si="5"/>
        <v>1</v>
      </c>
    </row>
    <row r="16" spans="1:30" ht="15">
      <c r="A16" s="426"/>
      <c r="B16" s="444"/>
      <c r="C16" s="445"/>
      <c r="D16" s="446"/>
      <c r="E16" s="2608"/>
      <c r="F16" s="446"/>
      <c r="G16" s="2608"/>
      <c r="H16" s="448"/>
      <c r="I16" s="2607"/>
      <c r="J16" s="446"/>
      <c r="K16" s="670"/>
      <c r="L16" s="1141"/>
      <c r="M16" s="1132"/>
      <c r="N16" s="1132"/>
      <c r="O16" s="1140"/>
      <c r="P16" s="3235"/>
      <c r="Q16" s="1811"/>
      <c r="R16" s="772"/>
      <c r="S16" s="773"/>
      <c r="T16" s="772"/>
      <c r="U16" s="773"/>
      <c r="V16" s="772"/>
      <c r="W16" s="773"/>
      <c r="X16" s="1814"/>
      <c r="Y16" s="3235"/>
      <c r="Z16" s="1815"/>
      <c r="AA16" s="1812">
        <v>1</v>
      </c>
      <c r="AB16" s="1812">
        <v>1</v>
      </c>
      <c r="AC16" s="1812">
        <v>1</v>
      </c>
    </row>
    <row r="17" spans="1:29" ht="71.25">
      <c r="A17" s="426"/>
      <c r="B17" s="449" t="s">
        <v>2651</v>
      </c>
      <c r="C17" s="266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35"/>
      <c r="Q17" s="1811" t="str">
        <f>B17</f>
        <v>商业繁华度</v>
      </c>
      <c r="R17" s="772" t="s">
        <v>17</v>
      </c>
      <c r="S17" s="773">
        <f>F17</f>
        <v>100</v>
      </c>
      <c r="T17" s="772" t="s">
        <v>17</v>
      </c>
      <c r="U17" s="773">
        <f>H17</f>
        <v>100</v>
      </c>
      <c r="V17" s="772" t="s">
        <v>17</v>
      </c>
      <c r="W17" s="773">
        <f>J17</f>
        <v>100</v>
      </c>
      <c r="X17" s="1814"/>
      <c r="Y17" s="3235"/>
      <c r="Z17" s="1815" t="str">
        <f>Q17</f>
        <v>商业繁华度</v>
      </c>
      <c r="AA17" s="1812">
        <f t="shared" si="3"/>
        <v>1</v>
      </c>
      <c r="AB17" s="1812">
        <f t="shared" si="4"/>
        <v>1</v>
      </c>
      <c r="AC17" s="1812">
        <f t="shared" si="5"/>
        <v>1</v>
      </c>
    </row>
    <row r="18" spans="1:29" ht="15">
      <c r="A18" s="426"/>
      <c r="B18" s="454"/>
      <c r="C18" s="2611"/>
      <c r="D18" s="448"/>
      <c r="E18" s="2613"/>
      <c r="F18" s="448"/>
      <c r="G18" s="2613"/>
      <c r="H18" s="446"/>
      <c r="I18" s="2612"/>
      <c r="J18" s="446"/>
      <c r="K18" s="670"/>
      <c r="L18" s="1141"/>
      <c r="M18" s="1132"/>
      <c r="N18" s="1132"/>
      <c r="O18" s="1140"/>
      <c r="P18" s="3235"/>
      <c r="Q18" s="1811"/>
      <c r="R18" s="772"/>
      <c r="S18" s="773"/>
      <c r="T18" s="772"/>
      <c r="U18" s="773"/>
      <c r="V18" s="772"/>
      <c r="W18" s="773"/>
      <c r="X18" s="1814"/>
      <c r="Y18" s="3235"/>
      <c r="Z18" s="1815"/>
      <c r="AA18" s="1812">
        <v>1</v>
      </c>
      <c r="AB18" s="1812">
        <v>1</v>
      </c>
      <c r="AC18" s="1812">
        <v>1</v>
      </c>
    </row>
    <row r="19" spans="1:29" ht="71.25">
      <c r="A19" s="426"/>
      <c r="B19" s="449" t="s">
        <v>2685</v>
      </c>
      <c r="C19" s="266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35"/>
      <c r="Q19" s="1811" t="str">
        <f>B19</f>
        <v>办公集聚程度</v>
      </c>
      <c r="R19" s="772" t="s">
        <v>17</v>
      </c>
      <c r="S19" s="773">
        <f>F19</f>
        <v>100</v>
      </c>
      <c r="T19" s="772" t="s">
        <v>17</v>
      </c>
      <c r="U19" s="773">
        <f>H19</f>
        <v>100</v>
      </c>
      <c r="V19" s="772" t="s">
        <v>17</v>
      </c>
      <c r="W19" s="773">
        <f>J19</f>
        <v>100</v>
      </c>
      <c r="X19" s="1814"/>
      <c r="Y19" s="3235"/>
      <c r="Z19" s="1815" t="str">
        <f>Q19</f>
        <v>办公集聚程度</v>
      </c>
      <c r="AA19" s="1812">
        <f t="shared" si="3"/>
        <v>1</v>
      </c>
      <c r="AB19" s="1812">
        <f t="shared" si="4"/>
        <v>1</v>
      </c>
      <c r="AC19" s="1812">
        <f t="shared" si="5"/>
        <v>1</v>
      </c>
    </row>
    <row r="20" spans="1:29" ht="15">
      <c r="A20" s="426"/>
      <c r="B20" s="454"/>
      <c r="C20" s="445"/>
      <c r="D20" s="446"/>
      <c r="E20" s="2608"/>
      <c r="F20" s="446"/>
      <c r="G20" s="2608"/>
      <c r="H20" s="446"/>
      <c r="I20" s="2607"/>
      <c r="J20" s="446"/>
      <c r="K20" s="670"/>
      <c r="L20" s="1141"/>
      <c r="M20" s="1132"/>
      <c r="N20" s="1132"/>
      <c r="O20" s="1140"/>
      <c r="P20" s="3235"/>
      <c r="Q20" s="1811"/>
      <c r="R20" s="772"/>
      <c r="S20" s="773"/>
      <c r="T20" s="772"/>
      <c r="U20" s="773"/>
      <c r="V20" s="772"/>
      <c r="W20" s="773"/>
      <c r="X20" s="1814"/>
      <c r="Y20" s="3235"/>
      <c r="Z20" s="1815"/>
      <c r="AA20" s="1812">
        <v>1</v>
      </c>
      <c r="AB20" s="1812">
        <v>1</v>
      </c>
      <c r="AC20" s="1812">
        <v>1</v>
      </c>
    </row>
    <row r="21" spans="1:29" ht="85.5">
      <c r="A21" s="426"/>
      <c r="B21" s="449" t="s">
        <v>2707</v>
      </c>
      <c r="C21" s="261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35"/>
      <c r="Q21" s="1811" t="str">
        <f>B21</f>
        <v>交通便捷度</v>
      </c>
      <c r="R21" s="772" t="s">
        <v>17</v>
      </c>
      <c r="S21" s="773">
        <f>F21</f>
        <v>100</v>
      </c>
      <c r="T21" s="772" t="s">
        <v>17</v>
      </c>
      <c r="U21" s="773">
        <f>H21</f>
        <v>100</v>
      </c>
      <c r="V21" s="772" t="s">
        <v>17</v>
      </c>
      <c r="W21" s="773">
        <f>J21</f>
        <v>100</v>
      </c>
      <c r="X21" s="1814"/>
      <c r="Y21" s="3235"/>
      <c r="Z21" s="1815" t="str">
        <f>Q21</f>
        <v>交通便捷度</v>
      </c>
      <c r="AA21" s="1812">
        <f t="shared" si="3"/>
        <v>1</v>
      </c>
      <c r="AB21" s="1812">
        <f t="shared" si="4"/>
        <v>1</v>
      </c>
      <c r="AC21" s="1812">
        <f t="shared" si="5"/>
        <v>1</v>
      </c>
    </row>
    <row r="22" spans="1:29" ht="15">
      <c r="A22" s="426"/>
      <c r="B22" s="1385"/>
      <c r="C22" s="445"/>
      <c r="D22" s="448"/>
      <c r="E22" s="2608"/>
      <c r="F22" s="446"/>
      <c r="G22" s="2608"/>
      <c r="H22" s="446"/>
      <c r="I22" s="2607"/>
      <c r="J22" s="446"/>
      <c r="K22" s="670"/>
      <c r="L22" s="1141"/>
      <c r="M22" s="1132"/>
      <c r="N22" s="1132"/>
      <c r="O22" s="1140"/>
      <c r="P22" s="3235"/>
      <c r="Q22" s="1811"/>
      <c r="R22" s="772"/>
      <c r="S22" s="773"/>
      <c r="T22" s="772"/>
      <c r="U22" s="773"/>
      <c r="V22" s="772"/>
      <c r="W22" s="773"/>
      <c r="X22" s="1814"/>
      <c r="Y22" s="3235"/>
      <c r="Z22" s="1815"/>
      <c r="AA22" s="1812">
        <v>1</v>
      </c>
      <c r="AB22" s="1812">
        <v>1</v>
      </c>
      <c r="AC22" s="1812">
        <v>1</v>
      </c>
    </row>
    <row r="23" spans="1:29" ht="15">
      <c r="A23" s="403"/>
      <c r="B23" s="449" t="s">
        <v>2746</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35"/>
      <c r="Q23" s="1811" t="str">
        <f t="shared" ref="Q23:Q37" si="8">B23</f>
        <v>区域土地利用方向</v>
      </c>
      <c r="R23" s="772" t="s">
        <v>17</v>
      </c>
      <c r="S23" s="773">
        <f>F23</f>
        <v>100</v>
      </c>
      <c r="T23" s="772" t="s">
        <v>17</v>
      </c>
      <c r="U23" s="773">
        <f>H23</f>
        <v>100</v>
      </c>
      <c r="V23" s="772" t="s">
        <v>17</v>
      </c>
      <c r="W23" s="773">
        <f>J23</f>
        <v>100</v>
      </c>
      <c r="X23" s="1814"/>
      <c r="Y23" s="3235"/>
      <c r="Z23" s="1815" t="str">
        <f>Q23</f>
        <v>区域土地利用方向</v>
      </c>
      <c r="AA23" s="1812">
        <f t="shared" si="3"/>
        <v>1</v>
      </c>
      <c r="AB23" s="1812">
        <f t="shared" si="4"/>
        <v>1</v>
      </c>
      <c r="AC23" s="1812">
        <f t="shared" si="5"/>
        <v>1</v>
      </c>
    </row>
    <row r="24" spans="1:29" ht="15">
      <c r="A24" s="403"/>
      <c r="B24" s="454"/>
      <c r="C24" s="614"/>
      <c r="D24" s="446"/>
      <c r="E24" s="2608"/>
      <c r="F24" s="446"/>
      <c r="G24" s="2607"/>
      <c r="H24" s="446"/>
      <c r="I24" s="2607"/>
      <c r="J24" s="446"/>
      <c r="K24" s="810"/>
      <c r="L24" s="1141"/>
      <c r="M24" s="1132"/>
      <c r="N24" s="1132"/>
      <c r="O24" s="1140"/>
      <c r="P24" s="3235"/>
      <c r="Q24" s="1811"/>
      <c r="R24" s="772"/>
      <c r="S24" s="773"/>
      <c r="T24" s="772"/>
      <c r="U24" s="773"/>
      <c r="V24" s="772"/>
      <c r="W24" s="773"/>
      <c r="X24" s="1814"/>
      <c r="Y24" s="3235"/>
      <c r="Z24" s="1815"/>
      <c r="AA24" s="1812"/>
      <c r="AB24" s="1812"/>
      <c r="AC24" s="1812"/>
    </row>
    <row r="25" spans="1:29" ht="57">
      <c r="A25" s="403"/>
      <c r="B25" s="1385" t="s">
        <v>2747</v>
      </c>
      <c r="C25" s="266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35"/>
      <c r="Q25" s="1811" t="str">
        <f t="shared" si="8"/>
        <v>自然及人文环境状况</v>
      </c>
      <c r="R25" s="772" t="s">
        <v>17</v>
      </c>
      <c r="S25" s="773">
        <f>F25</f>
        <v>100</v>
      </c>
      <c r="T25" s="772" t="s">
        <v>17</v>
      </c>
      <c r="U25" s="773">
        <f>H25</f>
        <v>100</v>
      </c>
      <c r="V25" s="772" t="s">
        <v>17</v>
      </c>
      <c r="W25" s="773">
        <f>J25</f>
        <v>100</v>
      </c>
      <c r="X25" s="1814"/>
      <c r="Y25" s="3235"/>
      <c r="Z25" s="1815" t="str">
        <f>Q25</f>
        <v>自然及人文环境状况</v>
      </c>
      <c r="AA25" s="1812">
        <f t="shared" si="3"/>
        <v>1</v>
      </c>
      <c r="AB25" s="1812">
        <f t="shared" si="4"/>
        <v>1</v>
      </c>
      <c r="AC25" s="1812">
        <f t="shared" si="5"/>
        <v>1</v>
      </c>
    </row>
    <row r="26" spans="1:29" ht="15">
      <c r="A26" s="403"/>
      <c r="B26" s="454"/>
      <c r="C26" s="445"/>
      <c r="D26" s="446"/>
      <c r="E26" s="2614"/>
      <c r="F26" s="446"/>
      <c r="G26" s="2614"/>
      <c r="H26" s="446"/>
      <c r="I26" s="445"/>
      <c r="J26" s="446"/>
      <c r="K26" s="670"/>
      <c r="L26" s="1141"/>
      <c r="M26" s="1132"/>
      <c r="N26" s="1132"/>
      <c r="O26" s="1140"/>
      <c r="P26" s="3235"/>
      <c r="Q26" s="1811"/>
      <c r="R26" s="772"/>
      <c r="S26" s="773"/>
      <c r="T26" s="772"/>
      <c r="U26" s="773"/>
      <c r="V26" s="772"/>
      <c r="W26" s="773"/>
      <c r="X26" s="1814"/>
      <c r="Y26" s="3235"/>
      <c r="Z26" s="1815"/>
      <c r="AA26" s="1812">
        <v>1</v>
      </c>
      <c r="AB26" s="1812">
        <v>1</v>
      </c>
      <c r="AC26" s="1812">
        <v>1</v>
      </c>
    </row>
    <row r="27" spans="1:29" s="116" customFormat="1" ht="42.75">
      <c r="A27" s="647"/>
      <c r="B27" s="1385" t="s">
        <v>2652</v>
      </c>
      <c r="C27" s="261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35"/>
      <c r="Q27" s="1796" t="str">
        <f t="shared" si="8"/>
        <v>公共配套设施</v>
      </c>
      <c r="R27" s="768" t="s">
        <v>17</v>
      </c>
      <c r="S27" s="769">
        <f>F27</f>
        <v>100</v>
      </c>
      <c r="T27" s="768" t="s">
        <v>17</v>
      </c>
      <c r="U27" s="769">
        <f>H27</f>
        <v>100</v>
      </c>
      <c r="V27" s="768" t="s">
        <v>17</v>
      </c>
      <c r="W27" s="769">
        <f>J27</f>
        <v>100</v>
      </c>
      <c r="X27" s="770"/>
      <c r="Y27" s="3235"/>
      <c r="Z27" s="54" t="str">
        <f>Q27</f>
        <v>公共配套设施</v>
      </c>
      <c r="AA27" s="1812">
        <f>D27/F27</f>
        <v>1</v>
      </c>
      <c r="AB27" s="1812">
        <f>D27/H27</f>
        <v>1</v>
      </c>
      <c r="AC27" s="1812">
        <f>D27/J27</f>
        <v>1</v>
      </c>
    </row>
    <row r="28" spans="1:29" s="116" customFormat="1" ht="15">
      <c r="A28" s="647"/>
      <c r="B28" s="454"/>
      <c r="C28" s="2703"/>
      <c r="D28" s="446"/>
      <c r="E28" s="2614"/>
      <c r="F28" s="446"/>
      <c r="G28" s="2614"/>
      <c r="H28" s="446"/>
      <c r="I28" s="445"/>
      <c r="J28" s="446"/>
      <c r="K28" s="670"/>
      <c r="L28" s="1133"/>
      <c r="M28" s="1134"/>
      <c r="N28" s="1134"/>
      <c r="O28" s="1135"/>
      <c r="P28" s="3235"/>
      <c r="Q28" s="1796"/>
      <c r="R28" s="768"/>
      <c r="S28" s="769"/>
      <c r="T28" s="768"/>
      <c r="U28" s="769"/>
      <c r="V28" s="768"/>
      <c r="W28" s="769"/>
      <c r="X28" s="770"/>
      <c r="Y28" s="3235"/>
      <c r="Z28" s="54"/>
      <c r="AA28" s="1812">
        <v>1</v>
      </c>
      <c r="AB28" s="1812">
        <v>1</v>
      </c>
      <c r="AC28" s="1812">
        <v>1</v>
      </c>
    </row>
    <row r="29" spans="1:29" s="116" customFormat="1" ht="28.5">
      <c r="A29" s="647"/>
      <c r="B29" s="1385" t="s">
        <v>2653</v>
      </c>
      <c r="C29" s="261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35"/>
      <c r="Q29" s="1796" t="str">
        <f t="shared" ref="Q29" si="9">B29</f>
        <v>基础设施水平</v>
      </c>
      <c r="R29" s="768" t="s">
        <v>17</v>
      </c>
      <c r="S29" s="769">
        <f>F29</f>
        <v>100</v>
      </c>
      <c r="T29" s="768" t="s">
        <v>17</v>
      </c>
      <c r="U29" s="769">
        <f>H29</f>
        <v>100</v>
      </c>
      <c r="V29" s="768" t="s">
        <v>17</v>
      </c>
      <c r="W29" s="769">
        <f>J29</f>
        <v>100</v>
      </c>
      <c r="X29" s="770"/>
      <c r="Y29" s="3235"/>
      <c r="Z29" s="54" t="str">
        <f>Q29</f>
        <v>基础设施水平</v>
      </c>
      <c r="AA29" s="1812">
        <f>D29/F29</f>
        <v>1</v>
      </c>
      <c r="AB29" s="1812">
        <f>D29/H29</f>
        <v>1</v>
      </c>
      <c r="AC29" s="1812">
        <f>D29/J29</f>
        <v>1</v>
      </c>
    </row>
    <row r="30" spans="1:29" s="116" customFormat="1" ht="15">
      <c r="A30" s="647"/>
      <c r="B30" s="454"/>
      <c r="C30" s="2703"/>
      <c r="D30" s="446"/>
      <c r="E30" s="2704"/>
      <c r="F30" s="446"/>
      <c r="G30" s="2704"/>
      <c r="H30" s="446"/>
      <c r="I30" s="2704"/>
      <c r="J30" s="446"/>
      <c r="K30" s="670"/>
      <c r="L30" s="1133"/>
      <c r="M30" s="1134"/>
      <c r="N30" s="1134"/>
      <c r="O30" s="1135"/>
      <c r="P30" s="3235"/>
      <c r="Q30" s="1796"/>
      <c r="R30" s="768"/>
      <c r="S30" s="769"/>
      <c r="T30" s="768"/>
      <c r="U30" s="769"/>
      <c r="V30" s="768"/>
      <c r="W30" s="769"/>
      <c r="X30" s="770"/>
      <c r="Y30" s="3235"/>
      <c r="Z30" s="54"/>
      <c r="AA30" s="1812">
        <v>1</v>
      </c>
      <c r="AB30" s="1812">
        <v>1</v>
      </c>
      <c r="AC30" s="1812">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35"/>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35"/>
      <c r="Z31" s="1815" t="str">
        <f t="shared" ref="Z31:Z45" si="13">Q31</f>
        <v>临街状况</v>
      </c>
      <c r="AA31" s="1812">
        <f t="shared" si="3"/>
        <v>1</v>
      </c>
      <c r="AB31" s="1812">
        <f t="shared" si="4"/>
        <v>1</v>
      </c>
      <c r="AC31" s="1812">
        <f t="shared" si="5"/>
        <v>1</v>
      </c>
    </row>
    <row r="32" spans="1:29" ht="27">
      <c r="A32" s="426"/>
      <c r="B32" s="1385"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35"/>
      <c r="Q32" s="1811" t="str">
        <f t="shared" si="8"/>
        <v>毗邻道路的类型与等级</v>
      </c>
      <c r="R32" s="772" t="s">
        <v>17</v>
      </c>
      <c r="S32" s="773">
        <f t="shared" si="10"/>
        <v>100</v>
      </c>
      <c r="T32" s="772" t="s">
        <v>17</v>
      </c>
      <c r="U32" s="773">
        <f t="shared" si="11"/>
        <v>100</v>
      </c>
      <c r="V32" s="772" t="s">
        <v>17</v>
      </c>
      <c r="W32" s="773">
        <f t="shared" si="12"/>
        <v>100</v>
      </c>
      <c r="X32" s="1814"/>
      <c r="Y32" s="3235"/>
      <c r="Z32" s="1815" t="str">
        <f t="shared" si="13"/>
        <v>毗邻道路的类型与等级</v>
      </c>
      <c r="AA32" s="1812">
        <f t="shared" si="3"/>
        <v>1</v>
      </c>
      <c r="AB32" s="1812">
        <f t="shared" si="4"/>
        <v>1</v>
      </c>
      <c r="AC32" s="1812">
        <f t="shared" si="5"/>
        <v>1</v>
      </c>
    </row>
    <row r="33" spans="1:29" ht="15">
      <c r="A33" s="426"/>
      <c r="B33" s="454"/>
      <c r="C33" s="445"/>
      <c r="D33" s="446"/>
      <c r="E33" s="2614"/>
      <c r="F33" s="446"/>
      <c r="G33" s="2614"/>
      <c r="H33" s="446"/>
      <c r="I33" s="445"/>
      <c r="J33" s="446"/>
      <c r="K33" s="611"/>
      <c r="L33" s="1141"/>
      <c r="M33" s="1132"/>
      <c r="N33" s="1132"/>
      <c r="O33" s="1140"/>
      <c r="P33" s="3235"/>
      <c r="Q33" s="1811"/>
      <c r="R33" s="772"/>
      <c r="S33" s="773"/>
      <c r="T33" s="772"/>
      <c r="U33" s="773"/>
      <c r="V33" s="772"/>
      <c r="W33" s="773"/>
      <c r="X33" s="1814"/>
      <c r="Y33" s="3235"/>
      <c r="Z33" s="1815"/>
      <c r="AA33" s="1812">
        <v>1</v>
      </c>
      <c r="AB33" s="1812">
        <v>1</v>
      </c>
      <c r="AC33" s="1812">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35"/>
      <c r="Q34" s="1811" t="str">
        <f t="shared" si="8"/>
        <v>土地级别</v>
      </c>
      <c r="R34" s="772" t="s">
        <v>17</v>
      </c>
      <c r="S34" s="773">
        <f t="shared" si="10"/>
        <v>100</v>
      </c>
      <c r="T34" s="772" t="s">
        <v>17</v>
      </c>
      <c r="U34" s="773">
        <f t="shared" si="11"/>
        <v>100</v>
      </c>
      <c r="V34" s="772" t="s">
        <v>17</v>
      </c>
      <c r="W34" s="773">
        <f t="shared" si="12"/>
        <v>100</v>
      </c>
      <c r="X34" s="1814"/>
      <c r="Y34" s="3235"/>
      <c r="Z34" s="1815" t="str">
        <f t="shared" si="13"/>
        <v>土地级别</v>
      </c>
      <c r="AA34" s="1812">
        <f t="shared" si="3"/>
        <v>1</v>
      </c>
      <c r="AB34" s="1812">
        <f t="shared" si="4"/>
        <v>1</v>
      </c>
      <c r="AC34" s="1812">
        <f t="shared" si="5"/>
        <v>1</v>
      </c>
    </row>
    <row r="35" spans="1:29" ht="15">
      <c r="A35" s="403"/>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35"/>
      <c r="Q35" s="1811">
        <f t="shared" si="8"/>
        <v>111</v>
      </c>
      <c r="R35" s="772" t="s">
        <v>17</v>
      </c>
      <c r="S35" s="773">
        <f t="shared" si="10"/>
        <v>100</v>
      </c>
      <c r="T35" s="772" t="s">
        <v>17</v>
      </c>
      <c r="U35" s="773">
        <f t="shared" si="11"/>
        <v>100</v>
      </c>
      <c r="V35" s="772" t="s">
        <v>17</v>
      </c>
      <c r="W35" s="773">
        <f t="shared" si="12"/>
        <v>100</v>
      </c>
      <c r="X35" s="1814"/>
      <c r="Y35" s="3235"/>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59" t="s">
        <v>2563</v>
      </c>
      <c r="Q36" s="1811">
        <f t="shared" si="8"/>
        <v>111</v>
      </c>
      <c r="R36" s="772" t="s">
        <v>17</v>
      </c>
      <c r="S36" s="773">
        <f t="shared" si="10"/>
        <v>100</v>
      </c>
      <c r="T36" s="772" t="s">
        <v>17</v>
      </c>
      <c r="U36" s="773">
        <f t="shared" si="11"/>
        <v>100</v>
      </c>
      <c r="V36" s="772" t="s">
        <v>17</v>
      </c>
      <c r="W36" s="773">
        <f t="shared" si="12"/>
        <v>100</v>
      </c>
      <c r="X36" s="1814"/>
      <c r="Y36" s="3239" t="s">
        <v>2563</v>
      </c>
      <c r="Z36" s="1815">
        <f t="shared" si="13"/>
        <v>111</v>
      </c>
      <c r="AA36" s="1812">
        <f t="shared" si="3"/>
        <v>1</v>
      </c>
      <c r="AB36" s="1812">
        <f t="shared" si="4"/>
        <v>1</v>
      </c>
      <c r="AC36" s="1812">
        <f t="shared" si="5"/>
        <v>1</v>
      </c>
    </row>
    <row r="37" spans="1:29" s="469" customFormat="1" ht="15.75" thickBot="1">
      <c r="A37" s="674"/>
      <c r="B37" s="1389">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39"/>
      <c r="Q37" s="1811">
        <f t="shared" si="8"/>
        <v>111</v>
      </c>
      <c r="R37" s="775" t="s">
        <v>17</v>
      </c>
      <c r="S37" s="776">
        <f t="shared" si="10"/>
        <v>100</v>
      </c>
      <c r="T37" s="775" t="s">
        <v>17</v>
      </c>
      <c r="U37" s="776">
        <f t="shared" si="11"/>
        <v>100</v>
      </c>
      <c r="V37" s="775" t="s">
        <v>17</v>
      </c>
      <c r="W37" s="776">
        <f t="shared" si="12"/>
        <v>100</v>
      </c>
      <c r="X37" s="777"/>
      <c r="Y37" s="3239"/>
      <c r="Z37" s="778">
        <f t="shared" si="13"/>
        <v>111</v>
      </c>
      <c r="AA37" s="1812">
        <f t="shared" si="3"/>
        <v>1</v>
      </c>
      <c r="AB37" s="1812">
        <f t="shared" si="4"/>
        <v>1</v>
      </c>
      <c r="AC37" s="1812">
        <f t="shared" si="5"/>
        <v>1</v>
      </c>
    </row>
    <row r="38" spans="1:29" ht="15">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39"/>
      <c r="Q38" s="1811" t="str">
        <f>B38</f>
        <v>宗地面积</v>
      </c>
      <c r="R38" s="772" t="s">
        <v>17</v>
      </c>
      <c r="S38" s="773" t="e">
        <f t="shared" si="10"/>
        <v>#N/A</v>
      </c>
      <c r="T38" s="772" t="s">
        <v>17</v>
      </c>
      <c r="U38" s="773" t="e">
        <f t="shared" si="11"/>
        <v>#N/A</v>
      </c>
      <c r="V38" s="772" t="s">
        <v>17</v>
      </c>
      <c r="W38" s="773" t="e">
        <f t="shared" si="12"/>
        <v>#N/A</v>
      </c>
      <c r="X38" s="1814"/>
      <c r="Y38" s="3239"/>
      <c r="Z38" s="1815" t="str">
        <f t="shared" si="13"/>
        <v>宗地面积</v>
      </c>
      <c r="AA38" s="1812" t="e">
        <f t="shared" si="3"/>
        <v>#N/A</v>
      </c>
      <c r="AB38" s="1812" t="e">
        <f t="shared" si="4"/>
        <v>#N/A</v>
      </c>
      <c r="AC38" s="1812" t="e">
        <f t="shared" si="5"/>
        <v>#N/A</v>
      </c>
    </row>
    <row r="39" spans="1:29" ht="15">
      <c r="A39" s="470"/>
      <c r="B39" s="420" t="s">
        <v>2750</v>
      </c>
      <c r="C39" s="2616"/>
      <c r="D39" s="433">
        <v>100</v>
      </c>
      <c r="E39" s="2616"/>
      <c r="F39" s="433">
        <f>SUMIF(119:119,E39,120:120)-SUMIF(119:119,C39,120:120)+100</f>
        <v>100</v>
      </c>
      <c r="G39" s="2616"/>
      <c r="H39" s="433">
        <f>SUMIF(119:119,G39,120:120)-SUMIF(119:119,C39,120:120)+100</f>
        <v>100</v>
      </c>
      <c r="I39" s="2616"/>
      <c r="J39" s="433">
        <f>SUMIF(119:119,I39,120:120)-SUMIF(119:119,C39,120:120)+100</f>
        <v>100</v>
      </c>
      <c r="K39" s="610"/>
      <c r="L39" s="1141"/>
      <c r="M39" s="1132"/>
      <c r="N39" s="1132"/>
      <c r="O39" s="1140"/>
      <c r="P39" s="3239"/>
      <c r="Q39" s="1811" t="str">
        <f t="shared" ref="Q39:Q45" si="14">B39</f>
        <v>宗地形状</v>
      </c>
      <c r="R39" s="772" t="s">
        <v>17</v>
      </c>
      <c r="S39" s="773">
        <f t="shared" si="10"/>
        <v>100</v>
      </c>
      <c r="T39" s="772" t="s">
        <v>17</v>
      </c>
      <c r="U39" s="773">
        <f t="shared" si="11"/>
        <v>100</v>
      </c>
      <c r="V39" s="772" t="s">
        <v>17</v>
      </c>
      <c r="W39" s="773">
        <f t="shared" si="12"/>
        <v>100</v>
      </c>
      <c r="X39" s="1814"/>
      <c r="Y39" s="3239"/>
      <c r="Z39" s="1815" t="str">
        <f t="shared" si="13"/>
        <v>宗地形状</v>
      </c>
      <c r="AA39" s="1812">
        <f t="shared" si="3"/>
        <v>1</v>
      </c>
      <c r="AB39" s="1812">
        <f t="shared" si="4"/>
        <v>1</v>
      </c>
      <c r="AC39" s="1812">
        <f t="shared" si="5"/>
        <v>1</v>
      </c>
    </row>
    <row r="40" spans="1:29" ht="15">
      <c r="A40" s="470"/>
      <c r="B40" s="420" t="s">
        <v>2751</v>
      </c>
      <c r="C40" s="2616"/>
      <c r="D40" s="433">
        <v>100</v>
      </c>
      <c r="E40" s="2616"/>
      <c r="F40" s="433">
        <f>SUMIF(121:121,E40,122:122)-SUMIF(121:121,C40,122:122)+100</f>
        <v>100</v>
      </c>
      <c r="G40" s="2616"/>
      <c r="H40" s="433">
        <f>SUMIF(121:121,G40,122:122)-SUMIF(121:121,C40,122:122)+100</f>
        <v>100</v>
      </c>
      <c r="I40" s="2616"/>
      <c r="J40" s="433">
        <f>SUMIF(121:121,I40,122:122)-SUMIF(121:121,C40,122:122)+100</f>
        <v>100</v>
      </c>
      <c r="K40" s="610"/>
      <c r="L40" s="1141"/>
      <c r="M40" s="1132"/>
      <c r="N40" s="1132"/>
      <c r="O40" s="1140"/>
      <c r="P40" s="3239"/>
      <c r="Q40" s="1811" t="str">
        <f t="shared" si="14"/>
        <v>临街宽度及深度</v>
      </c>
      <c r="R40" s="772" t="s">
        <v>17</v>
      </c>
      <c r="S40" s="773">
        <f t="shared" si="10"/>
        <v>100</v>
      </c>
      <c r="T40" s="772" t="s">
        <v>17</v>
      </c>
      <c r="U40" s="773">
        <f t="shared" si="11"/>
        <v>100</v>
      </c>
      <c r="V40" s="772" t="s">
        <v>17</v>
      </c>
      <c r="W40" s="773">
        <f t="shared" si="12"/>
        <v>100</v>
      </c>
      <c r="X40" s="1814"/>
      <c r="Y40" s="3239"/>
      <c r="Z40" s="1815" t="str">
        <f t="shared" si="13"/>
        <v>临街宽度及深度</v>
      </c>
      <c r="AA40" s="1812">
        <f t="shared" si="3"/>
        <v>1</v>
      </c>
      <c r="AB40" s="1812">
        <f t="shared" si="4"/>
        <v>1</v>
      </c>
      <c r="AC40" s="1812">
        <f t="shared" si="5"/>
        <v>1</v>
      </c>
    </row>
    <row r="41" spans="1:29" s="116" customFormat="1" ht="15">
      <c r="A41" s="471"/>
      <c r="B41" s="420" t="s">
        <v>2752</v>
      </c>
      <c r="C41" s="2705"/>
      <c r="D41" s="135">
        <v>100</v>
      </c>
      <c r="E41" s="2705"/>
      <c r="F41" s="433">
        <f>SUMIF(123:123,E41,124:124)-SUMIF(123:123,C41,124:124)+100</f>
        <v>100</v>
      </c>
      <c r="G41" s="2705"/>
      <c r="H41" s="433">
        <f>SUMIF(123:123,G41,124:124)-SUMIF(123:123,C41,124:124)+100</f>
        <v>100</v>
      </c>
      <c r="I41" s="2705"/>
      <c r="J41" s="433">
        <f>SUMIF(123:123,I41,124:124)-SUMIF(123:123,C41,124:124)+100</f>
        <v>100</v>
      </c>
      <c r="K41" s="610"/>
      <c r="L41" s="1133"/>
      <c r="M41" s="1134"/>
      <c r="N41" s="1134"/>
      <c r="O41" s="1135"/>
      <c r="P41" s="3239"/>
      <c r="Q41" s="1811" t="str">
        <f t="shared" si="14"/>
        <v>宗地开发程度</v>
      </c>
      <c r="R41" s="768" t="s">
        <v>17</v>
      </c>
      <c r="S41" s="769">
        <f t="shared" si="10"/>
        <v>100</v>
      </c>
      <c r="T41" s="768" t="s">
        <v>17</v>
      </c>
      <c r="U41" s="769">
        <f t="shared" si="11"/>
        <v>100</v>
      </c>
      <c r="V41" s="768" t="s">
        <v>17</v>
      </c>
      <c r="W41" s="769">
        <f t="shared" si="12"/>
        <v>100</v>
      </c>
      <c r="X41" s="770"/>
      <c r="Y41" s="3239"/>
      <c r="Z41" s="54" t="str">
        <f t="shared" si="13"/>
        <v>宗地开发程度</v>
      </c>
      <c r="AA41" s="771">
        <f t="shared" si="3"/>
        <v>1</v>
      </c>
      <c r="AB41" s="771">
        <f t="shared" si="4"/>
        <v>1</v>
      </c>
      <c r="AC41" s="771">
        <f t="shared" si="5"/>
        <v>1</v>
      </c>
    </row>
    <row r="42" spans="1:29" ht="15">
      <c r="A42" s="470"/>
      <c r="B42" s="420" t="s">
        <v>2753</v>
      </c>
      <c r="C42" s="2616"/>
      <c r="D42" s="433">
        <v>100</v>
      </c>
      <c r="E42" s="2616"/>
      <c r="F42" s="433">
        <f>SUMIF(125:125,E42,126:126)-SUMIF(125:125,C42,126:126)+100</f>
        <v>100</v>
      </c>
      <c r="G42" s="2616"/>
      <c r="H42" s="433">
        <f>SUMIF(125:125,G42,126:126)-SUMIF(125:125,C42,126:126)+100</f>
        <v>100</v>
      </c>
      <c r="I42" s="2616"/>
      <c r="J42" s="433">
        <f>SUMIF(125:125,I42,126:126)-SUMIF(125:125,C42,126:126)+100</f>
        <v>100</v>
      </c>
      <c r="K42" s="610"/>
      <c r="L42" s="1141"/>
      <c r="M42" s="1132"/>
      <c r="N42" s="1132"/>
      <c r="O42" s="1140"/>
      <c r="P42" s="3239" t="s">
        <v>2563</v>
      </c>
      <c r="Q42" s="1811" t="str">
        <f t="shared" si="14"/>
        <v>工程地质条件</v>
      </c>
      <c r="R42" s="772" t="s">
        <v>17</v>
      </c>
      <c r="S42" s="773">
        <f t="shared" si="10"/>
        <v>100</v>
      </c>
      <c r="T42" s="772" t="s">
        <v>17</v>
      </c>
      <c r="U42" s="773">
        <f t="shared" si="11"/>
        <v>100</v>
      </c>
      <c r="V42" s="772" t="s">
        <v>17</v>
      </c>
      <c r="W42" s="773">
        <f t="shared" si="12"/>
        <v>100</v>
      </c>
      <c r="X42" s="1814"/>
      <c r="Y42" s="3239" t="s">
        <v>2563</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39"/>
      <c r="Q43" s="1811">
        <f t="shared" si="14"/>
        <v>111</v>
      </c>
      <c r="R43" s="772" t="s">
        <v>17</v>
      </c>
      <c r="S43" s="773">
        <f t="shared" si="10"/>
        <v>100</v>
      </c>
      <c r="T43" s="772" t="s">
        <v>17</v>
      </c>
      <c r="U43" s="773">
        <f t="shared" si="11"/>
        <v>100</v>
      </c>
      <c r="V43" s="772" t="s">
        <v>17</v>
      </c>
      <c r="W43" s="773">
        <f t="shared" si="12"/>
        <v>100</v>
      </c>
      <c r="X43" s="1814"/>
      <c r="Y43" s="3239"/>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39"/>
      <c r="Q44" s="1811">
        <f t="shared" si="14"/>
        <v>111</v>
      </c>
      <c r="R44" s="772" t="s">
        <v>17</v>
      </c>
      <c r="S44" s="773">
        <f t="shared" si="10"/>
        <v>100</v>
      </c>
      <c r="T44" s="772" t="s">
        <v>17</v>
      </c>
      <c r="U44" s="773">
        <f t="shared" si="11"/>
        <v>100</v>
      </c>
      <c r="V44" s="772" t="s">
        <v>17</v>
      </c>
      <c r="W44" s="773">
        <f t="shared" si="12"/>
        <v>100</v>
      </c>
      <c r="X44" s="1814"/>
      <c r="Y44" s="3239"/>
      <c r="Z44" s="1815">
        <f t="shared" si="13"/>
        <v>111</v>
      </c>
      <c r="AA44" s="1812">
        <f t="shared" si="3"/>
        <v>1</v>
      </c>
      <c r="AB44" s="1812">
        <f t="shared" si="4"/>
        <v>1</v>
      </c>
      <c r="AC44" s="1812">
        <f t="shared" si="5"/>
        <v>1</v>
      </c>
    </row>
    <row r="45" spans="1:29" s="469" customFormat="1" ht="15.75" thickBot="1">
      <c r="A45" s="466"/>
      <c r="B45" s="1388">
        <v>111</v>
      </c>
      <c r="C45" s="2706"/>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39"/>
      <c r="Q45" s="1811">
        <f t="shared" si="14"/>
        <v>111</v>
      </c>
      <c r="R45" s="775" t="s">
        <v>17</v>
      </c>
      <c r="S45" s="776">
        <f t="shared" si="10"/>
        <v>100</v>
      </c>
      <c r="T45" s="775" t="s">
        <v>17</v>
      </c>
      <c r="U45" s="776">
        <f t="shared" si="11"/>
        <v>100</v>
      </c>
      <c r="V45" s="775" t="s">
        <v>17</v>
      </c>
      <c r="W45" s="776">
        <f t="shared" si="12"/>
        <v>100</v>
      </c>
      <c r="X45" s="777"/>
      <c r="Y45" s="3239"/>
      <c r="Z45" s="778">
        <f t="shared" si="13"/>
        <v>111</v>
      </c>
      <c r="AA45" s="1812">
        <f t="shared" si="3"/>
        <v>1</v>
      </c>
      <c r="AB45" s="1812">
        <f t="shared" si="4"/>
        <v>1</v>
      </c>
      <c r="AC45" s="1812">
        <f t="shared" si="5"/>
        <v>1</v>
      </c>
    </row>
    <row r="46" spans="1:29" ht="15">
      <c r="A46" s="477" t="s">
        <v>2718</v>
      </c>
      <c r="B46" s="2707" t="s">
        <v>2754</v>
      </c>
      <c r="C46" s="680" t="s">
        <v>1</v>
      </c>
      <c r="D46" s="479"/>
      <c r="E46" s="480"/>
      <c r="F46" s="481"/>
      <c r="G46" s="482"/>
      <c r="H46" s="483"/>
      <c r="I46" s="480"/>
      <c r="J46" s="483"/>
      <c r="K46" s="781"/>
      <c r="L46" s="1144"/>
      <c r="M46" s="1145"/>
      <c r="N46" s="1132"/>
      <c r="O46" s="1145"/>
      <c r="P46" s="3232" t="str">
        <f>A46</f>
        <v>成交单价</v>
      </c>
      <c r="Q46" s="3232"/>
      <c r="R46" s="3227">
        <f>E46</f>
        <v>0</v>
      </c>
      <c r="S46" s="3227"/>
      <c r="T46" s="3227">
        <f>G46</f>
        <v>0</v>
      </c>
      <c r="U46" s="3227"/>
      <c r="V46" s="3227">
        <f>I46</f>
        <v>0</v>
      </c>
      <c r="W46" s="3227"/>
      <c r="X46" s="757"/>
      <c r="Y46" s="779"/>
      <c r="Z46" s="757"/>
      <c r="AA46" s="757"/>
      <c r="AB46" s="757"/>
      <c r="AC46" s="757"/>
    </row>
    <row r="47" spans="1:29" ht="15.75" thickBot="1">
      <c r="A47" s="484" t="s">
        <v>2667</v>
      </c>
      <c r="B47" s="681"/>
      <c r="C47" s="488" t="e">
        <f>R48</f>
        <v>#DIV/0!</v>
      </c>
      <c r="D47" s="487"/>
      <c r="E47" s="488" t="e">
        <f>R47</f>
        <v>#DIV/0!</v>
      </c>
      <c r="F47" s="489"/>
      <c r="G47" s="486" t="e">
        <f>T47</f>
        <v>#DIV/0!</v>
      </c>
      <c r="H47" s="487"/>
      <c r="I47" s="488" t="e">
        <f>V47</f>
        <v>#DIV/0!</v>
      </c>
      <c r="J47" s="487"/>
      <c r="K47" s="782"/>
      <c r="L47" s="1144"/>
      <c r="M47" s="1145"/>
      <c r="N47" s="1145"/>
      <c r="O47" s="1145"/>
      <c r="P47" s="3232" t="str">
        <f>A47</f>
        <v>比较价值（元/平方米）</v>
      </c>
      <c r="Q47" s="3232"/>
      <c r="R47" s="3260" t="e">
        <f>ROUND(PRODUCT(R46,AA7:AA45),0)</f>
        <v>#DIV/0!</v>
      </c>
      <c r="S47" s="3260"/>
      <c r="T47" s="3260" t="e">
        <f>ROUND(PRODUCT(T46,AB7:AB45),0)</f>
        <v>#DIV/0!</v>
      </c>
      <c r="U47" s="3260"/>
      <c r="V47" s="3260" t="e">
        <f>ROUND(PRODUCT(V46,AC7:AC45),0)</f>
        <v>#DIV/0!</v>
      </c>
      <c r="W47" s="3260"/>
      <c r="X47" s="757"/>
      <c r="Y47" s="757"/>
      <c r="Z47" s="757"/>
      <c r="AA47" s="757"/>
      <c r="AB47" s="757"/>
      <c r="AC47" s="757"/>
    </row>
    <row r="48" spans="1:29" ht="15.75" thickBot="1">
      <c r="A48" s="490" t="s">
        <v>2755</v>
      </c>
      <c r="B48" s="491"/>
      <c r="C48" s="492" t="e">
        <f>R48</f>
        <v>#DIV/0!</v>
      </c>
      <c r="D48" s="492"/>
      <c r="E48" s="492"/>
      <c r="F48" s="492"/>
      <c r="G48" s="492"/>
      <c r="H48" s="492"/>
      <c r="I48" s="492"/>
      <c r="J48" s="492"/>
      <c r="K48" s="783"/>
      <c r="L48" s="1144"/>
      <c r="M48" s="1145"/>
      <c r="N48" s="1145"/>
      <c r="O48" s="1145"/>
      <c r="P48" s="3229" t="str">
        <f>A48</f>
        <v>估价对象XX用房的比较价值（楼面单价，元/平方米）</v>
      </c>
      <c r="Q48" s="3230"/>
      <c r="R48" s="3261" t="e">
        <f>ROUND(AVERAGE(R47:V47),0)</f>
        <v>#DIV/0!</v>
      </c>
      <c r="S48" s="3261"/>
      <c r="T48" s="3261"/>
      <c r="U48" s="3261"/>
      <c r="V48" s="3261"/>
      <c r="W48" s="326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2756</v>
      </c>
      <c r="B55" s="683" t="s">
        <v>2757</v>
      </c>
      <c r="C55" s="2708" t="s">
        <v>2758</v>
      </c>
      <c r="D55" s="2709" t="s">
        <v>2759</v>
      </c>
      <c r="E55" s="684" t="s">
        <v>2760</v>
      </c>
      <c r="F55" s="1108" t="s">
        <v>2761</v>
      </c>
      <c r="G55" s="3215" t="s">
        <v>2762</v>
      </c>
      <c r="H55" s="3262"/>
      <c r="I55" s="143" t="s">
        <v>2763</v>
      </c>
      <c r="J55" s="2710" t="str">
        <f>项目基本情况!F35</f>
        <v>上海</v>
      </c>
      <c r="K55" s="2711" t="s">
        <v>2764</v>
      </c>
      <c r="L55" s="1107"/>
      <c r="M55" s="1145"/>
      <c r="N55" s="1145"/>
      <c r="O55" s="1145"/>
    </row>
    <row r="56" spans="1:15" s="690" customFormat="1">
      <c r="A56" s="686" t="s">
        <v>2765</v>
      </c>
      <c r="B56" s="687" t="e">
        <f>C48</f>
        <v>#DIV/0!</v>
      </c>
      <c r="C56" s="688">
        <v>1</v>
      </c>
      <c r="D56" s="1164">
        <v>1</v>
      </c>
      <c r="E56" s="688">
        <f>'数据-汇总表'!E8+'数据-汇总表'!E9</f>
        <v>77026.790000000008</v>
      </c>
      <c r="F56" s="1104" t="e">
        <f t="shared" ref="F56:F65" si="15">ROUND(B56*E56/10000,0)</f>
        <v>#DIV/0!</v>
      </c>
      <c r="G56" s="3214"/>
      <c r="H56" s="3232"/>
      <c r="I56" s="1109">
        <v>1</v>
      </c>
      <c r="J56" s="1112">
        <v>1</v>
      </c>
      <c r="K56" s="1146"/>
      <c r="L56" s="942"/>
      <c r="M56" s="942"/>
      <c r="N56" s="942"/>
      <c r="O56" s="942"/>
    </row>
    <row r="57" spans="1:15" s="690" customFormat="1">
      <c r="A57" s="691" t="s">
        <v>2766</v>
      </c>
      <c r="B57" s="261" t="e">
        <f>ROUND($C$48*C57*D57,0)</f>
        <v>#DIV/0!</v>
      </c>
      <c r="C57" s="199">
        <f t="shared" ref="C57:C65" si="16">IF($C$55="北京市系数",I57,J57)</f>
        <v>0</v>
      </c>
      <c r="D57" s="1165">
        <v>0.25</v>
      </c>
      <c r="E57" s="692"/>
      <c r="F57" s="1104" t="e">
        <f t="shared" si="15"/>
        <v>#DIV/0!</v>
      </c>
      <c r="G57" s="3263" t="s">
        <v>2767</v>
      </c>
      <c r="H57" s="1105">
        <f>项目基本情况!B37</f>
        <v>0</v>
      </c>
      <c r="I57" s="1109">
        <f>SUMIF(修正!A45:A56,H57,修正!B45:B56)</f>
        <v>0</v>
      </c>
      <c r="J57" s="1113"/>
      <c r="K57" s="1145"/>
      <c r="L57" s="942"/>
      <c r="M57" s="942"/>
      <c r="N57" s="942"/>
      <c r="O57" s="942"/>
    </row>
    <row r="58" spans="1:15" s="690" customFormat="1">
      <c r="A58" s="691" t="s">
        <v>2768</v>
      </c>
      <c r="B58" s="261" t="e">
        <f t="shared" ref="B58:B65" si="17">ROUND($C$48*C58*D58,0)</f>
        <v>#DIV/0!</v>
      </c>
      <c r="C58" s="199">
        <f t="shared" si="16"/>
        <v>0</v>
      </c>
      <c r="D58" s="1165">
        <v>0.25</v>
      </c>
      <c r="E58" s="692"/>
      <c r="F58" s="1104" t="e">
        <f t="shared" si="15"/>
        <v>#DIV/0!</v>
      </c>
      <c r="G58" s="3263"/>
      <c r="H58" s="1105">
        <f>项目基本情况!B37</f>
        <v>0</v>
      </c>
      <c r="I58" s="1109">
        <f>SUMIF(修正!A45:A56,H58,修正!C45:C56)</f>
        <v>0</v>
      </c>
      <c r="J58" s="1113"/>
      <c r="K58" s="1146"/>
      <c r="L58" s="942"/>
      <c r="M58" s="942"/>
      <c r="N58" s="942"/>
      <c r="O58" s="942"/>
    </row>
    <row r="59" spans="1:15" s="690" customFormat="1">
      <c r="A59" s="691" t="s">
        <v>2769</v>
      </c>
      <c r="B59" s="261" t="e">
        <f t="shared" si="17"/>
        <v>#DIV/0!</v>
      </c>
      <c r="C59" s="199">
        <f t="shared" si="16"/>
        <v>0</v>
      </c>
      <c r="D59" s="1165">
        <v>0.25</v>
      </c>
      <c r="E59" s="692"/>
      <c r="F59" s="1104" t="e">
        <f t="shared" si="15"/>
        <v>#DIV/0!</v>
      </c>
      <c r="G59" s="3263"/>
      <c r="H59" s="1105">
        <f>项目基本情况!B37</f>
        <v>0</v>
      </c>
      <c r="I59" s="1109">
        <f>SUMIF(修正!A45:A56,H59,修正!D45:D56)</f>
        <v>0</v>
      </c>
      <c r="J59" s="1113"/>
      <c r="K59" s="1145"/>
      <c r="L59" s="942"/>
      <c r="M59" s="942"/>
      <c r="N59" s="942"/>
      <c r="O59" s="942"/>
    </row>
    <row r="60" spans="1:15" s="690" customFormat="1">
      <c r="A60" s="691" t="s">
        <v>2770</v>
      </c>
      <c r="B60" s="261" t="e">
        <f t="shared" si="17"/>
        <v>#DIV/0!</v>
      </c>
      <c r="C60" s="199">
        <f t="shared" si="16"/>
        <v>0</v>
      </c>
      <c r="D60" s="1165">
        <v>0.25</v>
      </c>
      <c r="E60" s="692"/>
      <c r="F60" s="1104" t="e">
        <f t="shared" si="15"/>
        <v>#DIV/0!</v>
      </c>
      <c r="G60" s="3263"/>
      <c r="H60" s="1105">
        <f>项目基本情况!B37</f>
        <v>0</v>
      </c>
      <c r="I60" s="1109">
        <f>SUMIF(修正!A45:A56,H60,修正!E45:E56)</f>
        <v>0</v>
      </c>
      <c r="J60" s="1113"/>
      <c r="K60" s="1146"/>
      <c r="L60" s="942"/>
      <c r="M60" s="942"/>
      <c r="N60" s="942"/>
      <c r="O60" s="942"/>
    </row>
    <row r="61" spans="1:15" s="690" customFormat="1">
      <c r="A61" s="691" t="s">
        <v>2771</v>
      </c>
      <c r="B61" s="261" t="e">
        <f t="shared" si="17"/>
        <v>#DIV/0!</v>
      </c>
      <c r="C61" s="199">
        <f t="shared" si="16"/>
        <v>0</v>
      </c>
      <c r="D61" s="1165">
        <v>0.25</v>
      </c>
      <c r="E61" s="260">
        <f>'数据-汇总表'!E11</f>
        <v>0</v>
      </c>
      <c r="F61" s="1104" t="e">
        <f t="shared" si="15"/>
        <v>#DIV/0!</v>
      </c>
      <c r="G61" s="2712" t="s">
        <v>2772</v>
      </c>
      <c r="H61" s="1105">
        <f>项目基本情况!C37</f>
        <v>0</v>
      </c>
      <c r="I61" s="1109">
        <f>SUMIF(修正!A45:A56,H61,修正!F45:F56)</f>
        <v>0</v>
      </c>
      <c r="J61" s="1113"/>
      <c r="K61" s="1145"/>
      <c r="L61" s="942"/>
      <c r="M61" s="942"/>
      <c r="N61" s="942"/>
      <c r="O61" s="942"/>
    </row>
    <row r="62" spans="1:15" s="690" customFormat="1">
      <c r="A62" s="691" t="s">
        <v>2773</v>
      </c>
      <c r="B62" s="261" t="e">
        <f t="shared" si="17"/>
        <v>#DIV/0!</v>
      </c>
      <c r="C62" s="199">
        <f t="shared" si="16"/>
        <v>0</v>
      </c>
      <c r="D62" s="1165">
        <v>0.25</v>
      </c>
      <c r="E62" s="260">
        <f>'数据-汇总表'!E12</f>
        <v>0</v>
      </c>
      <c r="F62" s="1104" t="e">
        <f t="shared" si="15"/>
        <v>#DIV/0!</v>
      </c>
      <c r="G62" s="1110" t="s">
        <v>2774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2775</v>
      </c>
      <c r="B63" s="261" t="e">
        <f t="shared" si="17"/>
        <v>#DIV/0!</v>
      </c>
      <c r="C63" s="199">
        <f t="shared" si="16"/>
        <v>0</v>
      </c>
      <c r="D63" s="1165">
        <v>0.25</v>
      </c>
      <c r="E63" s="260">
        <f>'数据-汇总表'!E13</f>
        <v>14213.06</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2777</v>
      </c>
      <c r="B64" s="261" t="e">
        <f t="shared" si="17"/>
        <v>#DIV/0!</v>
      </c>
      <c r="C64" s="199">
        <f t="shared" si="16"/>
        <v>0</v>
      </c>
      <c r="D64" s="1165">
        <v>0.25</v>
      </c>
      <c r="E64" s="260">
        <f>'数据-汇总表'!E14</f>
        <v>0</v>
      </c>
      <c r="F64" s="1104" t="e">
        <f t="shared" si="15"/>
        <v>#DIV/0!</v>
      </c>
      <c r="G64" s="2712" t="s">
        <v>2767</v>
      </c>
      <c r="H64" s="1105">
        <f>项目基本情况!B37</f>
        <v>0</v>
      </c>
      <c r="I64" s="1109">
        <f>SUMIF(修正!A45:A56,H64,修正!H45:H56)</f>
        <v>0</v>
      </c>
      <c r="J64" s="1113"/>
      <c r="K64" s="1146"/>
      <c r="L64" s="942"/>
      <c r="M64" s="942"/>
      <c r="N64" s="942"/>
      <c r="O64" s="942"/>
    </row>
    <row r="65" spans="1:17" s="690" customFormat="1" ht="15" thickBot="1">
      <c r="A65" s="691" t="s">
        <v>2778</v>
      </c>
      <c r="B65" s="261" t="e">
        <f t="shared" si="17"/>
        <v>#DIV/0!</v>
      </c>
      <c r="C65" s="199">
        <f t="shared" si="16"/>
        <v>0</v>
      </c>
      <c r="D65" s="1165">
        <v>0.25</v>
      </c>
      <c r="E65" s="260">
        <f>'数据-汇总表'!E15</f>
        <v>0</v>
      </c>
      <c r="F65" s="1104" t="e">
        <f t="shared" si="15"/>
        <v>#DIV/0!</v>
      </c>
      <c r="G65" s="2713" t="s">
        <v>2772</v>
      </c>
      <c r="H65" s="1115">
        <f>项目基本情况!C37</f>
        <v>0</v>
      </c>
      <c r="I65" s="1111">
        <f>SUMIF(修正!A45:A56,H65,修正!H45:H56)</f>
        <v>0</v>
      </c>
      <c r="J65" s="1114"/>
      <c r="K65" s="1145"/>
      <c r="L65" s="942"/>
      <c r="M65" s="942"/>
      <c r="N65" s="942"/>
      <c r="O65" s="942"/>
    </row>
    <row r="66" spans="1:17" s="690" customFormat="1" ht="13.5" thickBot="1">
      <c r="A66" s="693" t="s">
        <v>2779</v>
      </c>
      <c r="B66" s="694" t="s">
        <v>28</v>
      </c>
      <c r="C66" s="694" t="s">
        <v>29</v>
      </c>
      <c r="D66" s="694" t="s">
        <v>1026</v>
      </c>
      <c r="E66" s="694">
        <f>IF(B46="楼面地价",SUM(E56:E65),'数据-汇总表'!D3)</f>
        <v>91239.85</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1.75" thickBot="1">
      <c r="A69" s="761" t="s">
        <v>2672</v>
      </c>
      <c r="B69" s="757"/>
      <c r="C69" s="762"/>
      <c r="D69" s="762"/>
      <c r="E69" s="762"/>
      <c r="F69" s="763"/>
      <c r="G69" s="763"/>
      <c r="H69" s="762"/>
      <c r="I69" s="762"/>
      <c r="J69" s="1160"/>
      <c r="K69" s="1161"/>
      <c r="L69" s="1162"/>
      <c r="M69" s="1160"/>
      <c r="N69" s="1160"/>
      <c r="O69" s="1160"/>
      <c r="P69" s="501"/>
      <c r="Q69" s="502"/>
    </row>
    <row r="70" spans="1:17" s="506" customFormat="1" ht="15">
      <c r="A70" s="2714" t="s">
        <v>2780</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5"/>
    </row>
    <row r="71" spans="1:17" s="116" customFormat="1" ht="30" customHeight="1">
      <c r="A71" s="2715" t="s">
        <v>2781</v>
      </c>
      <c r="B71" s="331" t="str">
        <f>"北京市平均增长率"&amp;TEXT(SUMIF(基准地价修正!N21:N25,A71,基准地价修正!P21:P25),"0.00%")</f>
        <v>北京市平均增长率2.34%</v>
      </c>
      <c r="C71" s="601">
        <v>100</v>
      </c>
      <c r="D71" s="593"/>
      <c r="E71" s="593"/>
      <c r="F71" s="593"/>
      <c r="G71" s="593"/>
      <c r="H71" s="593"/>
      <c r="I71" s="593"/>
      <c r="J71" s="593"/>
      <c r="K71" s="593"/>
      <c r="L71" s="593"/>
      <c r="M71" s="1568"/>
      <c r="N71" s="593"/>
      <c r="O71" s="1569"/>
      <c r="P71" s="502"/>
    </row>
    <row r="72" spans="1:17" s="116" customFormat="1" ht="15.75" thickBot="1">
      <c r="A72" s="513" t="s">
        <v>2583</v>
      </c>
      <c r="B72" s="514"/>
      <c r="C72" s="515"/>
      <c r="D72" s="516"/>
      <c r="E72" s="516"/>
      <c r="F72" s="516"/>
      <c r="G72" s="516"/>
      <c r="H72" s="516"/>
      <c r="I72" s="516"/>
      <c r="J72" s="516"/>
      <c r="K72" s="516"/>
      <c r="L72" s="516"/>
      <c r="M72" s="517"/>
      <c r="N72" s="516"/>
      <c r="O72" s="1163"/>
      <c r="P72" s="502"/>
      <c r="Q72" s="502"/>
    </row>
    <row r="73" spans="1:17" s="116" customFormat="1" ht="15">
      <c r="A73" s="519" t="s">
        <v>2548</v>
      </c>
      <c r="B73" s="508"/>
      <c r="C73" s="520" t="s">
        <v>2650</v>
      </c>
      <c r="D73" s="521"/>
      <c r="E73" s="521"/>
      <c r="F73" s="521"/>
      <c r="G73" s="521"/>
      <c r="H73" s="521"/>
      <c r="I73" s="521"/>
      <c r="J73" s="521"/>
      <c r="K73" s="521"/>
      <c r="L73" s="522"/>
      <c r="M73" s="523"/>
      <c r="N73" s="1152"/>
      <c r="O73" s="1152"/>
      <c r="P73" s="524"/>
      <c r="Q73" s="502"/>
    </row>
    <row r="74" spans="1:17" s="116"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2586</v>
      </c>
      <c r="B75" s="526" t="s">
        <v>2552</v>
      </c>
      <c r="C75" s="528"/>
      <c r="D75" s="528"/>
      <c r="E75" s="528"/>
      <c r="F75" s="528"/>
      <c r="G75" s="528"/>
      <c r="H75" s="528"/>
      <c r="I75" s="528"/>
      <c r="J75" s="528"/>
      <c r="K75" s="529"/>
      <c r="L75" s="530"/>
      <c r="M75" s="531"/>
      <c r="N75" s="1153"/>
      <c r="O75" s="1153"/>
      <c r="P75" s="44"/>
      <c r="Q75" s="502"/>
    </row>
    <row r="76" spans="1:17" ht="15.75" thickBot="1">
      <c r="A76" s="532"/>
      <c r="B76" s="533"/>
      <c r="C76" s="534"/>
      <c r="D76" s="534"/>
      <c r="E76" s="534"/>
      <c r="F76" s="534"/>
      <c r="G76" s="534"/>
      <c r="H76" s="534"/>
      <c r="I76" s="534"/>
      <c r="J76" s="534"/>
      <c r="K76" s="534"/>
      <c r="L76" s="534"/>
      <c r="M76" s="535"/>
      <c r="N76" s="1154"/>
      <c r="O76" s="1154"/>
      <c r="P76" s="44"/>
      <c r="Q76" s="502"/>
    </row>
    <row r="77" spans="1:17" ht="27.75" thickTop="1">
      <c r="A77" s="532"/>
      <c r="B77" s="536" t="s">
        <v>2555</v>
      </c>
      <c r="C77" s="537"/>
      <c r="D77" s="537"/>
      <c r="E77" s="537"/>
      <c r="F77" s="537"/>
      <c r="G77" s="537"/>
      <c r="H77" s="537"/>
      <c r="I77" s="537"/>
      <c r="J77" s="537"/>
      <c r="K77" s="538"/>
      <c r="L77" s="539"/>
      <c r="M77" s="540"/>
      <c r="N77" s="1153"/>
      <c r="O77" s="1153"/>
      <c r="P77" s="44"/>
      <c r="Q77" s="502"/>
    </row>
    <row r="78" spans="1:17" ht="15.75" thickBot="1">
      <c r="A78" s="532"/>
      <c r="B78" s="541"/>
      <c r="C78" s="542"/>
      <c r="D78" s="542"/>
      <c r="E78" s="542"/>
      <c r="F78" s="542"/>
      <c r="G78" s="542"/>
      <c r="H78" s="542"/>
      <c r="I78" s="542"/>
      <c r="J78" s="542"/>
      <c r="K78" s="542"/>
      <c r="L78" s="542"/>
      <c r="M78" s="543"/>
      <c r="N78" s="1154"/>
      <c r="O78" s="1154"/>
      <c r="P78" s="44"/>
      <c r="Q78" s="502"/>
    </row>
    <row r="79" spans="1:17" ht="15.7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4"/>
      <c r="Q79" s="502"/>
    </row>
    <row r="80" spans="1:17" ht="15">
      <c r="A80" s="532"/>
      <c r="B80" s="546"/>
      <c r="C80" s="547"/>
      <c r="D80" s="547"/>
      <c r="E80" s="547"/>
      <c r="F80" s="547"/>
      <c r="G80" s="547"/>
      <c r="H80" s="547"/>
      <c r="I80" s="547"/>
      <c r="J80" s="547"/>
      <c r="K80" s="548"/>
      <c r="L80" s="549"/>
      <c r="M80" s="550"/>
      <c r="N80" s="1153"/>
      <c r="O80" s="1153"/>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4"/>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2557</v>
      </c>
      <c r="B88" s="526" t="s">
        <v>2594</v>
      </c>
      <c r="C88" s="571" t="s">
        <v>2595</v>
      </c>
      <c r="D88" s="571" t="s">
        <v>2596</v>
      </c>
      <c r="E88" s="571" t="s">
        <v>2597</v>
      </c>
      <c r="F88" s="571" t="s">
        <v>2598</v>
      </c>
      <c r="G88" s="571" t="s">
        <v>2599</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4"/>
      <c r="Q89" s="502"/>
    </row>
    <row r="90" spans="1:17" ht="15.75" thickTop="1">
      <c r="A90" s="532"/>
      <c r="B90" s="536" t="s">
        <v>2782</v>
      </c>
      <c r="C90" s="576" t="s">
        <v>2595</v>
      </c>
      <c r="D90" s="576" t="s">
        <v>2596</v>
      </c>
      <c r="E90" s="576" t="s">
        <v>2597</v>
      </c>
      <c r="F90" s="576" t="s">
        <v>2598</v>
      </c>
      <c r="G90" s="576" t="s">
        <v>2599</v>
      </c>
      <c r="H90" s="537"/>
      <c r="I90" s="537"/>
      <c r="J90" s="537"/>
      <c r="K90" s="538"/>
      <c r="L90" s="539"/>
      <c r="M90" s="540"/>
      <c r="N90" s="1153"/>
      <c r="O90" s="1153"/>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4"/>
      <c r="Q91" s="502"/>
    </row>
    <row r="92" spans="1:17" ht="15.75" thickTop="1">
      <c r="A92" s="532"/>
      <c r="B92" s="536" t="s">
        <v>2695</v>
      </c>
      <c r="C92" s="576" t="s">
        <v>2595</v>
      </c>
      <c r="D92" s="576" t="s">
        <v>2596</v>
      </c>
      <c r="E92" s="576" t="s">
        <v>2597</v>
      </c>
      <c r="F92" s="576" t="s">
        <v>2598</v>
      </c>
      <c r="G92" s="576" t="s">
        <v>2599</v>
      </c>
      <c r="H92" s="537"/>
      <c r="I92" s="537"/>
      <c r="J92" s="537"/>
      <c r="K92" s="538"/>
      <c r="L92" s="539"/>
      <c r="M92" s="540"/>
      <c r="N92" s="1153"/>
      <c r="O92" s="1153"/>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4"/>
      <c r="Q93" s="502"/>
    </row>
    <row r="94" spans="1:17" ht="15.75" thickTop="1">
      <c r="A94" s="532"/>
      <c r="B94" s="536" t="s">
        <v>2600</v>
      </c>
      <c r="C94" s="576" t="s">
        <v>2595</v>
      </c>
      <c r="D94" s="576" t="s">
        <v>2596</v>
      </c>
      <c r="E94" s="576" t="s">
        <v>2597</v>
      </c>
      <c r="F94" s="576" t="s">
        <v>2598</v>
      </c>
      <c r="G94" s="576" t="s">
        <v>2599</v>
      </c>
      <c r="H94" s="537"/>
      <c r="I94" s="537"/>
      <c r="J94" s="537"/>
      <c r="K94" s="538"/>
      <c r="L94" s="539"/>
      <c r="M94" s="540"/>
      <c r="N94" s="1153"/>
      <c r="O94" s="1153"/>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4"/>
      <c r="Q95" s="502"/>
    </row>
    <row r="96" spans="1:17" s="116" customFormat="1" ht="15.75" thickTop="1">
      <c r="A96" s="577"/>
      <c r="B96" s="536" t="s">
        <v>2783</v>
      </c>
      <c r="C96" s="576" t="s">
        <v>2595</v>
      </c>
      <c r="D96" s="576" t="s">
        <v>2596</v>
      </c>
      <c r="E96" s="576" t="s">
        <v>2597</v>
      </c>
      <c r="F96" s="576" t="s">
        <v>2598</v>
      </c>
      <c r="G96" s="576" t="s">
        <v>2599</v>
      </c>
      <c r="H96" s="576"/>
      <c r="I96" s="576"/>
      <c r="J96" s="576"/>
      <c r="K96" s="576"/>
      <c r="L96" s="696"/>
      <c r="M96" s="620"/>
      <c r="N96" s="1152"/>
      <c r="O96" s="1152"/>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4"/>
      <c r="Q97" s="502"/>
    </row>
    <row r="98" spans="1:17" s="116" customFormat="1" ht="27.75" thickTop="1">
      <c r="A98" s="577"/>
      <c r="B98" s="536" t="s">
        <v>2784</v>
      </c>
      <c r="C98" s="571" t="s">
        <v>2595</v>
      </c>
      <c r="D98" s="571" t="s">
        <v>2596</v>
      </c>
      <c r="E98" s="571" t="s">
        <v>2597</v>
      </c>
      <c r="F98" s="571" t="s">
        <v>2598</v>
      </c>
      <c r="G98" s="571" t="s">
        <v>2599</v>
      </c>
      <c r="H98" s="576"/>
      <c r="I98" s="576"/>
      <c r="J98" s="576"/>
      <c r="K98" s="576"/>
      <c r="L98" s="576"/>
      <c r="M98" s="620"/>
      <c r="N98" s="1152"/>
      <c r="O98" s="1152"/>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4"/>
      <c r="Q99" s="502"/>
    </row>
    <row r="100" spans="1:17" s="469" customFormat="1" ht="15.75" thickTop="1">
      <c r="A100" s="551"/>
      <c r="B100" s="536" t="s">
        <v>2652</v>
      </c>
      <c r="C100" s="571" t="s">
        <v>2595</v>
      </c>
      <c r="D100" s="571" t="s">
        <v>2596</v>
      </c>
      <c r="E100" s="571" t="s">
        <v>2597</v>
      </c>
      <c r="F100" s="571" t="s">
        <v>2598</v>
      </c>
      <c r="G100" s="571" t="s">
        <v>2599</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2653</v>
      </c>
      <c r="C102" s="658" t="s">
        <v>2673</v>
      </c>
      <c r="D102" s="658" t="s">
        <v>2674</v>
      </c>
      <c r="E102" s="658" t="s">
        <v>2675</v>
      </c>
      <c r="F102" s="658" t="s">
        <v>2676</v>
      </c>
      <c r="G102" s="658" t="s">
        <v>2677</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53"/>
      <c r="O104" s="1153"/>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4"/>
      <c r="Q105" s="502"/>
    </row>
    <row r="106" spans="1:17" ht="27.75" thickTop="1">
      <c r="A106" s="532"/>
      <c r="B106" s="536" t="s">
        <v>2689</v>
      </c>
      <c r="C106" s="552"/>
      <c r="D106" s="552"/>
      <c r="E106" s="552"/>
      <c r="F106" s="552"/>
      <c r="G106" s="552"/>
      <c r="H106" s="581"/>
      <c r="I106" s="581"/>
      <c r="J106" s="581"/>
      <c r="K106" s="582"/>
      <c r="L106" s="583"/>
      <c r="M106" s="584"/>
      <c r="N106" s="1153"/>
      <c r="O106" s="1153"/>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4"/>
      <c r="Q107" s="502"/>
    </row>
    <row r="108" spans="1:17" ht="15.75" thickTop="1">
      <c r="A108" s="532"/>
      <c r="B108" s="536" t="s">
        <v>2748</v>
      </c>
      <c r="C108" s="581"/>
      <c r="D108" s="581"/>
      <c r="E108" s="581"/>
      <c r="F108" s="581"/>
      <c r="G108" s="581"/>
      <c r="H108" s="581"/>
      <c r="I108" s="581"/>
      <c r="J108" s="581"/>
      <c r="K108" s="582"/>
      <c r="L108" s="583"/>
      <c r="M108" s="584"/>
      <c r="N108" s="1153"/>
      <c r="O108" s="1153"/>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4"/>
      <c r="Q109" s="502"/>
    </row>
    <row r="110" spans="1:17" ht="15.75" thickTop="1">
      <c r="A110" s="532"/>
      <c r="B110" s="544">
        <f>B35</f>
        <v>111</v>
      </c>
      <c r="C110" s="552"/>
      <c r="D110" s="552"/>
      <c r="E110" s="552"/>
      <c r="F110" s="552"/>
      <c r="G110" s="585"/>
      <c r="H110" s="585"/>
      <c r="I110" s="585"/>
      <c r="J110" s="585"/>
      <c r="K110" s="586"/>
      <c r="L110" s="587"/>
      <c r="M110" s="588"/>
      <c r="N110" s="1153"/>
      <c r="O110" s="1153"/>
      <c r="P110" s="44"/>
      <c r="Q110" s="502"/>
    </row>
    <row r="111" spans="1:17" ht="15.75" thickBot="1">
      <c r="A111" s="532"/>
      <c r="B111" s="567"/>
      <c r="C111" s="558"/>
      <c r="D111" s="558"/>
      <c r="E111" s="558"/>
      <c r="F111" s="558"/>
      <c r="G111" s="589"/>
      <c r="H111" s="589"/>
      <c r="I111" s="589"/>
      <c r="J111" s="589"/>
      <c r="K111" s="589"/>
      <c r="L111" s="589"/>
      <c r="M111" s="590"/>
      <c r="N111" s="1154"/>
      <c r="O111" s="1154"/>
      <c r="P111" s="44"/>
      <c r="Q111" s="502"/>
    </row>
    <row r="112" spans="1:17" ht="15" thickTop="1">
      <c r="A112" s="673"/>
      <c r="B112" s="536">
        <f>B36</f>
        <v>111</v>
      </c>
      <c r="C112" s="521"/>
      <c r="D112" s="521"/>
      <c r="E112" s="521"/>
      <c r="F112" s="521"/>
      <c r="G112" s="581"/>
      <c r="H112" s="581"/>
      <c r="I112" s="581"/>
      <c r="J112" s="581"/>
      <c r="K112" s="582"/>
      <c r="L112" s="583"/>
      <c r="M112" s="584"/>
      <c r="N112" s="1153"/>
      <c r="O112" s="1153"/>
      <c r="P112" s="44"/>
      <c r="Q112" s="502"/>
    </row>
    <row r="113" spans="1:17" ht="15.75" thickBot="1">
      <c r="A113" s="532"/>
      <c r="B113" s="541"/>
      <c r="C113" s="568"/>
      <c r="D113" s="568"/>
      <c r="E113" s="568"/>
      <c r="F113" s="568"/>
      <c r="G113" s="534"/>
      <c r="H113" s="534"/>
      <c r="I113" s="534"/>
      <c r="J113" s="534"/>
      <c r="K113" s="534"/>
      <c r="L113" s="534"/>
      <c r="M113" s="535"/>
      <c r="N113" s="1154"/>
      <c r="O113" s="1154"/>
      <c r="P113" s="44"/>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4"/>
      <c r="Q116" s="502"/>
    </row>
    <row r="117" spans="1:17" ht="15">
      <c r="A117" s="532"/>
      <c r="B117" s="544"/>
      <c r="C117" s="593"/>
      <c r="D117" s="593"/>
      <c r="E117" s="593"/>
      <c r="F117" s="593"/>
      <c r="G117" s="593"/>
      <c r="H117" s="593"/>
      <c r="I117" s="593"/>
      <c r="J117" s="594"/>
      <c r="K117" s="594"/>
      <c r="L117" s="595"/>
      <c r="M117" s="596"/>
      <c r="N117" s="1153"/>
      <c r="O117" s="1153"/>
      <c r="P117" s="44"/>
      <c r="Q117" s="502"/>
    </row>
    <row r="118" spans="1:17" ht="15.75" thickBot="1">
      <c r="A118" s="532"/>
      <c r="B118" s="541"/>
      <c r="C118" s="568"/>
      <c r="D118" s="589"/>
      <c r="E118" s="589"/>
      <c r="F118" s="589"/>
      <c r="G118" s="589"/>
      <c r="H118" s="589"/>
      <c r="I118" s="589"/>
      <c r="J118" s="589"/>
      <c r="K118" s="589"/>
      <c r="L118" s="589"/>
      <c r="M118" s="590"/>
      <c r="N118" s="1154"/>
      <c r="O118" s="1154"/>
      <c r="P118" s="44"/>
      <c r="Q118" s="502"/>
    </row>
    <row r="119" spans="1:17" ht="15" thickTop="1">
      <c r="A119" s="597"/>
      <c r="B119" s="536" t="s">
        <v>2790</v>
      </c>
      <c r="C119" s="581"/>
      <c r="D119" s="581"/>
      <c r="E119" s="581"/>
      <c r="F119" s="581"/>
      <c r="G119" s="581"/>
      <c r="H119" s="581"/>
      <c r="I119" s="581"/>
      <c r="J119" s="581"/>
      <c r="K119" s="582"/>
      <c r="L119" s="583"/>
      <c r="M119" s="584"/>
      <c r="N119" s="1153"/>
      <c r="O119" s="1153"/>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4"/>
      <c r="Q120" s="502"/>
    </row>
    <row r="121" spans="1:17" ht="15" thickTop="1">
      <c r="A121" s="597"/>
      <c r="B121" s="536" t="s">
        <v>2791</v>
      </c>
      <c r="C121" s="552"/>
      <c r="D121" s="552"/>
      <c r="E121" s="552"/>
      <c r="F121" s="581"/>
      <c r="G121" s="581"/>
      <c r="H121" s="581"/>
      <c r="I121" s="581"/>
      <c r="J121" s="581"/>
      <c r="K121" s="582"/>
      <c r="L121" s="583"/>
      <c r="M121" s="584"/>
      <c r="N121" s="1153"/>
      <c r="O121" s="1153"/>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4"/>
      <c r="Q122" s="502"/>
    </row>
    <row r="123" spans="1:17" s="469" customFormat="1" ht="15" thickTop="1">
      <c r="A123" s="591"/>
      <c r="B123" s="536" t="s">
        <v>2792</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2793</v>
      </c>
      <c r="C125" s="552"/>
      <c r="D125" s="552"/>
      <c r="E125" s="581"/>
      <c r="F125" s="581"/>
      <c r="G125" s="581"/>
      <c r="H125" s="581"/>
      <c r="I125" s="581"/>
      <c r="J125" s="581"/>
      <c r="K125" s="582"/>
      <c r="L125" s="583"/>
      <c r="M125" s="584"/>
      <c r="N125" s="1153"/>
      <c r="O125" s="1153"/>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4"/>
      <c r="Q126" s="502"/>
    </row>
    <row r="127" spans="1:17" ht="15" thickTop="1">
      <c r="A127" s="597"/>
      <c r="B127" s="536">
        <f>B43</f>
        <v>111</v>
      </c>
      <c r="C127" s="552"/>
      <c r="D127" s="552"/>
      <c r="E127" s="552"/>
      <c r="F127" s="552"/>
      <c r="G127" s="552"/>
      <c r="H127" s="581"/>
      <c r="I127" s="581"/>
      <c r="J127" s="581"/>
      <c r="K127" s="582"/>
      <c r="L127" s="583"/>
      <c r="M127" s="584"/>
      <c r="N127" s="1153"/>
      <c r="O127" s="1153"/>
      <c r="P127" s="44"/>
      <c r="Q127" s="502"/>
    </row>
    <row r="128" spans="1:17" ht="15.75" thickBot="1">
      <c r="A128" s="532"/>
      <c r="B128" s="541"/>
      <c r="C128" s="558"/>
      <c r="D128" s="558"/>
      <c r="E128" s="558"/>
      <c r="F128" s="558"/>
      <c r="G128" s="534"/>
      <c r="H128" s="534"/>
      <c r="I128" s="534"/>
      <c r="J128" s="534"/>
      <c r="K128" s="534"/>
      <c r="L128" s="534"/>
      <c r="M128" s="535"/>
      <c r="N128" s="1154"/>
      <c r="O128" s="1154"/>
      <c r="P128" s="44"/>
      <c r="Q128" s="502"/>
    </row>
    <row r="129" spans="1:17" ht="15" thickTop="1">
      <c r="A129" s="597"/>
      <c r="B129" s="536">
        <f>B44</f>
        <v>111</v>
      </c>
      <c r="C129" s="521"/>
      <c r="D129" s="521"/>
      <c r="E129" s="521"/>
      <c r="F129" s="521"/>
      <c r="G129" s="581"/>
      <c r="H129" s="581"/>
      <c r="I129" s="581"/>
      <c r="J129" s="581"/>
      <c r="K129" s="582"/>
      <c r="L129" s="583"/>
      <c r="M129" s="584"/>
      <c r="N129" s="1153"/>
      <c r="O129" s="1153"/>
      <c r="P129" s="44"/>
      <c r="Q129" s="502"/>
    </row>
    <row r="130" spans="1:17" ht="15.75" thickBot="1">
      <c r="A130" s="532"/>
      <c r="B130" s="541"/>
      <c r="C130" s="568"/>
      <c r="D130" s="568"/>
      <c r="E130" s="568"/>
      <c r="F130" s="568"/>
      <c r="G130" s="534"/>
      <c r="H130" s="534"/>
      <c r="I130" s="534"/>
      <c r="J130" s="534"/>
      <c r="K130" s="534"/>
      <c r="L130" s="534"/>
      <c r="M130" s="535"/>
      <c r="N130" s="1154"/>
      <c r="O130" s="1154"/>
      <c r="P130" s="44"/>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7" t="e">
        <f>ROUND(IF(D3="",B2*10000/'数据-汇总表'!E3,B2*10000/D3),0)</f>
        <v>#DIV/0!</v>
      </c>
      <c r="C3" s="246"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2643</v>
      </c>
      <c r="B4" s="401"/>
      <c r="C4" s="3215" t="s">
        <v>2644</v>
      </c>
      <c r="D4" s="3216"/>
      <c r="E4" s="3217" t="s">
        <v>2645</v>
      </c>
      <c r="F4" s="3218"/>
      <c r="G4" s="3215" t="s">
        <v>2646</v>
      </c>
      <c r="H4" s="3216"/>
      <c r="I4" s="3215" t="s">
        <v>2647</v>
      </c>
      <c r="J4" s="3216"/>
      <c r="K4" s="608" t="s">
        <v>2648</v>
      </c>
      <c r="L4" s="1131"/>
      <c r="M4" s="1132"/>
      <c r="N4" s="1132"/>
      <c r="O4" s="1132"/>
      <c r="P4" s="3219" t="s">
        <v>2649</v>
      </c>
      <c r="Q4" s="3220"/>
      <c r="R4" s="3202" t="s">
        <v>2645</v>
      </c>
      <c r="S4" s="3203"/>
      <c r="T4" s="3202" t="s">
        <v>2646</v>
      </c>
      <c r="U4" s="3203"/>
      <c r="V4" s="3227" t="s">
        <v>2647</v>
      </c>
      <c r="W4" s="3227"/>
      <c r="X4" s="1814"/>
      <c r="Y4" s="3202" t="s">
        <v>2649</v>
      </c>
      <c r="Z4" s="3203"/>
      <c r="AA4" s="3197" t="s">
        <v>2645</v>
      </c>
      <c r="AB4" s="3198" t="s">
        <v>2646</v>
      </c>
      <c r="AC4" s="3197" t="s">
        <v>2647</v>
      </c>
    </row>
    <row r="5" spans="1:29" ht="15">
      <c r="A5" s="403"/>
      <c r="B5" s="404"/>
      <c r="C5" s="3208" t="s">
        <v>2540</v>
      </c>
      <c r="D5" s="3209"/>
      <c r="E5" s="3206" t="s">
        <v>2541</v>
      </c>
      <c r="F5" s="3207"/>
      <c r="G5" s="3208" t="s">
        <v>2542</v>
      </c>
      <c r="H5" s="3209"/>
      <c r="I5" s="3208" t="s">
        <v>2543</v>
      </c>
      <c r="J5" s="3209"/>
      <c r="K5" s="608"/>
      <c r="L5" s="1131"/>
      <c r="M5" s="1132"/>
      <c r="N5" s="1132"/>
      <c r="O5" s="1132"/>
      <c r="P5" s="3221"/>
      <c r="Q5" s="3222"/>
      <c r="R5" s="3204"/>
      <c r="S5" s="3205"/>
      <c r="T5" s="3204"/>
      <c r="U5" s="3205"/>
      <c r="V5" s="3227"/>
      <c r="W5" s="3227"/>
      <c r="X5" s="1814"/>
      <c r="Y5" s="3204"/>
      <c r="Z5" s="3205"/>
      <c r="AA5" s="3198"/>
      <c r="AB5" s="3198"/>
      <c r="AC5" s="3198"/>
    </row>
    <row r="6" spans="1:29" ht="15.75" thickBot="1">
      <c r="A6" s="405"/>
      <c r="B6" s="406"/>
      <c r="C6" s="3264" t="s">
        <v>2795</v>
      </c>
      <c r="D6" s="3265"/>
      <c r="E6" s="3266" t="s">
        <v>2795</v>
      </c>
      <c r="F6" s="3267"/>
      <c r="G6" s="3264" t="s">
        <v>2795</v>
      </c>
      <c r="H6" s="3265"/>
      <c r="I6" s="3264" t="s">
        <v>2795</v>
      </c>
      <c r="J6" s="3265"/>
      <c r="K6" s="608" t="s">
        <v>2545</v>
      </c>
      <c r="L6" s="1131"/>
      <c r="M6" s="1132"/>
      <c r="N6" s="1132"/>
      <c r="O6" s="1132"/>
      <c r="P6" s="3223"/>
      <c r="Q6" s="3224"/>
      <c r="R6" s="3204"/>
      <c r="S6" s="3205"/>
      <c r="T6" s="3225"/>
      <c r="U6" s="3226"/>
      <c r="V6" s="3227"/>
      <c r="W6" s="3227"/>
      <c r="X6" s="1814"/>
      <c r="Y6" s="3225"/>
      <c r="Z6" s="3226"/>
      <c r="AA6" s="3199"/>
      <c r="AB6" s="3199"/>
      <c r="AC6" s="3199"/>
    </row>
    <row r="7" spans="1:29" s="116" customFormat="1" ht="15.75" thickBot="1">
      <c r="A7" s="407" t="s">
        <v>2546</v>
      </c>
      <c r="B7" s="408"/>
      <c r="C7" s="409">
        <f>'数据-取费表'!B2</f>
        <v>43546</v>
      </c>
      <c r="D7" s="410">
        <v>100</v>
      </c>
      <c r="E7" s="411"/>
      <c r="F7" s="412">
        <f>SUMIF(65:65,YEAR(E7)&amp;"-"&amp;INT((MONTH(E7)+2)/3),66:66)</f>
        <v>0</v>
      </c>
      <c r="G7" s="2699"/>
      <c r="H7" s="410">
        <f>SUMIF(65:65,YEAR(G7)&amp;"-"&amp;INT((MONTH(G7)+2)/3),66:66)</f>
        <v>0</v>
      </c>
      <c r="I7" s="2699"/>
      <c r="J7" s="410">
        <f>SUMIF(65:65,YEAR(I7)&amp;"-"&amp;INT((MONTH(I7)+2)/3),66:66)</f>
        <v>0</v>
      </c>
      <c r="K7" s="609"/>
      <c r="L7" s="1133"/>
      <c r="M7" s="1134"/>
      <c r="N7" s="1134"/>
      <c r="O7" s="1134"/>
      <c r="P7" s="3200" t="s">
        <v>2547</v>
      </c>
      <c r="Q7" s="3228"/>
      <c r="R7" s="768" t="s">
        <v>17</v>
      </c>
      <c r="S7" s="769">
        <f t="shared" ref="S7:S15" si="0">F7</f>
        <v>0</v>
      </c>
      <c r="T7" s="768" t="s">
        <v>17</v>
      </c>
      <c r="U7" s="769">
        <f t="shared" ref="U7:U15" si="1">H7</f>
        <v>0</v>
      </c>
      <c r="V7" s="768" t="s">
        <v>17</v>
      </c>
      <c r="W7" s="769">
        <f t="shared" ref="W7:W15" si="2">J7</f>
        <v>0</v>
      </c>
      <c r="X7" s="770"/>
      <c r="Y7" s="3200" t="s">
        <v>2547</v>
      </c>
      <c r="Z7" s="3201"/>
      <c r="AA7" s="771" t="e">
        <f>D7/F7</f>
        <v>#DIV/0!</v>
      </c>
      <c r="AB7" s="771" t="e">
        <f>D7/H7</f>
        <v>#DIV/0!</v>
      </c>
      <c r="AC7" s="771"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09"/>
      <c r="L8" s="1133"/>
      <c r="M8" s="1134"/>
      <c r="N8" s="1134"/>
      <c r="O8" s="1134"/>
      <c r="P8" s="3200" t="s">
        <v>2550</v>
      </c>
      <c r="Q8" s="3201"/>
      <c r="R8" s="768" t="s">
        <v>17</v>
      </c>
      <c r="S8" s="769">
        <f t="shared" si="0"/>
        <v>0</v>
      </c>
      <c r="T8" s="768" t="s">
        <v>17</v>
      </c>
      <c r="U8" s="769">
        <f t="shared" si="1"/>
        <v>0</v>
      </c>
      <c r="V8" s="768" t="s">
        <v>17</v>
      </c>
      <c r="W8" s="769">
        <f t="shared" si="2"/>
        <v>0</v>
      </c>
      <c r="X8" s="770"/>
      <c r="Y8" s="3200" t="s">
        <v>2550</v>
      </c>
      <c r="Z8" s="3201"/>
      <c r="AA8" s="771" t="e">
        <f t="shared" ref="AA8:AA40" si="3">D8/F8</f>
        <v>#DIV/0!</v>
      </c>
      <c r="AB8" s="771" t="e">
        <f t="shared" ref="AB8:AB40" si="4">D8/H8</f>
        <v>#DIV/0!</v>
      </c>
      <c r="AC8" s="771" t="e">
        <f t="shared" ref="AC8:AC40" si="5">D8/J8</f>
        <v>#DIV/0!</v>
      </c>
    </row>
    <row r="9" spans="1:29" s="116" customFormat="1">
      <c r="A9" s="414" t="s">
        <v>2551</v>
      </c>
      <c r="B9" s="70" t="s">
        <v>2552</v>
      </c>
      <c r="C9" s="2702"/>
      <c r="D9" s="134">
        <v>100</v>
      </c>
      <c r="E9" s="2702"/>
      <c r="F9" s="134">
        <f>SUMIF(70:70,E9,71:71)-SUMIF(70:70,C9,71:71)+100</f>
        <v>100</v>
      </c>
      <c r="G9" s="2702"/>
      <c r="H9" s="134">
        <f>SUMIF(70:70,G9,71:71)-SUMIF(70:70,C9,71:71)+100</f>
        <v>100</v>
      </c>
      <c r="I9" s="2702"/>
      <c r="J9" s="134">
        <f>SUMIF(70:70,I9,71:71)-SUMIF(70:70,C9,71:71)+100</f>
        <v>100</v>
      </c>
      <c r="K9" s="609"/>
      <c r="L9" s="1133"/>
      <c r="M9" s="1134"/>
      <c r="N9" s="1134"/>
      <c r="O9" s="1135"/>
      <c r="P9" s="3232" t="s">
        <v>2553</v>
      </c>
      <c r="Q9" s="1796" t="str">
        <f t="shared" ref="Q9:Q15" si="6">B9</f>
        <v>用途</v>
      </c>
      <c r="R9" s="768" t="s">
        <v>17</v>
      </c>
      <c r="S9" s="769">
        <f t="shared" si="0"/>
        <v>100</v>
      </c>
      <c r="T9" s="768" t="s">
        <v>17</v>
      </c>
      <c r="U9" s="769">
        <f t="shared" si="1"/>
        <v>100</v>
      </c>
      <c r="V9" s="768" t="s">
        <v>17</v>
      </c>
      <c r="W9" s="769">
        <f t="shared" si="2"/>
        <v>100</v>
      </c>
      <c r="X9" s="770"/>
      <c r="Y9" s="3047" t="s">
        <v>2554</v>
      </c>
      <c r="Z9" s="54" t="str">
        <f t="shared" ref="Z9:Z15" si="7">Q9</f>
        <v>用途</v>
      </c>
      <c r="AA9" s="771">
        <f t="shared" si="3"/>
        <v>1</v>
      </c>
      <c r="AB9" s="771">
        <f t="shared" si="4"/>
        <v>1</v>
      </c>
      <c r="AC9" s="771">
        <f t="shared" si="5"/>
        <v>1</v>
      </c>
    </row>
    <row r="10" spans="1:29" s="425" customFormat="1" ht="27">
      <c r="A10" s="419"/>
      <c r="B10" s="420" t="s">
        <v>2555</v>
      </c>
      <c r="C10" s="430"/>
      <c r="D10" s="135">
        <v>100</v>
      </c>
      <c r="E10" s="430"/>
      <c r="F10" s="135">
        <f>ROUND(100/'数据-取费表'!G16,0)</f>
        <v>113</v>
      </c>
      <c r="G10" s="430"/>
      <c r="H10" s="135">
        <f>ROUND(100/'数据-取费表'!G16,0)</f>
        <v>113</v>
      </c>
      <c r="I10" s="430"/>
      <c r="J10" s="135">
        <f>ROUND(100/'数据-取费表'!G16,0)</f>
        <v>113</v>
      </c>
      <c r="K10" s="670"/>
      <c r="L10" s="1136"/>
      <c r="M10" s="1137"/>
      <c r="N10" s="1137"/>
      <c r="O10" s="1138"/>
      <c r="P10" s="3232"/>
      <c r="Q10" s="1796" t="str">
        <f t="shared" si="6"/>
        <v>土地使用年限（年）</v>
      </c>
      <c r="R10" s="768" t="s">
        <v>17</v>
      </c>
      <c r="S10" s="769">
        <f t="shared" si="0"/>
        <v>113</v>
      </c>
      <c r="T10" s="768" t="s">
        <v>17</v>
      </c>
      <c r="U10" s="769">
        <f t="shared" si="1"/>
        <v>113</v>
      </c>
      <c r="V10" s="768" t="s">
        <v>17</v>
      </c>
      <c r="W10" s="769">
        <f t="shared" si="2"/>
        <v>113</v>
      </c>
      <c r="X10" s="770"/>
      <c r="Y10" s="3047"/>
      <c r="Z10" s="54" t="str">
        <f t="shared" si="7"/>
        <v>土地使用年限（年）</v>
      </c>
      <c r="AA10" s="771">
        <f t="shared" si="3"/>
        <v>0.88495575221238942</v>
      </c>
      <c r="AB10" s="771">
        <f t="shared" si="4"/>
        <v>0.88495575221238942</v>
      </c>
      <c r="AC10" s="771">
        <f t="shared" si="5"/>
        <v>0.88495575221238942</v>
      </c>
    </row>
    <row r="11" spans="1:29" ht="15">
      <c r="A11" s="426"/>
      <c r="B11" s="420" t="s">
        <v>2556</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9"/>
      <c r="M11" s="1132"/>
      <c r="N11" s="1132"/>
      <c r="O11" s="1140"/>
      <c r="P11" s="3232"/>
      <c r="Q11" s="1796" t="str">
        <f t="shared" si="6"/>
        <v>容积率</v>
      </c>
      <c r="R11" s="768" t="s">
        <v>17</v>
      </c>
      <c r="S11" s="769" t="e">
        <f t="shared" si="0"/>
        <v>#N/A</v>
      </c>
      <c r="T11" s="768" t="s">
        <v>17</v>
      </c>
      <c r="U11" s="769" t="e">
        <f t="shared" si="1"/>
        <v>#N/A</v>
      </c>
      <c r="V11" s="768" t="s">
        <v>17</v>
      </c>
      <c r="W11" s="769" t="e">
        <f t="shared" si="2"/>
        <v>#N/A</v>
      </c>
      <c r="X11" s="770"/>
      <c r="Y11" s="3047"/>
      <c r="Z11" s="54" t="str">
        <f t="shared" si="7"/>
        <v>容积率</v>
      </c>
      <c r="AA11" s="771" t="e">
        <f t="shared" si="3"/>
        <v>#N/A</v>
      </c>
      <c r="AB11" s="771" t="e">
        <f t="shared" si="4"/>
        <v>#N/A</v>
      </c>
      <c r="AC11" s="771" t="e">
        <f t="shared" si="5"/>
        <v>#N/A</v>
      </c>
    </row>
    <row r="12" spans="1:29" s="116" customFormat="1" ht="15">
      <c r="A12" s="429"/>
      <c r="B12" s="2603">
        <v>111</v>
      </c>
      <c r="C12" s="430"/>
      <c r="D12" s="431">
        <v>100</v>
      </c>
      <c r="E12" s="547"/>
      <c r="F12" s="135">
        <f>SUMIF(77:77,E12,78:78)-SUMIF(77:77,C12,78:78)+100</f>
        <v>100</v>
      </c>
      <c r="G12" s="672"/>
      <c r="H12" s="135">
        <f>SUMIF(77:77,G12,78:78)-SUMIF(77:77,C12,78:78)+100</f>
        <v>100</v>
      </c>
      <c r="I12" s="547"/>
      <c r="J12" s="135">
        <f>SUMIF(77:77,I12,78:78)-SUMIF(77:77,C12,78:78)+100</f>
        <v>100</v>
      </c>
      <c r="K12" s="670"/>
      <c r="L12" s="1133"/>
      <c r="M12" s="1134"/>
      <c r="N12" s="1134"/>
      <c r="O12" s="1135"/>
      <c r="P12" s="3232"/>
      <c r="Q12" s="1796">
        <f t="shared" si="6"/>
        <v>111</v>
      </c>
      <c r="R12" s="768" t="s">
        <v>17</v>
      </c>
      <c r="S12" s="769">
        <f t="shared" si="0"/>
        <v>100</v>
      </c>
      <c r="T12" s="768" t="s">
        <v>17</v>
      </c>
      <c r="U12" s="769">
        <f t="shared" si="1"/>
        <v>100</v>
      </c>
      <c r="V12" s="768" t="s">
        <v>17</v>
      </c>
      <c r="W12" s="769">
        <f t="shared" si="2"/>
        <v>100</v>
      </c>
      <c r="X12" s="770"/>
      <c r="Y12" s="3047"/>
      <c r="Z12" s="54">
        <f t="shared" si="7"/>
        <v>111</v>
      </c>
      <c r="AA12" s="771">
        <f>D12/F12</f>
        <v>1</v>
      </c>
      <c r="AB12" s="771">
        <f>D12/H12</f>
        <v>1</v>
      </c>
      <c r="AC12" s="771">
        <f>D12/J12</f>
        <v>1</v>
      </c>
    </row>
    <row r="13" spans="1:29" ht="15">
      <c r="A13" s="426"/>
      <c r="B13" s="2603">
        <v>111</v>
      </c>
      <c r="C13" s="432"/>
      <c r="D13" s="433">
        <v>100</v>
      </c>
      <c r="E13" s="547"/>
      <c r="F13" s="135">
        <f>SUMIF(79:79,E13,80:80)-SUMIF(79:79,C13,80:80)+100</f>
        <v>100</v>
      </c>
      <c r="G13" s="672"/>
      <c r="H13" s="433">
        <f>SUMIF(79:79,G13,80:80)-SUMIF(79:79,C13,80:80)+100</f>
        <v>100</v>
      </c>
      <c r="I13" s="547"/>
      <c r="J13" s="433">
        <f>SUMIF(79:79,I13,80:80)-SUMIF(79:79,C13,80:80)+100</f>
        <v>100</v>
      </c>
      <c r="K13" s="670"/>
      <c r="L13" s="1141"/>
      <c r="M13" s="1132"/>
      <c r="N13" s="1132"/>
      <c r="O13" s="1140"/>
      <c r="P13" s="3232"/>
      <c r="Q13" s="1796">
        <f t="shared" si="6"/>
        <v>111</v>
      </c>
      <c r="R13" s="768" t="s">
        <v>17</v>
      </c>
      <c r="S13" s="769">
        <f t="shared" si="0"/>
        <v>100</v>
      </c>
      <c r="T13" s="768" t="s">
        <v>17</v>
      </c>
      <c r="U13" s="769">
        <f t="shared" si="1"/>
        <v>100</v>
      </c>
      <c r="V13" s="768" t="s">
        <v>17</v>
      </c>
      <c r="W13" s="769">
        <f t="shared" si="2"/>
        <v>100</v>
      </c>
      <c r="X13" s="770"/>
      <c r="Y13" s="3047"/>
      <c r="Z13" s="54">
        <f t="shared" si="7"/>
        <v>111</v>
      </c>
      <c r="AA13" s="771">
        <f t="shared" si="3"/>
        <v>1</v>
      </c>
      <c r="AB13" s="771">
        <f t="shared" si="4"/>
        <v>1</v>
      </c>
      <c r="AC13" s="771">
        <f t="shared" si="5"/>
        <v>1</v>
      </c>
    </row>
    <row r="14" spans="1:29" ht="15.75" thickBot="1">
      <c r="A14" s="434"/>
      <c r="B14" s="2605">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32"/>
      <c r="Q14" s="1796">
        <f t="shared" si="6"/>
        <v>111</v>
      </c>
      <c r="R14" s="768" t="s">
        <v>17</v>
      </c>
      <c r="S14" s="769">
        <f t="shared" si="0"/>
        <v>100</v>
      </c>
      <c r="T14" s="768" t="s">
        <v>17</v>
      </c>
      <c r="U14" s="769">
        <f t="shared" si="1"/>
        <v>100</v>
      </c>
      <c r="V14" s="768" t="s">
        <v>17</v>
      </c>
      <c r="W14" s="769">
        <f t="shared" si="2"/>
        <v>100</v>
      </c>
      <c r="X14" s="770"/>
      <c r="Y14" s="3047"/>
      <c r="Z14" s="54">
        <f t="shared" si="7"/>
        <v>111</v>
      </c>
      <c r="AA14" s="771">
        <f t="shared" si="3"/>
        <v>1</v>
      </c>
      <c r="AB14" s="771">
        <f t="shared" si="4"/>
        <v>1</v>
      </c>
      <c r="AC14" s="771">
        <f t="shared" si="5"/>
        <v>1</v>
      </c>
    </row>
    <row r="15" spans="1:29" ht="57">
      <c r="A15" s="438" t="s">
        <v>2557</v>
      </c>
      <c r="B15" s="627" t="s">
        <v>2796</v>
      </c>
      <c r="C15" s="269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34" t="s">
        <v>2558</v>
      </c>
      <c r="Q15" s="1811" t="str">
        <f t="shared" si="6"/>
        <v>产业集聚程度</v>
      </c>
      <c r="R15" s="772" t="s">
        <v>17</v>
      </c>
      <c r="S15" s="773">
        <f t="shared" si="0"/>
        <v>100</v>
      </c>
      <c r="T15" s="772" t="s">
        <v>17</v>
      </c>
      <c r="U15" s="773">
        <f t="shared" si="1"/>
        <v>100</v>
      </c>
      <c r="V15" s="772" t="s">
        <v>17</v>
      </c>
      <c r="W15" s="773">
        <f t="shared" si="2"/>
        <v>100</v>
      </c>
      <c r="X15" s="1814"/>
      <c r="Y15" s="3234" t="s">
        <v>2558</v>
      </c>
      <c r="Z15" s="1815" t="str">
        <f t="shared" si="7"/>
        <v>产业集聚程度</v>
      </c>
      <c r="AA15" s="1812">
        <f t="shared" si="3"/>
        <v>1</v>
      </c>
      <c r="AB15" s="1812">
        <f t="shared" si="4"/>
        <v>1</v>
      </c>
      <c r="AC15" s="1812">
        <f t="shared" si="5"/>
        <v>1</v>
      </c>
    </row>
    <row r="16" spans="1:29" ht="15">
      <c r="A16" s="426"/>
      <c r="B16" s="628"/>
      <c r="C16" s="445"/>
      <c r="D16" s="446"/>
      <c r="E16" s="2614"/>
      <c r="F16" s="446"/>
      <c r="G16" s="2614"/>
      <c r="H16" s="448"/>
      <c r="I16" s="2614"/>
      <c r="J16" s="446"/>
      <c r="K16" s="670"/>
      <c r="L16" s="1141"/>
      <c r="M16" s="1132"/>
      <c r="N16" s="1132"/>
      <c r="O16" s="1140"/>
      <c r="P16" s="3235"/>
      <c r="Q16" s="1811"/>
      <c r="R16" s="772"/>
      <c r="S16" s="773"/>
      <c r="T16" s="772"/>
      <c r="U16" s="773"/>
      <c r="V16" s="772"/>
      <c r="W16" s="773"/>
      <c r="X16" s="1814"/>
      <c r="Y16" s="3235"/>
      <c r="Z16" s="1815"/>
      <c r="AA16" s="1812">
        <v>1</v>
      </c>
      <c r="AB16" s="1812">
        <v>1</v>
      </c>
      <c r="AC16" s="1812">
        <v>1</v>
      </c>
    </row>
    <row r="17" spans="1:29" ht="85.5">
      <c r="A17" s="426"/>
      <c r="B17" s="629" t="s">
        <v>2707</v>
      </c>
      <c r="C17" s="261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35"/>
      <c r="Q17" s="1811" t="str">
        <f>B17</f>
        <v>交通便捷度</v>
      </c>
      <c r="R17" s="772" t="s">
        <v>17</v>
      </c>
      <c r="S17" s="773">
        <f>F17</f>
        <v>100</v>
      </c>
      <c r="T17" s="772" t="s">
        <v>17</v>
      </c>
      <c r="U17" s="773">
        <f>H17</f>
        <v>100</v>
      </c>
      <c r="V17" s="772" t="s">
        <v>17</v>
      </c>
      <c r="W17" s="773">
        <f>J17</f>
        <v>100</v>
      </c>
      <c r="X17" s="1814"/>
      <c r="Y17" s="3235"/>
      <c r="Z17" s="1815" t="str">
        <f>Q17</f>
        <v>交通便捷度</v>
      </c>
      <c r="AA17" s="1812">
        <f t="shared" si="3"/>
        <v>1</v>
      </c>
      <c r="AB17" s="1812">
        <f t="shared" si="4"/>
        <v>1</v>
      </c>
      <c r="AC17" s="1812">
        <f t="shared" si="5"/>
        <v>1</v>
      </c>
    </row>
    <row r="18" spans="1:29" ht="15">
      <c r="A18" s="426"/>
      <c r="B18" s="630"/>
      <c r="C18" s="445"/>
      <c r="D18" s="446"/>
      <c r="E18" s="2608"/>
      <c r="F18" s="446"/>
      <c r="G18" s="2608"/>
      <c r="H18" s="446"/>
      <c r="I18" s="2607"/>
      <c r="J18" s="446"/>
      <c r="K18" s="670"/>
      <c r="L18" s="1141"/>
      <c r="M18" s="1132"/>
      <c r="N18" s="1132"/>
      <c r="O18" s="1140"/>
      <c r="P18" s="3235"/>
      <c r="Q18" s="1811"/>
      <c r="R18" s="772"/>
      <c r="S18" s="773"/>
      <c r="T18" s="772"/>
      <c r="U18" s="773"/>
      <c r="V18" s="772"/>
      <c r="W18" s="773"/>
      <c r="X18" s="1814"/>
      <c r="Y18" s="3235"/>
      <c r="Z18" s="1815"/>
      <c r="AA18" s="1812">
        <v>1</v>
      </c>
      <c r="AB18" s="1812">
        <v>1</v>
      </c>
      <c r="AC18" s="1812">
        <v>1</v>
      </c>
    </row>
    <row r="19" spans="1:29" ht="15">
      <c r="A19" s="426"/>
      <c r="B19" s="629" t="s">
        <v>2746</v>
      </c>
      <c r="C19" s="261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35"/>
      <c r="Q19" s="1811" t="str">
        <f t="shared" ref="Q19:Q33" si="8">B19</f>
        <v>区域土地利用方向</v>
      </c>
      <c r="R19" s="772" t="s">
        <v>17</v>
      </c>
      <c r="S19" s="773">
        <f>F19</f>
        <v>100</v>
      </c>
      <c r="T19" s="772" t="s">
        <v>17</v>
      </c>
      <c r="U19" s="773">
        <f>H19</f>
        <v>100</v>
      </c>
      <c r="V19" s="772" t="s">
        <v>17</v>
      </c>
      <c r="W19" s="773">
        <f>J19</f>
        <v>100</v>
      </c>
      <c r="X19" s="1814"/>
      <c r="Y19" s="3235"/>
      <c r="Z19" s="1815" t="str">
        <f>Q19</f>
        <v>区域土地利用方向</v>
      </c>
      <c r="AA19" s="1812">
        <f t="shared" si="3"/>
        <v>1</v>
      </c>
      <c r="AB19" s="1812">
        <f t="shared" si="4"/>
        <v>1</v>
      </c>
      <c r="AC19" s="1812">
        <f t="shared" si="5"/>
        <v>1</v>
      </c>
    </row>
    <row r="20" spans="1:29" ht="15">
      <c r="A20" s="403"/>
      <c r="B20" s="630"/>
      <c r="C20" s="445"/>
      <c r="D20" s="446"/>
      <c r="E20" s="2608"/>
      <c r="F20" s="446"/>
      <c r="G20" s="2608"/>
      <c r="H20" s="446"/>
      <c r="I20" s="2608"/>
      <c r="J20" s="446"/>
      <c r="K20" s="810"/>
      <c r="L20" s="1141"/>
      <c r="M20" s="1132"/>
      <c r="N20" s="1132"/>
      <c r="O20" s="1140"/>
      <c r="P20" s="3235"/>
      <c r="Q20" s="1811"/>
      <c r="R20" s="772"/>
      <c r="S20" s="773"/>
      <c r="T20" s="772"/>
      <c r="U20" s="773"/>
      <c r="V20" s="772"/>
      <c r="W20" s="773"/>
      <c r="X20" s="1814"/>
      <c r="Y20" s="3235"/>
      <c r="Z20" s="1815"/>
      <c r="AA20" s="1812"/>
      <c r="AB20" s="1812"/>
      <c r="AC20" s="1812"/>
    </row>
    <row r="21" spans="1:29" ht="71.25">
      <c r="A21" s="403"/>
      <c r="B21" s="629" t="s">
        <v>2797</v>
      </c>
      <c r="C21" s="261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35"/>
      <c r="Q21" s="1811" t="str">
        <f t="shared" si="8"/>
        <v>环境状况</v>
      </c>
      <c r="R21" s="772" t="s">
        <v>17</v>
      </c>
      <c r="S21" s="773">
        <f>F21</f>
        <v>100</v>
      </c>
      <c r="T21" s="772" t="s">
        <v>17</v>
      </c>
      <c r="U21" s="773">
        <f>H21</f>
        <v>100</v>
      </c>
      <c r="V21" s="772" t="s">
        <v>17</v>
      </c>
      <c r="W21" s="773">
        <f>J21</f>
        <v>100</v>
      </c>
      <c r="X21" s="1814"/>
      <c r="Y21" s="3235"/>
      <c r="Z21" s="1815" t="str">
        <f>Q21</f>
        <v>环境状况</v>
      </c>
      <c r="AA21" s="1812">
        <f t="shared" si="3"/>
        <v>1</v>
      </c>
      <c r="AB21" s="1812">
        <f t="shared" si="4"/>
        <v>1</v>
      </c>
      <c r="AC21" s="1812">
        <f t="shared" si="5"/>
        <v>1</v>
      </c>
    </row>
    <row r="22" spans="1:29" ht="15">
      <c r="A22" s="403"/>
      <c r="B22" s="630"/>
      <c r="C22" s="445"/>
      <c r="D22" s="446"/>
      <c r="E22" s="2614"/>
      <c r="F22" s="446"/>
      <c r="G22" s="2614"/>
      <c r="H22" s="446"/>
      <c r="I22" s="445"/>
      <c r="J22" s="446"/>
      <c r="K22" s="670"/>
      <c r="L22" s="1141"/>
      <c r="M22" s="1132"/>
      <c r="N22" s="1132"/>
      <c r="O22" s="1140"/>
      <c r="P22" s="3235"/>
      <c r="Q22" s="1811"/>
      <c r="R22" s="772"/>
      <c r="S22" s="773"/>
      <c r="T22" s="772"/>
      <c r="U22" s="773"/>
      <c r="V22" s="772"/>
      <c r="W22" s="773"/>
      <c r="X22" s="1814"/>
      <c r="Y22" s="3235"/>
      <c r="Z22" s="1815"/>
      <c r="AA22" s="1812">
        <v>1</v>
      </c>
      <c r="AB22" s="1812">
        <v>1</v>
      </c>
      <c r="AC22" s="1812">
        <v>1</v>
      </c>
    </row>
    <row r="23" spans="1:29" s="116" customFormat="1" ht="42.75">
      <c r="A23" s="647"/>
      <c r="B23" s="631" t="s">
        <v>2652</v>
      </c>
      <c r="C23" s="261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35"/>
      <c r="Q23" s="1796" t="str">
        <f t="shared" si="8"/>
        <v>公共配套设施</v>
      </c>
      <c r="R23" s="768" t="s">
        <v>17</v>
      </c>
      <c r="S23" s="769">
        <f>F23</f>
        <v>100</v>
      </c>
      <c r="T23" s="768" t="s">
        <v>17</v>
      </c>
      <c r="U23" s="769">
        <f>H23</f>
        <v>100</v>
      </c>
      <c r="V23" s="768" t="s">
        <v>17</v>
      </c>
      <c r="W23" s="769">
        <f>J23</f>
        <v>100</v>
      </c>
      <c r="X23" s="770"/>
      <c r="Y23" s="3235"/>
      <c r="Z23" s="54" t="str">
        <f>Q23</f>
        <v>公共配套设施</v>
      </c>
      <c r="AA23" s="1812">
        <f>D23/F23</f>
        <v>1</v>
      </c>
      <c r="AB23" s="1812">
        <f>D23/H23</f>
        <v>1</v>
      </c>
      <c r="AC23" s="1812">
        <f>D23/J23</f>
        <v>1</v>
      </c>
    </row>
    <row r="24" spans="1:29" s="116" customFormat="1" ht="15">
      <c r="A24" s="647"/>
      <c r="B24" s="630"/>
      <c r="C24" s="2703"/>
      <c r="D24" s="446"/>
      <c r="E24" s="2614"/>
      <c r="F24" s="446"/>
      <c r="G24" s="2614"/>
      <c r="H24" s="446"/>
      <c r="I24" s="445"/>
      <c r="J24" s="446"/>
      <c r="K24" s="670"/>
      <c r="L24" s="1133"/>
      <c r="M24" s="1134"/>
      <c r="N24" s="1134"/>
      <c r="O24" s="1135"/>
      <c r="P24" s="3235"/>
      <c r="Q24" s="1796"/>
      <c r="R24" s="768"/>
      <c r="S24" s="769"/>
      <c r="T24" s="768"/>
      <c r="U24" s="769"/>
      <c r="V24" s="768"/>
      <c r="W24" s="769"/>
      <c r="X24" s="770"/>
      <c r="Y24" s="3235"/>
      <c r="Z24" s="54"/>
      <c r="AA24" s="771">
        <v>1</v>
      </c>
      <c r="AB24" s="771">
        <v>1</v>
      </c>
      <c r="AC24" s="771">
        <v>1</v>
      </c>
    </row>
    <row r="25" spans="1:29" s="116" customFormat="1" ht="28.5">
      <c r="A25" s="647"/>
      <c r="B25" s="631" t="s">
        <v>2653</v>
      </c>
      <c r="C25" s="261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35"/>
      <c r="Q25" s="1796" t="str">
        <f t="shared" ref="Q25" si="9">B25</f>
        <v>基础设施水平</v>
      </c>
      <c r="R25" s="768" t="s">
        <v>17</v>
      </c>
      <c r="S25" s="769">
        <f>F25</f>
        <v>100</v>
      </c>
      <c r="T25" s="768" t="s">
        <v>17</v>
      </c>
      <c r="U25" s="769">
        <f>H25</f>
        <v>100</v>
      </c>
      <c r="V25" s="768" t="s">
        <v>17</v>
      </c>
      <c r="W25" s="769">
        <f>J25</f>
        <v>100</v>
      </c>
      <c r="X25" s="770"/>
      <c r="Y25" s="3235"/>
      <c r="Z25" s="54" t="str">
        <f>Q25</f>
        <v>基础设施水平</v>
      </c>
      <c r="AA25" s="1812">
        <f>D25/F25</f>
        <v>1</v>
      </c>
      <c r="AB25" s="1812">
        <f>D25/H25</f>
        <v>1</v>
      </c>
      <c r="AC25" s="1812">
        <f>D25/J25</f>
        <v>1</v>
      </c>
    </row>
    <row r="26" spans="1:29" s="116" customFormat="1" ht="15">
      <c r="A26" s="647"/>
      <c r="B26" s="630"/>
      <c r="C26" s="2703"/>
      <c r="D26" s="446"/>
      <c r="E26" s="2704"/>
      <c r="F26" s="446"/>
      <c r="G26" s="2704"/>
      <c r="H26" s="446"/>
      <c r="I26" s="2704"/>
      <c r="J26" s="446"/>
      <c r="K26" s="670"/>
      <c r="L26" s="1133"/>
      <c r="M26" s="1134"/>
      <c r="N26" s="1134"/>
      <c r="O26" s="1135"/>
      <c r="P26" s="3235"/>
      <c r="Q26" s="1796"/>
      <c r="R26" s="768"/>
      <c r="S26" s="769"/>
      <c r="T26" s="768"/>
      <c r="U26" s="769"/>
      <c r="V26" s="768"/>
      <c r="W26" s="769"/>
      <c r="X26" s="770"/>
      <c r="Y26" s="3235"/>
      <c r="Z26" s="54"/>
      <c r="AA26" s="771">
        <v>1</v>
      </c>
      <c r="AB26" s="771">
        <v>1</v>
      </c>
      <c r="AC26" s="771">
        <v>1</v>
      </c>
    </row>
    <row r="27" spans="1:29" ht="15">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35"/>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35"/>
      <c r="Z27" s="1815" t="str">
        <f t="shared" ref="Z27:Z40" si="13">Q27</f>
        <v>临街状况</v>
      </c>
      <c r="AA27" s="1812">
        <f t="shared" si="3"/>
        <v>1</v>
      </c>
      <c r="AB27" s="1812">
        <f t="shared" si="4"/>
        <v>1</v>
      </c>
      <c r="AC27" s="1812">
        <f t="shared" si="5"/>
        <v>1</v>
      </c>
    </row>
    <row r="28" spans="1:29" ht="27">
      <c r="A28" s="426"/>
      <c r="B28" s="631" t="s">
        <v>2689</v>
      </c>
      <c r="C28" s="271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35"/>
      <c r="Q28" s="1811" t="str">
        <f t="shared" si="8"/>
        <v>毗邻道路的类型与等级</v>
      </c>
      <c r="R28" s="772" t="s">
        <v>17</v>
      </c>
      <c r="S28" s="773">
        <f t="shared" si="10"/>
        <v>100</v>
      </c>
      <c r="T28" s="772" t="s">
        <v>17</v>
      </c>
      <c r="U28" s="773">
        <f t="shared" si="11"/>
        <v>100</v>
      </c>
      <c r="V28" s="772" t="s">
        <v>17</v>
      </c>
      <c r="W28" s="773">
        <f t="shared" si="12"/>
        <v>100</v>
      </c>
      <c r="X28" s="1814"/>
      <c r="Y28" s="3235"/>
      <c r="Z28" s="1815" t="str">
        <f t="shared" si="13"/>
        <v>毗邻道路的类型与等级</v>
      </c>
      <c r="AA28" s="1812">
        <f t="shared" si="3"/>
        <v>1</v>
      </c>
      <c r="AB28" s="1812">
        <f t="shared" si="4"/>
        <v>1</v>
      </c>
      <c r="AC28" s="1812">
        <f t="shared" si="5"/>
        <v>1</v>
      </c>
    </row>
    <row r="29" spans="1:29" ht="15">
      <c r="A29" s="426"/>
      <c r="B29" s="630"/>
      <c r="C29" s="445"/>
      <c r="D29" s="446"/>
      <c r="E29" s="2614"/>
      <c r="F29" s="446"/>
      <c r="G29" s="2614"/>
      <c r="H29" s="446"/>
      <c r="I29" s="2614"/>
      <c r="J29" s="446"/>
      <c r="K29" s="611"/>
      <c r="L29" s="1141"/>
      <c r="M29" s="1132"/>
      <c r="N29" s="1132"/>
      <c r="O29" s="1140"/>
      <c r="P29" s="3235"/>
      <c r="Q29" s="1811"/>
      <c r="R29" s="772"/>
      <c r="S29" s="773"/>
      <c r="T29" s="772"/>
      <c r="U29" s="773"/>
      <c r="V29" s="772"/>
      <c r="W29" s="773"/>
      <c r="X29" s="1814"/>
      <c r="Y29" s="3235"/>
      <c r="Z29" s="1815"/>
      <c r="AA29" s="1812">
        <v>1</v>
      </c>
      <c r="AB29" s="1812">
        <v>1</v>
      </c>
      <c r="AC29" s="1812">
        <v>1</v>
      </c>
    </row>
    <row r="30" spans="1:29" ht="15">
      <c r="A30" s="426"/>
      <c r="B30" s="652" t="s">
        <v>2748</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35"/>
      <c r="Q30" s="1811" t="str">
        <f t="shared" si="8"/>
        <v>土地级别</v>
      </c>
      <c r="R30" s="772" t="s">
        <v>17</v>
      </c>
      <c r="S30" s="773">
        <f t="shared" si="10"/>
        <v>100</v>
      </c>
      <c r="T30" s="772" t="s">
        <v>17</v>
      </c>
      <c r="U30" s="773">
        <f t="shared" si="11"/>
        <v>100</v>
      </c>
      <c r="V30" s="772" t="s">
        <v>17</v>
      </c>
      <c r="W30" s="773">
        <f t="shared" si="12"/>
        <v>100</v>
      </c>
      <c r="X30" s="1814"/>
      <c r="Y30" s="3235"/>
      <c r="Z30" s="1815" t="str">
        <f t="shared" si="13"/>
        <v>土地级别</v>
      </c>
      <c r="AA30" s="1812">
        <f t="shared" si="3"/>
        <v>1</v>
      </c>
      <c r="AB30" s="1812">
        <f t="shared" si="4"/>
        <v>1</v>
      </c>
      <c r="AC30" s="1812">
        <f t="shared" si="5"/>
        <v>1</v>
      </c>
    </row>
    <row r="31" spans="1:29" ht="15">
      <c r="A31" s="403"/>
      <c r="B31" s="268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35"/>
      <c r="Q31" s="1811">
        <f t="shared" si="8"/>
        <v>111</v>
      </c>
      <c r="R31" s="772" t="s">
        <v>17</v>
      </c>
      <c r="S31" s="773">
        <f t="shared" si="10"/>
        <v>100</v>
      </c>
      <c r="T31" s="772" t="s">
        <v>17</v>
      </c>
      <c r="U31" s="773">
        <f t="shared" si="11"/>
        <v>100</v>
      </c>
      <c r="V31" s="772" t="s">
        <v>17</v>
      </c>
      <c r="W31" s="773">
        <f t="shared" si="12"/>
        <v>100</v>
      </c>
      <c r="X31" s="1814"/>
      <c r="Y31" s="3235"/>
      <c r="Z31" s="1815">
        <f t="shared" si="13"/>
        <v>111</v>
      </c>
      <c r="AA31" s="1812">
        <f t="shared" si="3"/>
        <v>1</v>
      </c>
      <c r="AB31" s="1812">
        <f t="shared" si="4"/>
        <v>1</v>
      </c>
      <c r="AC31" s="1812">
        <f t="shared" si="5"/>
        <v>1</v>
      </c>
    </row>
    <row r="32" spans="1:29" ht="15">
      <c r="A32" s="673"/>
      <c r="B32" s="271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59" t="s">
        <v>2563</v>
      </c>
      <c r="Q32" s="1811">
        <f t="shared" si="8"/>
        <v>111</v>
      </c>
      <c r="R32" s="772" t="s">
        <v>17</v>
      </c>
      <c r="S32" s="773">
        <f t="shared" si="10"/>
        <v>100</v>
      </c>
      <c r="T32" s="772" t="s">
        <v>17</v>
      </c>
      <c r="U32" s="773">
        <f t="shared" si="11"/>
        <v>100</v>
      </c>
      <c r="V32" s="772" t="s">
        <v>17</v>
      </c>
      <c r="W32" s="773">
        <f t="shared" si="12"/>
        <v>100</v>
      </c>
      <c r="X32" s="1814"/>
      <c r="Y32" s="3239" t="s">
        <v>2563</v>
      </c>
      <c r="Z32" s="1815">
        <f t="shared" si="13"/>
        <v>111</v>
      </c>
      <c r="AA32" s="1812">
        <f t="shared" si="3"/>
        <v>1</v>
      </c>
      <c r="AB32" s="1812">
        <f t="shared" si="4"/>
        <v>1</v>
      </c>
      <c r="AC32" s="1812">
        <f t="shared" si="5"/>
        <v>1</v>
      </c>
    </row>
    <row r="33" spans="1:29" s="469" customFormat="1" ht="15.75" thickBot="1">
      <c r="A33" s="674"/>
      <c r="B33" s="2718">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39"/>
      <c r="Q33" s="1811">
        <f t="shared" si="8"/>
        <v>111</v>
      </c>
      <c r="R33" s="775" t="s">
        <v>17</v>
      </c>
      <c r="S33" s="776">
        <f t="shared" si="10"/>
        <v>100</v>
      </c>
      <c r="T33" s="775" t="s">
        <v>17</v>
      </c>
      <c r="U33" s="776">
        <f t="shared" si="11"/>
        <v>100</v>
      </c>
      <c r="V33" s="775" t="s">
        <v>17</v>
      </c>
      <c r="W33" s="776">
        <f t="shared" si="12"/>
        <v>100</v>
      </c>
      <c r="X33" s="777"/>
      <c r="Y33" s="3239"/>
      <c r="Z33" s="778">
        <f t="shared" si="13"/>
        <v>111</v>
      </c>
      <c r="AA33" s="1812">
        <f t="shared" si="3"/>
        <v>1</v>
      </c>
      <c r="AB33" s="1812">
        <f t="shared" si="4"/>
        <v>1</v>
      </c>
      <c r="AC33" s="1812">
        <f t="shared" si="5"/>
        <v>1</v>
      </c>
    </row>
    <row r="34" spans="1:29" ht="15">
      <c r="A34" s="438" t="s">
        <v>2561</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39"/>
      <c r="Q34" s="1811" t="str">
        <f>B34</f>
        <v>宗地面积</v>
      </c>
      <c r="R34" s="772" t="s">
        <v>17</v>
      </c>
      <c r="S34" s="773" t="e">
        <f t="shared" si="10"/>
        <v>#N/A</v>
      </c>
      <c r="T34" s="772" t="s">
        <v>17</v>
      </c>
      <c r="U34" s="773" t="e">
        <f t="shared" si="11"/>
        <v>#N/A</v>
      </c>
      <c r="V34" s="772" t="s">
        <v>17</v>
      </c>
      <c r="W34" s="773" t="e">
        <f t="shared" si="12"/>
        <v>#N/A</v>
      </c>
      <c r="X34" s="1814"/>
      <c r="Y34" s="3239"/>
      <c r="Z34" s="1815" t="str">
        <f t="shared" si="13"/>
        <v>宗地面积</v>
      </c>
      <c r="AA34" s="1812" t="e">
        <f t="shared" si="3"/>
        <v>#N/A</v>
      </c>
      <c r="AB34" s="1812" t="e">
        <f t="shared" si="4"/>
        <v>#N/A</v>
      </c>
      <c r="AC34" s="1812" t="e">
        <f t="shared" si="5"/>
        <v>#N/A</v>
      </c>
    </row>
    <row r="35" spans="1:29" ht="15">
      <c r="A35" s="470"/>
      <c r="B35" s="420" t="s">
        <v>2750</v>
      </c>
      <c r="C35" s="2616"/>
      <c r="D35" s="433">
        <v>100</v>
      </c>
      <c r="E35" s="2616"/>
      <c r="F35" s="433">
        <f>SUMIF(110:110,E35,111:111)-SUMIF(110:110,C35,111:111)+100</f>
        <v>100</v>
      </c>
      <c r="G35" s="2616"/>
      <c r="H35" s="433">
        <f>SUMIF(110:110,G35,111:111)-SUMIF(110:110,C35,111:111)+100</f>
        <v>100</v>
      </c>
      <c r="I35" s="2616"/>
      <c r="J35" s="433">
        <f>SUMIF(110:110,I35,111:111)-SUMIF(110:110,C35,111:111)+100</f>
        <v>100</v>
      </c>
      <c r="K35" s="610"/>
      <c r="L35" s="1141"/>
      <c r="M35" s="1132"/>
      <c r="N35" s="1132"/>
      <c r="O35" s="1140"/>
      <c r="P35" s="3239"/>
      <c r="Q35" s="1811" t="str">
        <f t="shared" ref="Q35:Q40" si="14">B35</f>
        <v>宗地形状</v>
      </c>
      <c r="R35" s="772" t="s">
        <v>17</v>
      </c>
      <c r="S35" s="773">
        <f t="shared" si="10"/>
        <v>100</v>
      </c>
      <c r="T35" s="772" t="s">
        <v>17</v>
      </c>
      <c r="U35" s="773">
        <f t="shared" si="11"/>
        <v>100</v>
      </c>
      <c r="V35" s="772" t="s">
        <v>17</v>
      </c>
      <c r="W35" s="773">
        <f t="shared" si="12"/>
        <v>100</v>
      </c>
      <c r="X35" s="1814"/>
      <c r="Y35" s="3239"/>
      <c r="Z35" s="1815" t="str">
        <f t="shared" si="13"/>
        <v>宗地形状</v>
      </c>
      <c r="AA35" s="1812">
        <f t="shared" si="3"/>
        <v>1</v>
      </c>
      <c r="AB35" s="1812">
        <f t="shared" si="4"/>
        <v>1</v>
      </c>
      <c r="AC35" s="1812">
        <f t="shared" si="5"/>
        <v>1</v>
      </c>
    </row>
    <row r="36" spans="1:29" s="116" customFormat="1" ht="15">
      <c r="A36" s="471"/>
      <c r="B36" s="420" t="s">
        <v>2752</v>
      </c>
      <c r="C36" s="2705"/>
      <c r="D36" s="135">
        <v>100</v>
      </c>
      <c r="E36" s="2705"/>
      <c r="F36" s="433">
        <f>SUMIF(112:112,E36,113:113)-SUMIF(112:112,C36,113:113)+100</f>
        <v>100</v>
      </c>
      <c r="G36" s="2705"/>
      <c r="H36" s="433">
        <f>SUMIF(112:112,G36,113:113)-SUMIF(112:112,C36,113:113)+100</f>
        <v>100</v>
      </c>
      <c r="I36" s="2705"/>
      <c r="J36" s="433">
        <f>SUMIF(112:112,I36,113:113)-SUMIF(112:112,C36,113:113)+100</f>
        <v>100</v>
      </c>
      <c r="K36" s="610"/>
      <c r="L36" s="1133"/>
      <c r="M36" s="1134"/>
      <c r="N36" s="1134"/>
      <c r="O36" s="1135"/>
      <c r="P36" s="3239"/>
      <c r="Q36" s="1811" t="str">
        <f t="shared" si="14"/>
        <v>宗地开发程度</v>
      </c>
      <c r="R36" s="768" t="s">
        <v>17</v>
      </c>
      <c r="S36" s="769">
        <f t="shared" si="10"/>
        <v>100</v>
      </c>
      <c r="T36" s="768" t="s">
        <v>17</v>
      </c>
      <c r="U36" s="769">
        <f t="shared" si="11"/>
        <v>100</v>
      </c>
      <c r="V36" s="768" t="s">
        <v>17</v>
      </c>
      <c r="W36" s="769">
        <f t="shared" si="12"/>
        <v>100</v>
      </c>
      <c r="X36" s="770"/>
      <c r="Y36" s="3239"/>
      <c r="Z36" s="54" t="str">
        <f t="shared" si="13"/>
        <v>宗地开发程度</v>
      </c>
      <c r="AA36" s="771">
        <f t="shared" si="3"/>
        <v>1</v>
      </c>
      <c r="AB36" s="771">
        <f t="shared" si="4"/>
        <v>1</v>
      </c>
      <c r="AC36" s="771">
        <f t="shared" si="5"/>
        <v>1</v>
      </c>
    </row>
    <row r="37" spans="1:29" ht="15">
      <c r="A37" s="470"/>
      <c r="B37" s="420" t="s">
        <v>2753</v>
      </c>
      <c r="C37" s="2616"/>
      <c r="D37" s="433">
        <v>100</v>
      </c>
      <c r="E37" s="2616"/>
      <c r="F37" s="433">
        <f>SUMIF(114:114,E37,115:115)-SUMIF(114:114,C37,115:115)+100</f>
        <v>100</v>
      </c>
      <c r="G37" s="2616"/>
      <c r="H37" s="433">
        <f>SUMIF(114:114,G37,115:115)-SUMIF(114:114,C37,115:115)+100</f>
        <v>100</v>
      </c>
      <c r="I37" s="2616"/>
      <c r="J37" s="433">
        <f>SUMIF(114:114,I37,115:115)-SUMIF(114:114,C37,115:115)+100</f>
        <v>100</v>
      </c>
      <c r="K37" s="610"/>
      <c r="L37" s="1141"/>
      <c r="M37" s="1132"/>
      <c r="N37" s="1132"/>
      <c r="O37" s="1140"/>
      <c r="P37" s="3239" t="s">
        <v>2563</v>
      </c>
      <c r="Q37" s="1811" t="str">
        <f t="shared" si="14"/>
        <v>工程地质条件</v>
      </c>
      <c r="R37" s="772" t="s">
        <v>17</v>
      </c>
      <c r="S37" s="773">
        <f t="shared" si="10"/>
        <v>100</v>
      </c>
      <c r="T37" s="772" t="s">
        <v>17</v>
      </c>
      <c r="U37" s="773">
        <f t="shared" si="11"/>
        <v>100</v>
      </c>
      <c r="V37" s="772" t="s">
        <v>17</v>
      </c>
      <c r="W37" s="773">
        <f t="shared" si="12"/>
        <v>100</v>
      </c>
      <c r="X37" s="1814"/>
      <c r="Y37" s="3239" t="s">
        <v>2563</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39"/>
      <c r="Q38" s="1811">
        <f t="shared" si="14"/>
        <v>111</v>
      </c>
      <c r="R38" s="772" t="s">
        <v>17</v>
      </c>
      <c r="S38" s="773">
        <f t="shared" si="10"/>
        <v>100</v>
      </c>
      <c r="T38" s="772" t="s">
        <v>17</v>
      </c>
      <c r="U38" s="773">
        <f t="shared" si="11"/>
        <v>100</v>
      </c>
      <c r="V38" s="772" t="s">
        <v>17</v>
      </c>
      <c r="W38" s="773">
        <f t="shared" si="12"/>
        <v>100</v>
      </c>
      <c r="X38" s="1814"/>
      <c r="Y38" s="3239"/>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39"/>
      <c r="Q39" s="1811">
        <f t="shared" si="14"/>
        <v>111</v>
      </c>
      <c r="R39" s="772" t="s">
        <v>17</v>
      </c>
      <c r="S39" s="773">
        <f t="shared" si="10"/>
        <v>100</v>
      </c>
      <c r="T39" s="772" t="s">
        <v>17</v>
      </c>
      <c r="U39" s="773">
        <f t="shared" si="11"/>
        <v>100</v>
      </c>
      <c r="V39" s="772" t="s">
        <v>17</v>
      </c>
      <c r="W39" s="773">
        <f t="shared" si="12"/>
        <v>100</v>
      </c>
      <c r="X39" s="1814"/>
      <c r="Y39" s="3239"/>
      <c r="Z39" s="1815">
        <f t="shared" si="13"/>
        <v>111</v>
      </c>
      <c r="AA39" s="1812">
        <f t="shared" si="3"/>
        <v>1</v>
      </c>
      <c r="AB39" s="1812">
        <f t="shared" si="4"/>
        <v>1</v>
      </c>
      <c r="AC39" s="1812">
        <f t="shared" si="5"/>
        <v>1</v>
      </c>
    </row>
    <row r="40" spans="1:29" s="469" customFormat="1" ht="15.75" thickBot="1">
      <c r="A40" s="466"/>
      <c r="B40" s="1388">
        <v>111</v>
      </c>
      <c r="C40" s="2706"/>
      <c r="D40" s="136">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39"/>
      <c r="Q40" s="1811">
        <f t="shared" si="14"/>
        <v>111</v>
      </c>
      <c r="R40" s="775" t="s">
        <v>17</v>
      </c>
      <c r="S40" s="776">
        <f t="shared" si="10"/>
        <v>100</v>
      </c>
      <c r="T40" s="775" t="s">
        <v>17</v>
      </c>
      <c r="U40" s="776">
        <f t="shared" si="11"/>
        <v>100</v>
      </c>
      <c r="V40" s="775" t="s">
        <v>17</v>
      </c>
      <c r="W40" s="776">
        <f t="shared" si="12"/>
        <v>100</v>
      </c>
      <c r="X40" s="777"/>
      <c r="Y40" s="3239"/>
      <c r="Z40" s="778">
        <f t="shared" si="13"/>
        <v>111</v>
      </c>
      <c r="AA40" s="1812">
        <f t="shared" si="3"/>
        <v>1</v>
      </c>
      <c r="AB40" s="1812">
        <f t="shared" si="4"/>
        <v>1</v>
      </c>
      <c r="AC40" s="1812">
        <f t="shared" si="5"/>
        <v>1</v>
      </c>
    </row>
    <row r="41" spans="1:29" ht="15">
      <c r="A41" s="477" t="s">
        <v>2718</v>
      </c>
      <c r="B41" s="2707" t="s">
        <v>2798</v>
      </c>
      <c r="C41" s="680" t="s">
        <v>1</v>
      </c>
      <c r="D41" s="479"/>
      <c r="E41" s="480"/>
      <c r="F41" s="481"/>
      <c r="G41" s="482"/>
      <c r="H41" s="483"/>
      <c r="I41" s="480"/>
      <c r="J41" s="483"/>
      <c r="K41" s="781"/>
      <c r="L41" s="1144"/>
      <c r="M41" s="1132"/>
      <c r="N41" s="1132"/>
      <c r="O41" s="1145"/>
      <c r="P41" s="3232" t="str">
        <f>A41</f>
        <v>成交单价</v>
      </c>
      <c r="Q41" s="3232"/>
      <c r="R41" s="3227">
        <f>E41</f>
        <v>0</v>
      </c>
      <c r="S41" s="3227"/>
      <c r="T41" s="3227">
        <f>G41</f>
        <v>0</v>
      </c>
      <c r="U41" s="3227"/>
      <c r="V41" s="3227">
        <f>I41</f>
        <v>0</v>
      </c>
      <c r="W41" s="3227"/>
      <c r="X41" s="757"/>
      <c r="Y41" s="779"/>
      <c r="Z41" s="757"/>
      <c r="AA41" s="757"/>
      <c r="AB41" s="757"/>
      <c r="AC41" s="757"/>
    </row>
    <row r="42" spans="1:29" ht="15.75" thickBot="1">
      <c r="A42" s="484" t="s">
        <v>2667</v>
      </c>
      <c r="B42" s="681"/>
      <c r="C42" s="488" t="e">
        <f>R43</f>
        <v>#DIV/0!</v>
      </c>
      <c r="D42" s="487"/>
      <c r="E42" s="488" t="e">
        <f>R42</f>
        <v>#DIV/0!</v>
      </c>
      <c r="F42" s="489"/>
      <c r="G42" s="486" t="e">
        <f>T42</f>
        <v>#DIV/0!</v>
      </c>
      <c r="H42" s="487"/>
      <c r="I42" s="488" t="e">
        <f>V42</f>
        <v>#DIV/0!</v>
      </c>
      <c r="J42" s="487"/>
      <c r="K42" s="782"/>
      <c r="L42" s="1144"/>
      <c r="M42" s="1132"/>
      <c r="N42" s="1132"/>
      <c r="O42" s="1145"/>
      <c r="P42" s="3232" t="str">
        <f>A42</f>
        <v>比较价值（元/平方米）</v>
      </c>
      <c r="Q42" s="3232"/>
      <c r="R42" s="3260" t="e">
        <f>ROUND(PRODUCT(R41,AA7:AA40),0)</f>
        <v>#DIV/0!</v>
      </c>
      <c r="S42" s="3260"/>
      <c r="T42" s="3260" t="e">
        <f>ROUND(PRODUCT(T41,AB7:AB40),0)</f>
        <v>#DIV/0!</v>
      </c>
      <c r="U42" s="3260"/>
      <c r="V42" s="3260" t="e">
        <f>ROUND(PRODUCT(V41,AC7:AC40),0)</f>
        <v>#DIV/0!</v>
      </c>
      <c r="W42" s="3260"/>
      <c r="X42" s="757"/>
      <c r="Y42" s="757"/>
      <c r="Z42" s="757"/>
      <c r="AA42" s="757"/>
      <c r="AB42" s="757"/>
      <c r="AC42" s="757"/>
    </row>
    <row r="43" spans="1:29" ht="15.75" thickBot="1">
      <c r="A43" s="490" t="s">
        <v>2668</v>
      </c>
      <c r="B43" s="491"/>
      <c r="C43" s="492" t="e">
        <f>R43</f>
        <v>#DIV/0!</v>
      </c>
      <c r="D43" s="492"/>
      <c r="E43" s="492"/>
      <c r="F43" s="492"/>
      <c r="G43" s="492"/>
      <c r="H43" s="492"/>
      <c r="I43" s="492"/>
      <c r="J43" s="492"/>
      <c r="K43" s="783"/>
      <c r="L43" s="1144"/>
      <c r="M43" s="1132"/>
      <c r="N43" s="1132"/>
      <c r="O43" s="1145"/>
      <c r="P43" s="3229" t="str">
        <f>A43</f>
        <v>估价对象XX用房的比较价值（楼面单价，元/平方米）</v>
      </c>
      <c r="Q43" s="3230"/>
      <c r="R43" s="3261" t="e">
        <f>ROUND(AVERAGE(R42:V42),0)</f>
        <v>#DIV/0!</v>
      </c>
      <c r="S43" s="3261"/>
      <c r="T43" s="3261"/>
      <c r="U43" s="3261"/>
      <c r="V43" s="3261"/>
      <c r="W43" s="326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2756</v>
      </c>
      <c r="B50" s="683" t="s">
        <v>2757</v>
      </c>
      <c r="C50" s="2708" t="s">
        <v>2758</v>
      </c>
      <c r="D50" s="2709" t="s">
        <v>2759</v>
      </c>
      <c r="E50" s="684" t="s">
        <v>2760</v>
      </c>
      <c r="F50" s="685" t="s">
        <v>2761</v>
      </c>
      <c r="G50" s="3215" t="s">
        <v>2762</v>
      </c>
      <c r="H50" s="3262"/>
      <c r="I50" s="1815" t="s">
        <v>2799</v>
      </c>
      <c r="J50" s="1815" t="str">
        <f>项目基本情况!F35</f>
        <v>上海</v>
      </c>
      <c r="K50" s="2711" t="s">
        <v>2764</v>
      </c>
      <c r="L50" s="1107"/>
      <c r="M50" s="1145"/>
      <c r="N50" s="1145"/>
      <c r="O50" s="1145"/>
    </row>
    <row r="51" spans="1:17" s="690" customFormat="1">
      <c r="A51" s="686" t="s">
        <v>2765</v>
      </c>
      <c r="B51" s="687" t="e">
        <f>C43</f>
        <v>#DIV/0!</v>
      </c>
      <c r="C51" s="688">
        <v>1</v>
      </c>
      <c r="D51" s="1164">
        <v>1</v>
      </c>
      <c r="E51" s="688">
        <f>'数据-汇总表'!E8+'数据-汇总表'!E9</f>
        <v>77026.790000000008</v>
      </c>
      <c r="F51" s="689" t="e">
        <f t="shared" ref="F51:F60" si="15">ROUND(B51*E51/10000,0)</f>
        <v>#DIV/0!</v>
      </c>
      <c r="G51" s="3214"/>
      <c r="H51" s="3232"/>
      <c r="I51" s="943">
        <v>1</v>
      </c>
      <c r="J51" s="943">
        <v>1</v>
      </c>
      <c r="K51" s="1146"/>
      <c r="L51" s="942"/>
      <c r="M51" s="942"/>
      <c r="N51" s="942"/>
      <c r="O51" s="942"/>
    </row>
    <row r="52" spans="1:17" s="690" customFormat="1">
      <c r="A52" s="691" t="s">
        <v>2766</v>
      </c>
      <c r="B52" s="261" t="e">
        <f>ROUND($C$43*C52*D52,0)</f>
        <v>#DIV/0!</v>
      </c>
      <c r="C52" s="199">
        <f t="shared" ref="C52:C60" si="16">IF($C$50="北京市系数",I52,J52)</f>
        <v>0</v>
      </c>
      <c r="D52" s="1165">
        <v>0.25</v>
      </c>
      <c r="E52" s="692"/>
      <c r="F52" s="689" t="e">
        <f t="shared" si="15"/>
        <v>#DIV/0!</v>
      </c>
      <c r="G52" s="3263" t="s">
        <v>2767</v>
      </c>
      <c r="H52" s="1105">
        <f>项目基本情况!B37</f>
        <v>0</v>
      </c>
      <c r="I52" s="943">
        <f>SUMIF(修正!A45:A56,H52,修正!B45:B56)</f>
        <v>0</v>
      </c>
      <c r="J52" s="944"/>
      <c r="K52" s="1145"/>
      <c r="L52" s="942"/>
      <c r="M52" s="942"/>
      <c r="N52" s="942"/>
      <c r="O52" s="942"/>
    </row>
    <row r="53" spans="1:17" s="690" customFormat="1">
      <c r="A53" s="691" t="s">
        <v>2768</v>
      </c>
      <c r="B53" s="261" t="e">
        <f t="shared" ref="B53:B60" si="17">ROUND($C$43*C53*D53,0)</f>
        <v>#DIV/0!</v>
      </c>
      <c r="C53" s="199">
        <f t="shared" si="16"/>
        <v>0</v>
      </c>
      <c r="D53" s="1165">
        <v>0.25</v>
      </c>
      <c r="E53" s="692"/>
      <c r="F53" s="689" t="e">
        <f t="shared" si="15"/>
        <v>#DIV/0!</v>
      </c>
      <c r="G53" s="3263"/>
      <c r="H53" s="1105">
        <f>项目基本情况!B37</f>
        <v>0</v>
      </c>
      <c r="I53" s="943">
        <f>SUMIF(修正!A45:A56,H53,修正!C45:C56)</f>
        <v>0</v>
      </c>
      <c r="J53" s="944"/>
      <c r="K53" s="1146"/>
      <c r="L53" s="942"/>
      <c r="M53" s="942"/>
      <c r="N53" s="942"/>
      <c r="O53" s="942"/>
    </row>
    <row r="54" spans="1:17" s="690" customFormat="1">
      <c r="A54" s="691" t="s">
        <v>2769</v>
      </c>
      <c r="B54" s="261" t="e">
        <f t="shared" si="17"/>
        <v>#DIV/0!</v>
      </c>
      <c r="C54" s="199">
        <f t="shared" si="16"/>
        <v>0</v>
      </c>
      <c r="D54" s="1165">
        <v>0.25</v>
      </c>
      <c r="E54" s="692"/>
      <c r="F54" s="689" t="e">
        <f t="shared" si="15"/>
        <v>#DIV/0!</v>
      </c>
      <c r="G54" s="3263"/>
      <c r="H54" s="1105">
        <f>项目基本情况!B37</f>
        <v>0</v>
      </c>
      <c r="I54" s="943">
        <f>SUMIF(修正!A45:A56,H54,修正!D45:D56)</f>
        <v>0</v>
      </c>
      <c r="J54" s="944"/>
      <c r="K54" s="1145"/>
      <c r="L54" s="942"/>
      <c r="M54" s="942"/>
      <c r="N54" s="942"/>
      <c r="O54" s="942"/>
    </row>
    <row r="55" spans="1:17" s="690" customFormat="1">
      <c r="A55" s="691" t="s">
        <v>2770</v>
      </c>
      <c r="B55" s="261" t="e">
        <f t="shared" si="17"/>
        <v>#DIV/0!</v>
      </c>
      <c r="C55" s="199">
        <f t="shared" si="16"/>
        <v>0</v>
      </c>
      <c r="D55" s="1165">
        <v>0.25</v>
      </c>
      <c r="E55" s="692"/>
      <c r="F55" s="689" t="e">
        <f t="shared" si="15"/>
        <v>#DIV/0!</v>
      </c>
      <c r="G55" s="3263"/>
      <c r="H55" s="1105">
        <f>项目基本情况!B37</f>
        <v>0</v>
      </c>
      <c r="I55" s="943">
        <f>SUMIF(修正!A45:A56,H55,修正!E45:E56)</f>
        <v>0</v>
      </c>
      <c r="J55" s="944"/>
      <c r="K55" s="1146"/>
      <c r="L55" s="942"/>
      <c r="M55" s="942"/>
      <c r="N55" s="942"/>
      <c r="O55" s="942"/>
    </row>
    <row r="56" spans="1:17" s="690" customFormat="1">
      <c r="A56" s="691" t="s">
        <v>2771</v>
      </c>
      <c r="B56" s="261" t="e">
        <f t="shared" si="17"/>
        <v>#DIV/0!</v>
      </c>
      <c r="C56" s="199">
        <f t="shared" si="16"/>
        <v>0</v>
      </c>
      <c r="D56" s="1165">
        <v>0.25</v>
      </c>
      <c r="E56" s="260">
        <f>'数据-汇总表'!E11</f>
        <v>0</v>
      </c>
      <c r="F56" s="689" t="e">
        <f t="shared" si="15"/>
        <v>#DIV/0!</v>
      </c>
      <c r="G56" s="2712" t="s">
        <v>2772</v>
      </c>
      <c r="H56" s="1105">
        <f>项目基本情况!C37</f>
        <v>0</v>
      </c>
      <c r="I56" s="943">
        <f>SUMIF(修正!A45:A56,H56,修正!F45:F56)</f>
        <v>0</v>
      </c>
      <c r="J56" s="944"/>
      <c r="K56" s="1145"/>
      <c r="L56" s="942"/>
      <c r="M56" s="942"/>
      <c r="N56" s="942"/>
      <c r="O56" s="942"/>
    </row>
    <row r="57" spans="1:17" s="690" customFormat="1">
      <c r="A57" s="691" t="s">
        <v>2773</v>
      </c>
      <c r="B57" s="261" t="e">
        <f t="shared" si="17"/>
        <v>#DIV/0!</v>
      </c>
      <c r="C57" s="199">
        <f t="shared" si="16"/>
        <v>0</v>
      </c>
      <c r="D57" s="1165">
        <v>0.25</v>
      </c>
      <c r="E57" s="260">
        <f>'数据-汇总表'!E12</f>
        <v>0</v>
      </c>
      <c r="F57" s="689" t="e">
        <f t="shared" si="15"/>
        <v>#DIV/0!</v>
      </c>
      <c r="G57" s="1110" t="s">
        <v>2774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2775</v>
      </c>
      <c r="B58" s="261" t="e">
        <f t="shared" si="17"/>
        <v>#DIV/0!</v>
      </c>
      <c r="C58" s="199">
        <f t="shared" si="16"/>
        <v>0</v>
      </c>
      <c r="D58" s="1165">
        <v>0.25</v>
      </c>
      <c r="E58" s="260">
        <f>'数据-汇总表'!E13</f>
        <v>14213.06</v>
      </c>
      <c r="F58" s="689"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2777</v>
      </c>
      <c r="B59" s="261" t="e">
        <f t="shared" si="17"/>
        <v>#DIV/0!</v>
      </c>
      <c r="C59" s="199">
        <f t="shared" si="16"/>
        <v>0</v>
      </c>
      <c r="D59" s="1165">
        <v>0.25</v>
      </c>
      <c r="E59" s="260">
        <f>'数据-汇总表'!E14</f>
        <v>0</v>
      </c>
      <c r="F59" s="689" t="e">
        <f t="shared" si="15"/>
        <v>#DIV/0!</v>
      </c>
      <c r="G59" s="2712" t="s">
        <v>2767</v>
      </c>
      <c r="H59" s="1105">
        <f>项目基本情况!B37</f>
        <v>0</v>
      </c>
      <c r="I59" s="943">
        <f>SUMIF(修正!A45:A56,H59,修正!H45:H56)</f>
        <v>0</v>
      </c>
      <c r="J59" s="944"/>
      <c r="K59" s="1146"/>
      <c r="L59" s="942"/>
      <c r="M59" s="942"/>
      <c r="N59" s="942"/>
      <c r="O59" s="942"/>
    </row>
    <row r="60" spans="1:17" s="690" customFormat="1" ht="15" thickBot="1">
      <c r="A60" s="691" t="s">
        <v>2778</v>
      </c>
      <c r="B60" s="261" t="e">
        <f t="shared" si="17"/>
        <v>#DIV/0!</v>
      </c>
      <c r="C60" s="199">
        <f t="shared" si="16"/>
        <v>0</v>
      </c>
      <c r="D60" s="1165">
        <v>0.25</v>
      </c>
      <c r="E60" s="260">
        <f>'数据-汇总表'!E15</f>
        <v>0</v>
      </c>
      <c r="F60" s="689" t="e">
        <f t="shared" si="15"/>
        <v>#DIV/0!</v>
      </c>
      <c r="G60" s="2713" t="s">
        <v>2772</v>
      </c>
      <c r="H60" s="1115">
        <f>项目基本情况!C37</f>
        <v>0</v>
      </c>
      <c r="I60" s="943">
        <f>SUMIF(修正!A45:A56,H60,修正!H45:H56)</f>
        <v>0</v>
      </c>
      <c r="J60" s="944"/>
      <c r="K60" s="1145"/>
      <c r="L60" s="942"/>
      <c r="M60" s="942"/>
      <c r="N60" s="942"/>
      <c r="O60" s="942"/>
    </row>
    <row r="61" spans="1:17" s="690" customFormat="1" ht="15" thickBot="1">
      <c r="A61" s="693" t="s">
        <v>2779</v>
      </c>
      <c r="B61" s="694" t="s">
        <v>28</v>
      </c>
      <c r="C61" s="694" t="s">
        <v>29</v>
      </c>
      <c r="D61" s="694" t="s">
        <v>1026</v>
      </c>
      <c r="E61" s="694">
        <f>IF(B41="楼面地价",SUM(E51:E60),'数据-汇总表'!D3)</f>
        <v>40235</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1.75" thickBot="1">
      <c r="A64" s="761" t="s">
        <v>2672</v>
      </c>
      <c r="B64" s="757"/>
      <c r="C64" s="762"/>
      <c r="D64" s="762"/>
      <c r="E64" s="762"/>
      <c r="F64" s="763"/>
      <c r="G64" s="763"/>
      <c r="H64" s="762"/>
      <c r="I64" s="762"/>
      <c r="J64" s="762"/>
      <c r="K64" s="764"/>
      <c r="L64" s="765"/>
      <c r="M64" s="762"/>
      <c r="N64" s="762"/>
      <c r="O64" s="1160"/>
      <c r="P64" s="501"/>
      <c r="Q64" s="502"/>
    </row>
    <row r="65" spans="1:17" s="506" customFormat="1" ht="15">
      <c r="A65" s="2714" t="s">
        <v>2780</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5"/>
    </row>
    <row r="66" spans="1:17" s="116" customFormat="1" ht="30.75" customHeight="1">
      <c r="A66" s="2719" t="s">
        <v>2800</v>
      </c>
      <c r="B66" s="331" t="str">
        <f>"北京市平均增长率"&amp;TEXT(基准地价修正!P24,"0.00%")</f>
        <v>北京市平均增长率1.42%</v>
      </c>
      <c r="C66" s="601">
        <v>100</v>
      </c>
      <c r="D66" s="593"/>
      <c r="E66" s="593"/>
      <c r="F66" s="593"/>
      <c r="G66" s="593"/>
      <c r="H66" s="593"/>
      <c r="I66" s="593"/>
      <c r="J66" s="593"/>
      <c r="K66" s="593"/>
      <c r="L66" s="593"/>
      <c r="M66" s="1568"/>
      <c r="N66" s="1568"/>
      <c r="O66" s="1570"/>
      <c r="P66" s="502"/>
    </row>
    <row r="67" spans="1:17" s="116" customFormat="1" ht="15.75" thickBot="1">
      <c r="A67" s="513" t="s">
        <v>2583</v>
      </c>
      <c r="B67" s="514"/>
      <c r="C67" s="515"/>
      <c r="D67" s="516"/>
      <c r="E67" s="516"/>
      <c r="F67" s="516"/>
      <c r="G67" s="516"/>
      <c r="H67" s="516"/>
      <c r="I67" s="516"/>
      <c r="J67" s="516"/>
      <c r="K67" s="516"/>
      <c r="L67" s="516"/>
      <c r="M67" s="517"/>
      <c r="N67" s="517"/>
      <c r="O67" s="518"/>
      <c r="P67" s="502"/>
      <c r="Q67" s="502"/>
    </row>
    <row r="68" spans="1:17" s="116" customFormat="1" ht="15">
      <c r="A68" s="519" t="s">
        <v>2548</v>
      </c>
      <c r="B68" s="508"/>
      <c r="C68" s="520" t="s">
        <v>2650</v>
      </c>
      <c r="D68" s="521"/>
      <c r="E68" s="521"/>
      <c r="F68" s="521"/>
      <c r="G68" s="521"/>
      <c r="H68" s="521"/>
      <c r="I68" s="521"/>
      <c r="J68" s="521"/>
      <c r="K68" s="521"/>
      <c r="L68" s="522"/>
      <c r="M68" s="523"/>
      <c r="N68" s="1152"/>
      <c r="O68" s="1152"/>
      <c r="P68" s="524"/>
      <c r="Q68" s="502"/>
    </row>
    <row r="69" spans="1:17" s="116"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2586</v>
      </c>
      <c r="B70" s="526" t="s">
        <v>2552</v>
      </c>
      <c r="C70" s="528"/>
      <c r="D70" s="528"/>
      <c r="E70" s="528"/>
      <c r="F70" s="528"/>
      <c r="G70" s="528"/>
      <c r="H70" s="528"/>
      <c r="I70" s="528"/>
      <c r="J70" s="528"/>
      <c r="K70" s="529"/>
      <c r="L70" s="530"/>
      <c r="M70" s="531"/>
      <c r="N70" s="1153"/>
      <c r="O70" s="1153"/>
      <c r="P70" s="44"/>
      <c r="Q70" s="502"/>
    </row>
    <row r="71" spans="1:17" ht="15.75" thickBot="1">
      <c r="A71" s="532"/>
      <c r="B71" s="533"/>
      <c r="C71" s="534"/>
      <c r="D71" s="534"/>
      <c r="E71" s="534"/>
      <c r="F71" s="534"/>
      <c r="G71" s="534"/>
      <c r="H71" s="534"/>
      <c r="I71" s="534"/>
      <c r="J71" s="534"/>
      <c r="K71" s="534"/>
      <c r="L71" s="534"/>
      <c r="M71" s="535"/>
      <c r="N71" s="1154"/>
      <c r="O71" s="1154"/>
      <c r="P71" s="44"/>
      <c r="Q71" s="502"/>
    </row>
    <row r="72" spans="1:17" ht="27.75" thickTop="1">
      <c r="A72" s="532"/>
      <c r="B72" s="536" t="s">
        <v>2555</v>
      </c>
      <c r="C72" s="537"/>
      <c r="D72" s="537"/>
      <c r="E72" s="537"/>
      <c r="F72" s="537"/>
      <c r="G72" s="537"/>
      <c r="H72" s="537"/>
      <c r="I72" s="537"/>
      <c r="J72" s="537"/>
      <c r="K72" s="538"/>
      <c r="L72" s="539"/>
      <c r="M72" s="540"/>
      <c r="N72" s="1153"/>
      <c r="O72" s="1153"/>
      <c r="P72" s="44"/>
      <c r="Q72" s="502"/>
    </row>
    <row r="73" spans="1:17" ht="15.75" thickBot="1">
      <c r="A73" s="532"/>
      <c r="B73" s="541"/>
      <c r="C73" s="542"/>
      <c r="D73" s="542"/>
      <c r="E73" s="542"/>
      <c r="F73" s="542"/>
      <c r="G73" s="542"/>
      <c r="H73" s="542"/>
      <c r="I73" s="542"/>
      <c r="J73" s="542"/>
      <c r="K73" s="542"/>
      <c r="L73" s="542"/>
      <c r="M73" s="543"/>
      <c r="N73" s="1154"/>
      <c r="O73" s="1154"/>
      <c r="P73" s="44"/>
      <c r="Q73" s="502"/>
    </row>
    <row r="74" spans="1:17" ht="15.75" thickTop="1">
      <c r="A74" s="532"/>
      <c r="B74" s="544" t="s">
        <v>2556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4"/>
      <c r="Q74" s="502"/>
    </row>
    <row r="75" spans="1:17" ht="15">
      <c r="A75" s="532"/>
      <c r="B75" s="546"/>
      <c r="C75" s="547"/>
      <c r="D75" s="547"/>
      <c r="E75" s="547"/>
      <c r="F75" s="547"/>
      <c r="G75" s="547"/>
      <c r="H75" s="547"/>
      <c r="I75" s="547"/>
      <c r="J75" s="547"/>
      <c r="K75" s="548"/>
      <c r="L75" s="549"/>
      <c r="M75" s="550"/>
      <c r="N75" s="1153"/>
      <c r="O75" s="1153"/>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4"/>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2557</v>
      </c>
      <c r="B83" s="526" t="s">
        <v>2703</v>
      </c>
      <c r="C83" s="571" t="s">
        <v>2595</v>
      </c>
      <c r="D83" s="571" t="s">
        <v>2596</v>
      </c>
      <c r="E83" s="571" t="s">
        <v>2597</v>
      </c>
      <c r="F83" s="571" t="s">
        <v>2598</v>
      </c>
      <c r="G83" s="571" t="s">
        <v>2599</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4"/>
      <c r="Q84" s="502"/>
    </row>
    <row r="85" spans="1:17" ht="15.75" thickTop="1">
      <c r="A85" s="532"/>
      <c r="B85" s="536" t="s">
        <v>2600</v>
      </c>
      <c r="C85" s="576" t="s">
        <v>2595</v>
      </c>
      <c r="D85" s="576" t="s">
        <v>2596</v>
      </c>
      <c r="E85" s="576" t="s">
        <v>2597</v>
      </c>
      <c r="F85" s="576" t="s">
        <v>2598</v>
      </c>
      <c r="G85" s="576" t="s">
        <v>2599</v>
      </c>
      <c r="H85" s="537"/>
      <c r="I85" s="537"/>
      <c r="J85" s="537"/>
      <c r="K85" s="538"/>
      <c r="L85" s="539"/>
      <c r="M85" s="540"/>
      <c r="N85" s="1153"/>
      <c r="O85" s="1153"/>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4"/>
      <c r="Q86" s="502"/>
    </row>
    <row r="87" spans="1:17" s="116" customFormat="1" ht="15.75" thickTop="1">
      <c r="A87" s="577"/>
      <c r="B87" s="536" t="s">
        <v>2783</v>
      </c>
      <c r="C87" s="571" t="s">
        <v>2595</v>
      </c>
      <c r="D87" s="571" t="s">
        <v>2596</v>
      </c>
      <c r="E87" s="571" t="s">
        <v>2597</v>
      </c>
      <c r="F87" s="571" t="s">
        <v>2598</v>
      </c>
      <c r="G87" s="571" t="s">
        <v>2599</v>
      </c>
      <c r="H87" s="576"/>
      <c r="I87" s="576"/>
      <c r="J87" s="576"/>
      <c r="K87" s="576"/>
      <c r="L87" s="696"/>
      <c r="M87" s="620"/>
      <c r="N87" s="1152"/>
      <c r="O87" s="1152"/>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4"/>
      <c r="Q88" s="502"/>
    </row>
    <row r="89" spans="1:17" s="116" customFormat="1" ht="27.75" thickTop="1">
      <c r="A89" s="577"/>
      <c r="B89" s="536" t="s">
        <v>2784</v>
      </c>
      <c r="C89" s="571" t="s">
        <v>2595</v>
      </c>
      <c r="D89" s="571" t="s">
        <v>2596</v>
      </c>
      <c r="E89" s="571" t="s">
        <v>2597</v>
      </c>
      <c r="F89" s="571" t="s">
        <v>2598</v>
      </c>
      <c r="G89" s="571" t="s">
        <v>2599</v>
      </c>
      <c r="H89" s="576"/>
      <c r="I89" s="576"/>
      <c r="J89" s="576"/>
      <c r="K89" s="576"/>
      <c r="L89" s="576"/>
      <c r="M89" s="620"/>
      <c r="N89" s="1152"/>
      <c r="O89" s="1152"/>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4"/>
      <c r="Q90" s="502"/>
    </row>
    <row r="91" spans="1:17" s="469" customFormat="1" ht="15.75" thickTop="1">
      <c r="A91" s="551"/>
      <c r="B91" s="536" t="s">
        <v>2652</v>
      </c>
      <c r="C91" s="571" t="s">
        <v>2595</v>
      </c>
      <c r="D91" s="571" t="s">
        <v>2596</v>
      </c>
      <c r="E91" s="571" t="s">
        <v>2597</v>
      </c>
      <c r="F91" s="571" t="s">
        <v>2598</v>
      </c>
      <c r="G91" s="571" t="s">
        <v>2599</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2801</v>
      </c>
      <c r="C93" s="658" t="s">
        <v>2673</v>
      </c>
      <c r="D93" s="658" t="s">
        <v>2674</v>
      </c>
      <c r="E93" s="658" t="s">
        <v>2675</v>
      </c>
      <c r="F93" s="658" t="s">
        <v>2676</v>
      </c>
      <c r="G93" s="658" t="s">
        <v>2677</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53"/>
      <c r="O95" s="1153"/>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4"/>
      <c r="Q96" s="502"/>
    </row>
    <row r="97" spans="1:17" ht="27.75" thickTop="1">
      <c r="A97" s="532"/>
      <c r="B97" s="536" t="s">
        <v>2689</v>
      </c>
      <c r="C97" s="552"/>
      <c r="D97" s="552"/>
      <c r="E97" s="552"/>
      <c r="F97" s="552"/>
      <c r="G97" s="552"/>
      <c r="H97" s="581"/>
      <c r="I97" s="581"/>
      <c r="J97" s="581"/>
      <c r="K97" s="582"/>
      <c r="L97" s="583"/>
      <c r="M97" s="584"/>
      <c r="N97" s="1153"/>
      <c r="O97" s="1153"/>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4"/>
      <c r="Q98" s="502"/>
    </row>
    <row r="99" spans="1:17" ht="15.75" thickTop="1">
      <c r="A99" s="532"/>
      <c r="B99" s="536" t="s">
        <v>2748</v>
      </c>
      <c r="C99" s="581"/>
      <c r="D99" s="581"/>
      <c r="E99" s="581"/>
      <c r="F99" s="581"/>
      <c r="G99" s="581"/>
      <c r="H99" s="581"/>
      <c r="I99" s="581"/>
      <c r="J99" s="581"/>
      <c r="K99" s="582"/>
      <c r="L99" s="583"/>
      <c r="M99" s="584"/>
      <c r="N99" s="1153"/>
      <c r="O99" s="1153"/>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4"/>
      <c r="Q100" s="502"/>
    </row>
    <row r="101" spans="1:17" ht="15.75" thickTop="1">
      <c r="A101" s="532"/>
      <c r="B101" s="544">
        <f>B31</f>
        <v>111</v>
      </c>
      <c r="C101" s="552"/>
      <c r="D101" s="552"/>
      <c r="E101" s="552"/>
      <c r="F101" s="552"/>
      <c r="G101" s="585"/>
      <c r="H101" s="585"/>
      <c r="I101" s="585"/>
      <c r="J101" s="585"/>
      <c r="K101" s="586"/>
      <c r="L101" s="587"/>
      <c r="M101" s="588"/>
      <c r="N101" s="1153"/>
      <c r="O101" s="1153"/>
      <c r="P101" s="44"/>
      <c r="Q101" s="502"/>
    </row>
    <row r="102" spans="1:17" ht="15.75" thickBot="1">
      <c r="A102" s="532"/>
      <c r="B102" s="567"/>
      <c r="C102" s="558"/>
      <c r="D102" s="534"/>
      <c r="E102" s="534"/>
      <c r="F102" s="534"/>
      <c r="G102" s="589"/>
      <c r="H102" s="589"/>
      <c r="I102" s="589"/>
      <c r="J102" s="589"/>
      <c r="K102" s="589"/>
      <c r="L102" s="589"/>
      <c r="M102" s="590"/>
      <c r="N102" s="1154"/>
      <c r="O102" s="1154"/>
      <c r="P102" s="44"/>
      <c r="Q102" s="502"/>
    </row>
    <row r="103" spans="1:17" ht="15" thickTop="1">
      <c r="A103" s="673"/>
      <c r="B103" s="536">
        <f>B32</f>
        <v>111</v>
      </c>
      <c r="C103" s="552"/>
      <c r="D103" s="552"/>
      <c r="E103" s="552"/>
      <c r="F103" s="552"/>
      <c r="G103" s="581"/>
      <c r="H103" s="581"/>
      <c r="I103" s="581"/>
      <c r="J103" s="581"/>
      <c r="K103" s="582"/>
      <c r="L103" s="583"/>
      <c r="M103" s="584"/>
      <c r="N103" s="1153"/>
      <c r="O103" s="1153"/>
      <c r="P103" s="44"/>
      <c r="Q103" s="502"/>
    </row>
    <row r="104" spans="1:17" ht="15.75" thickBot="1">
      <c r="A104" s="532"/>
      <c r="B104" s="541"/>
      <c r="C104" s="558"/>
      <c r="D104" s="558"/>
      <c r="E104" s="558"/>
      <c r="F104" s="558"/>
      <c r="G104" s="534"/>
      <c r="H104" s="534"/>
      <c r="I104" s="534"/>
      <c r="J104" s="534"/>
      <c r="K104" s="534"/>
      <c r="L104" s="534"/>
      <c r="M104" s="535"/>
      <c r="N104" s="1154"/>
      <c r="O104" s="1154"/>
      <c r="P104" s="44"/>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2561</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4"/>
      <c r="Q107" s="502"/>
    </row>
    <row r="108" spans="1:17" ht="15">
      <c r="A108" s="532"/>
      <c r="B108" s="544"/>
      <c r="C108" s="593"/>
      <c r="D108" s="593"/>
      <c r="E108" s="593"/>
      <c r="F108" s="593"/>
      <c r="G108" s="593"/>
      <c r="H108" s="593"/>
      <c r="I108" s="593"/>
      <c r="J108" s="594"/>
      <c r="K108" s="594"/>
      <c r="L108" s="595"/>
      <c r="M108" s="596"/>
      <c r="N108" s="1153"/>
      <c r="O108" s="1153"/>
      <c r="P108" s="44"/>
      <c r="Q108" s="502"/>
    </row>
    <row r="109" spans="1:17" ht="15.75" thickBot="1">
      <c r="A109" s="532"/>
      <c r="B109" s="541"/>
      <c r="C109" s="568"/>
      <c r="D109" s="589"/>
      <c r="E109" s="589"/>
      <c r="F109" s="589"/>
      <c r="G109" s="589"/>
      <c r="H109" s="589"/>
      <c r="I109" s="589"/>
      <c r="J109" s="589"/>
      <c r="K109" s="589"/>
      <c r="L109" s="589"/>
      <c r="M109" s="590"/>
      <c r="N109" s="1154"/>
      <c r="O109" s="1154"/>
      <c r="P109" s="44"/>
      <c r="Q109" s="502"/>
    </row>
    <row r="110" spans="1:17" ht="15" thickTop="1">
      <c r="A110" s="597"/>
      <c r="B110" s="536" t="s">
        <v>2790</v>
      </c>
      <c r="C110" s="581"/>
      <c r="D110" s="581"/>
      <c r="E110" s="581"/>
      <c r="F110" s="581"/>
      <c r="G110" s="581"/>
      <c r="H110" s="581"/>
      <c r="I110" s="581"/>
      <c r="J110" s="581"/>
      <c r="K110" s="582"/>
      <c r="L110" s="583"/>
      <c r="M110" s="584"/>
      <c r="N110" s="1153"/>
      <c r="O110" s="1153"/>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4"/>
      <c r="Q111" s="502"/>
    </row>
    <row r="112" spans="1:17" s="469" customFormat="1" ht="15" thickTop="1">
      <c r="A112" s="591"/>
      <c r="B112" s="536" t="s">
        <v>2792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2793</v>
      </c>
      <c r="C114" s="552"/>
      <c r="D114" s="552"/>
      <c r="E114" s="581"/>
      <c r="F114" s="581"/>
      <c r="G114" s="581"/>
      <c r="H114" s="581"/>
      <c r="I114" s="581"/>
      <c r="J114" s="581"/>
      <c r="K114" s="582"/>
      <c r="L114" s="583"/>
      <c r="M114" s="584"/>
      <c r="N114" s="1153"/>
      <c r="O114" s="1153"/>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4"/>
      <c r="Q115" s="502"/>
    </row>
    <row r="116" spans="1:17" ht="15" thickTop="1">
      <c r="A116" s="597"/>
      <c r="B116" s="536">
        <f>B38</f>
        <v>111</v>
      </c>
      <c r="C116" s="552"/>
      <c r="D116" s="552"/>
      <c r="E116" s="552"/>
      <c r="F116" s="552"/>
      <c r="G116" s="552"/>
      <c r="H116" s="581"/>
      <c r="I116" s="581"/>
      <c r="J116" s="581"/>
      <c r="K116" s="582"/>
      <c r="L116" s="583"/>
      <c r="M116" s="584"/>
      <c r="N116" s="1153"/>
      <c r="O116" s="1153"/>
      <c r="P116" s="44"/>
      <c r="Q116" s="502"/>
    </row>
    <row r="117" spans="1:17" ht="15.75" thickBot="1">
      <c r="A117" s="532"/>
      <c r="B117" s="541"/>
      <c r="C117" s="558"/>
      <c r="D117" s="534"/>
      <c r="E117" s="534"/>
      <c r="F117" s="534"/>
      <c r="G117" s="534"/>
      <c r="H117" s="534"/>
      <c r="I117" s="534"/>
      <c r="J117" s="534"/>
      <c r="K117" s="534"/>
      <c r="L117" s="534"/>
      <c r="M117" s="535"/>
      <c r="N117" s="1154"/>
      <c r="O117" s="1154"/>
      <c r="P117" s="44"/>
      <c r="Q117" s="502"/>
    </row>
    <row r="118" spans="1:17" ht="15" thickTop="1">
      <c r="A118" s="597"/>
      <c r="B118" s="536">
        <f>B39</f>
        <v>111</v>
      </c>
      <c r="C118" s="552"/>
      <c r="D118" s="552"/>
      <c r="E118" s="552"/>
      <c r="F118" s="552"/>
      <c r="G118" s="581"/>
      <c r="H118" s="581"/>
      <c r="I118" s="581"/>
      <c r="J118" s="581"/>
      <c r="K118" s="582"/>
      <c r="L118" s="583"/>
      <c r="M118" s="584"/>
      <c r="N118" s="1153"/>
      <c r="O118" s="1153"/>
      <c r="P118" s="44"/>
      <c r="Q118" s="502"/>
    </row>
    <row r="119" spans="1:17" ht="15.75" thickBot="1">
      <c r="A119" s="532"/>
      <c r="B119" s="541"/>
      <c r="C119" s="558"/>
      <c r="D119" s="558"/>
      <c r="E119" s="558"/>
      <c r="F119" s="558"/>
      <c r="G119" s="534"/>
      <c r="H119" s="534"/>
      <c r="I119" s="534"/>
      <c r="J119" s="534"/>
      <c r="K119" s="534"/>
      <c r="L119" s="534"/>
      <c r="M119" s="535"/>
      <c r="N119" s="1154"/>
      <c r="O119" s="1154"/>
      <c r="P119" s="44"/>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9" t="s">
        <v>2802</v>
      </c>
      <c r="B1" s="240"/>
      <c r="C1" s="244" t="s">
        <v>2803</v>
      </c>
      <c r="D1" s="387">
        <f>SUM(D29:D30,D33:D39)</f>
        <v>0</v>
      </c>
      <c r="E1" s="2720"/>
      <c r="F1" s="2720"/>
      <c r="G1" s="2720"/>
      <c r="H1" s="2720"/>
      <c r="I1" s="2720"/>
      <c r="J1" s="2720"/>
      <c r="K1" s="1371"/>
      <c r="L1" s="2721" t="s">
        <v>2804</v>
      </c>
      <c r="M1" s="1081">
        <f>SUMPRODUCT((区片价!B5:B9=I2)*(区片价!C3:F3=E2)*(区片价!C5:F9))</f>
        <v>0</v>
      </c>
      <c r="N1" s="1084">
        <f>SUMPRODUCT((因素修正幅度!B5:B9=I2)*(因素修正幅度!C3:F3=E2)*(因素修正幅度!C5:F9))</f>
        <v>0</v>
      </c>
      <c r="O1" s="2722"/>
      <c r="P1" s="2722"/>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4" t="s">
        <v>2810</v>
      </c>
      <c r="B2" s="247"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1"/>
      <c r="L2" s="2729"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2816</v>
      </c>
      <c r="B3" s="247" t="e">
        <f>ROUND(B2*10000/D1,0)</f>
        <v>#DIV/0!</v>
      </c>
      <c r="C3" s="2724" t="s">
        <v>2817</v>
      </c>
      <c r="D3" s="2725" t="s">
        <v>2818</v>
      </c>
      <c r="E3" s="2730"/>
      <c r="F3" s="2731" t="s">
        <v>2819</v>
      </c>
      <c r="G3" s="914">
        <f>IF(F3="宗地容积率",'数据-汇总表'!I4,IF(F3="估价对象容积率",'数据-汇总表'!I6,'数据-汇总表'!I7))</f>
        <v>1.91</v>
      </c>
      <c r="H3" s="197" t="s">
        <v>2820</v>
      </c>
      <c r="I3" s="945"/>
      <c r="J3" s="2728" t="s">
        <v>2821</v>
      </c>
      <c r="K3" s="1371"/>
      <c r="L3" s="2729"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82"/>
      <c r="B4" s="3283"/>
      <c r="C4" s="3283"/>
      <c r="D4" s="3284"/>
      <c r="E4" s="3284"/>
      <c r="F4" s="3284"/>
      <c r="G4" s="3284"/>
      <c r="H4" s="3284"/>
      <c r="I4" s="3284"/>
      <c r="J4" s="3285"/>
      <c r="K4" s="1371"/>
      <c r="L4" s="2729"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2824</v>
      </c>
      <c r="C5" s="915" t="e">
        <f>ROUND(IF(E2="商业",IF(F16="增加",C6*C7+C16,C6*C7-C16),IF(E2="住宅",IF(F16="增加",C6*C12+C16,C6*C12-C16),IF(F16="增加",C6+C16,C6-C16))),0)</f>
        <v>#DIV/0!</v>
      </c>
      <c r="D5" s="1788" t="e">
        <f>ROUND(IF(F16="增加",C6+C16,C6-C16),0)</f>
        <v>#DIV/0!</v>
      </c>
      <c r="E5" s="1788"/>
      <c r="F5" s="2734"/>
      <c r="G5" s="2735"/>
      <c r="H5" s="2735"/>
      <c r="I5" s="2735"/>
      <c r="J5" s="2736"/>
      <c r="K5" s="2737"/>
      <c r="L5" s="2729"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2826</v>
      </c>
      <c r="B6" s="2743" t="s">
        <v>2827</v>
      </c>
      <c r="C6" s="916">
        <f>SUMIF(L1:L12,G2,M1:M12)</f>
        <v>0</v>
      </c>
      <c r="D6" s="2744" t="s">
        <v>2828</v>
      </c>
      <c r="E6" s="2745"/>
      <c r="F6" s="2745"/>
      <c r="G6" s="2746"/>
      <c r="H6" s="2746"/>
      <c r="I6" s="2746"/>
      <c r="J6" s="2747"/>
      <c r="K6" s="1843"/>
      <c r="L6" s="2729"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68" t="str">
        <f>IF(E2="商业",IF(C8="不临58条商业街","",2),"")</f>
        <v/>
      </c>
      <c r="B7" s="2748" t="s">
        <v>2830</v>
      </c>
      <c r="C7" s="917" t="e">
        <f>IF(C8="不临58条商业街",1,ROUND(1+(1.6*E8+1.2*E9+0.8*E10+0.4*E11)*C9,4))</f>
        <v>#DIV/0!</v>
      </c>
      <c r="D7" s="2749" t="s">
        <v>2831</v>
      </c>
      <c r="E7" s="946"/>
      <c r="F7" s="2750"/>
      <c r="G7" s="2751"/>
      <c r="H7" s="2751"/>
      <c r="I7" s="2751"/>
      <c r="J7" s="2752"/>
      <c r="K7" s="1843"/>
      <c r="L7" s="2729" t="s">
        <v>2832</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1.91</v>
      </c>
      <c r="AA7" s="1607"/>
      <c r="AB7" s="1607"/>
      <c r="AC7" s="1608"/>
      <c r="AD7" s="1609"/>
      <c r="AE7" s="1609"/>
      <c r="AF7" s="1609"/>
      <c r="AG7" s="1609"/>
      <c r="AH7" s="1609"/>
      <c r="AI7" s="1609"/>
      <c r="AJ7" s="1610"/>
    </row>
    <row r="8" spans="1:36" ht="15">
      <c r="A8" s="3269"/>
      <c r="B8" s="197" t="s">
        <v>2835</v>
      </c>
      <c r="C8" s="2753"/>
      <c r="D8" s="918" t="s">
        <v>139</v>
      </c>
      <c r="E8" s="919" t="e">
        <f>ROUND(C11/E7,4)</f>
        <v>#DIV/0!</v>
      </c>
      <c r="F8" s="2754" t="s">
        <v>2836</v>
      </c>
      <c r="G8" s="2755"/>
      <c r="H8" s="2755"/>
      <c r="I8" s="2755"/>
      <c r="J8" s="2756"/>
      <c r="K8" s="1371"/>
      <c r="L8" s="2729"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79" t="s">
        <v>2838</v>
      </c>
      <c r="X8" s="3280"/>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69"/>
      <c r="B9" s="197" t="s">
        <v>2851</v>
      </c>
      <c r="C9" s="920">
        <f>SUMIF(修正!C59:C119,C8,修正!E59:E119)</f>
        <v>0</v>
      </c>
      <c r="D9" s="199" t="s">
        <v>140</v>
      </c>
      <c r="E9" s="199" t="e">
        <f>ROUND(C11/E7,4)</f>
        <v>#DIV/0!</v>
      </c>
      <c r="F9" s="2754" t="s">
        <v>2852</v>
      </c>
      <c r="G9" s="2755"/>
      <c r="H9" s="2755"/>
      <c r="I9" s="2755"/>
      <c r="J9" s="2756"/>
      <c r="K9" s="1371"/>
      <c r="L9" s="2729"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81"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9"/>
      <c r="B10" s="197" t="s">
        <v>2856</v>
      </c>
      <c r="C10" s="199">
        <f>SUMIF(修正!C59:C119,C8,修正!F59:F119)</f>
        <v>0</v>
      </c>
      <c r="D10" s="199" t="s">
        <v>141</v>
      </c>
      <c r="E10" s="199" t="e">
        <f>ROUND(C11/E7,4)</f>
        <v>#DIV/0!</v>
      </c>
      <c r="F10" s="2754" t="s">
        <v>2857</v>
      </c>
      <c r="G10" s="2755"/>
      <c r="H10" s="2755"/>
      <c r="I10" s="2755"/>
      <c r="J10" s="2756"/>
      <c r="K10" s="1371"/>
      <c r="L10" s="2729"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8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9"/>
      <c r="B11" s="2757" t="s">
        <v>2859</v>
      </c>
      <c r="C11" s="921">
        <f>C10/4</f>
        <v>0</v>
      </c>
      <c r="D11" s="921" t="s">
        <v>142</v>
      </c>
      <c r="E11" s="921" t="e">
        <f>ROUND(C11/E7,4)</f>
        <v>#DIV/0!</v>
      </c>
      <c r="F11" s="2758" t="s">
        <v>2860</v>
      </c>
      <c r="G11" s="2759"/>
      <c r="H11" s="2759"/>
      <c r="I11" s="2759"/>
      <c r="J11" s="2760"/>
      <c r="K11" s="1371"/>
      <c r="L11" s="2729"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81" t="s">
        <v>2862</v>
      </c>
      <c r="X11" s="1615" t="s">
        <v>2863</v>
      </c>
      <c r="Y11" s="1616">
        <f>$G$3</f>
        <v>1.91</v>
      </c>
      <c r="Z11" s="1616">
        <f t="shared" ref="Z11:AJ11" si="3">$G$3</f>
        <v>1.91</v>
      </c>
      <c r="AA11" s="1616">
        <f t="shared" si="3"/>
        <v>1.91</v>
      </c>
      <c r="AB11" s="1616">
        <f t="shared" si="3"/>
        <v>1.91</v>
      </c>
      <c r="AC11" s="1616">
        <f t="shared" si="3"/>
        <v>1.91</v>
      </c>
      <c r="AD11" s="1616">
        <f t="shared" si="3"/>
        <v>1.91</v>
      </c>
      <c r="AE11" s="1616">
        <f t="shared" si="3"/>
        <v>1.91</v>
      </c>
      <c r="AF11" s="1616">
        <f t="shared" si="3"/>
        <v>1.91</v>
      </c>
      <c r="AG11" s="1616">
        <f t="shared" si="3"/>
        <v>1.91</v>
      </c>
      <c r="AH11" s="1616">
        <f t="shared" si="3"/>
        <v>1.91</v>
      </c>
      <c r="AI11" s="1616">
        <f t="shared" si="3"/>
        <v>1.91</v>
      </c>
      <c r="AJ11" s="1616">
        <f t="shared" si="3"/>
        <v>1.91</v>
      </c>
    </row>
    <row r="12" spans="1:36" ht="25.5" thickBot="1">
      <c r="A12" s="3268" t="s">
        <v>2864</v>
      </c>
      <c r="B12" s="2761" t="s">
        <v>2865</v>
      </c>
      <c r="C12" s="917">
        <f>ROUND(C15*D15*E15*F15*G15*H15*I15*J15,4)</f>
        <v>1</v>
      </c>
      <c r="D12" s="2762" t="s">
        <v>2866</v>
      </c>
      <c r="E12" s="2763"/>
      <c r="F12" s="2763"/>
      <c r="G12" s="2764"/>
      <c r="H12" s="2764"/>
      <c r="I12" s="2764"/>
      <c r="J12" s="2765"/>
      <c r="K12" s="1371"/>
      <c r="L12" s="2766"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81"/>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6"/>
      <c r="B13" s="2767" t="s">
        <v>2869</v>
      </c>
      <c r="C13" s="2768" t="s">
        <v>2870</v>
      </c>
      <c r="D13" s="1809" t="s">
        <v>2871</v>
      </c>
      <c r="E13" s="1809" t="s">
        <v>2872</v>
      </c>
      <c r="F13" s="29" t="s">
        <v>2873</v>
      </c>
      <c r="G13" s="2769" t="s">
        <v>2874</v>
      </c>
      <c r="H13" s="2769" t="s">
        <v>2874</v>
      </c>
      <c r="I13" s="2769" t="s">
        <v>2874</v>
      </c>
      <c r="J13" s="2770" t="s">
        <v>2874</v>
      </c>
      <c r="K13" s="1371"/>
      <c r="L13" s="1371"/>
      <c r="M13" s="1371"/>
      <c r="N13" s="1371"/>
      <c r="O13" s="1371"/>
      <c r="P13" s="1371"/>
      <c r="Q13" s="1371"/>
      <c r="R13" s="1603">
        <v>12</v>
      </c>
      <c r="S13" s="1604"/>
      <c r="T13" s="1603" t="e">
        <f t="shared" si="0"/>
        <v>#DIV/0!</v>
      </c>
      <c r="U13" s="1604"/>
      <c r="V13" s="1603" t="e">
        <f t="shared" si="1"/>
        <v>#DIV/0!</v>
      </c>
      <c r="W13" s="3281"/>
      <c r="X13" s="1617"/>
      <c r="Y13" s="1614">
        <f>(-0.163*(Y12^2)-0.59*Y12+7617)*(10^(-4))/Y11</f>
        <v>0.39879581151832466</v>
      </c>
      <c r="Z13" s="1614">
        <f t="shared" ref="Z13:AJ13" si="5">(-0.163*(Z12^2)-0.59*Z12+7617)*(10^(-4))/Z11</f>
        <v>0.39879581151832466</v>
      </c>
      <c r="AA13" s="1614">
        <f t="shared" si="5"/>
        <v>0.39879581151832466</v>
      </c>
      <c r="AB13" s="1614">
        <f t="shared" si="5"/>
        <v>0.39879581151832466</v>
      </c>
      <c r="AC13" s="1614">
        <f t="shared" si="5"/>
        <v>0.39879581151832466</v>
      </c>
      <c r="AD13" s="1614">
        <f t="shared" si="5"/>
        <v>0.39879581151832466</v>
      </c>
      <c r="AE13" s="1614">
        <f t="shared" si="5"/>
        <v>0.39879581151832466</v>
      </c>
      <c r="AF13" s="1614">
        <f t="shared" si="5"/>
        <v>0.39879581151832466</v>
      </c>
      <c r="AG13" s="1614">
        <f t="shared" si="5"/>
        <v>0.39879581151832466</v>
      </c>
      <c r="AH13" s="1614">
        <f t="shared" si="5"/>
        <v>0.39879581151832466</v>
      </c>
      <c r="AI13" s="1614">
        <f t="shared" si="5"/>
        <v>0.39879581151832466</v>
      </c>
      <c r="AJ13" s="1614">
        <f t="shared" si="5"/>
        <v>0.39879581151832466</v>
      </c>
    </row>
    <row r="14" spans="1:36" ht="15">
      <c r="A14" s="3286"/>
      <c r="B14" s="2771"/>
      <c r="C14" s="2772"/>
      <c r="D14" s="2773"/>
      <c r="E14" s="2773"/>
      <c r="F14" s="2774"/>
      <c r="G14" s="2775" t="s">
        <v>2875</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7"/>
      <c r="B15" s="2779" t="s">
        <v>2876</v>
      </c>
      <c r="C15" s="228">
        <f>IF(C14="有",1.1,1)</f>
        <v>1</v>
      </c>
      <c r="D15" s="228">
        <f>IF(D14="有",1.1,1)</f>
        <v>1</v>
      </c>
      <c r="E15" s="228">
        <f>IF(E14="有",1.1,1)</f>
        <v>1</v>
      </c>
      <c r="F15" s="228">
        <f>IF(F14="500米范围内",1.2,IF(F14="500-1000米",1.1,1))</f>
        <v>1</v>
      </c>
      <c r="G15" s="947">
        <v>1</v>
      </c>
      <c r="H15" s="947">
        <v>1</v>
      </c>
      <c r="I15" s="947">
        <v>1</v>
      </c>
      <c r="J15" s="948">
        <v>1</v>
      </c>
      <c r="K15" s="1371"/>
      <c r="L15" s="2780" t="s">
        <v>2812</v>
      </c>
      <c r="M15" s="918" t="s">
        <v>2877</v>
      </c>
      <c r="N15" s="918" t="s">
        <v>2878</v>
      </c>
      <c r="O15" s="918" t="s">
        <v>2879</v>
      </c>
      <c r="P15" s="2781"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8" t="s">
        <v>2881</v>
      </c>
      <c r="B16" s="2748" t="s">
        <v>2882</v>
      </c>
      <c r="C16" s="1802" t="e">
        <f>ROUND(SUM(G17:J17)/C17,0)</f>
        <v>#DIV/0!</v>
      </c>
      <c r="D16" s="2782" t="s">
        <v>2883</v>
      </c>
      <c r="E16" s="2783"/>
      <c r="F16" s="2784"/>
      <c r="G16" s="2785"/>
      <c r="H16" s="2785"/>
      <c r="I16" s="2785"/>
      <c r="J16" s="2786"/>
      <c r="K16" s="1371"/>
      <c r="L16" s="2787" t="s">
        <v>2884</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9"/>
      <c r="B17" s="2788" t="s">
        <v>2885</v>
      </c>
      <c r="C17" s="922">
        <f>SUMPRODUCT((修正!A2:A5=E2)*(修正!B1:M1=G2)*(修正!B2:M5))</f>
        <v>0</v>
      </c>
      <c r="D17" s="2789"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2888</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2889</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2890</v>
      </c>
      <c r="C19" s="925" t="e">
        <f>ROUND(IF(H19="按公示增长率计算",SUMPRODUCT((地价!A3:A25=YEAR(G19)&amp;"-"&amp;ROUNDUP(MONTH(G19)/3,0))*(地价!X2:AB2=E2)*(地价!X3:AB25)),IF(H19="地价指数",M20/M19,(1+I19)^O19)),4)</f>
        <v>#DIV/0!</v>
      </c>
      <c r="D19" s="2800" t="s">
        <v>2891</v>
      </c>
      <c r="E19" s="926">
        <v>41640</v>
      </c>
      <c r="F19" s="2800" t="s">
        <v>2892</v>
      </c>
      <c r="G19" s="927">
        <f>'数据-取费表'!B2</f>
        <v>43546</v>
      </c>
      <c r="H19" s="2801" t="s">
        <v>2893</v>
      </c>
      <c r="I19" s="928" t="str">
        <f>IF(H19="季度增幅（自定义）",SUMIF(N21:N24,E2,O21:O24),"")</f>
        <v/>
      </c>
      <c r="J19" s="2798"/>
      <c r="K19" s="1378"/>
      <c r="L19" s="2802" t="s">
        <v>2894</v>
      </c>
      <c r="M19" s="1735">
        <f>ROUND(SUMIF(地价!B2:F2,E2,地价!B25:F25),0)</f>
        <v>0</v>
      </c>
      <c r="N19" s="2803" t="s">
        <v>2895</v>
      </c>
      <c r="O19" s="929">
        <f>ROUNDDOWN(DATEDIF(E19,G19,"M")/3,0)</f>
        <v>20</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2896</v>
      </c>
      <c r="C20" s="930" t="e">
        <f>ROUND(POWER(1+G20,J20-I20)*(POWER(1+G20,I20)-1)/(POWER(1+G20,J20)-1),4)</f>
        <v>#DIV/0!</v>
      </c>
      <c r="D20" s="2809" t="s">
        <v>2897</v>
      </c>
      <c r="E20" s="1769">
        <f ca="1">存贷款利率!D4/100</f>
        <v>4.3499999999999997E-2</v>
      </c>
      <c r="F20" s="2809" t="s">
        <v>2888</v>
      </c>
      <c r="G20" s="935">
        <f>SUMIF(M15:P15,E2,M17:P17)</f>
        <v>0</v>
      </c>
      <c r="H20" s="2809" t="s">
        <v>2898</v>
      </c>
      <c r="I20" s="936" t="e">
        <f>SUMIF('数据-取费表'!C6:C15,E2,'数据-取费表'!F6:F15)/COUNTIF('数据-取费表'!C6:C15,E2)</f>
        <v>#DIV/0!</v>
      </c>
      <c r="J20" s="937">
        <f>IF(E2="住宅",70,IF(E2="商业",40,50))</f>
        <v>50</v>
      </c>
      <c r="K20" s="1378"/>
      <c r="L20" s="2810" t="s">
        <v>2899</v>
      </c>
      <c r="M20" s="1736">
        <f>ROUND(SUMPRODUCT((地价!A4:A25=YEAR(G19)&amp;"-"&amp;ROUNDUP(MONTH(G19)/3,0))*(地价!B2:F2=E2)*(地价!B4:F25)),0)</f>
        <v>0</v>
      </c>
      <c r="N20" s="2811" t="s">
        <v>2900</v>
      </c>
      <c r="O20" s="2812" t="s">
        <v>2901</v>
      </c>
      <c r="P20" s="2813" t="s">
        <v>2902</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2903</v>
      </c>
      <c r="C21" s="938">
        <f>IF(B21="容积率修正",IF(G3&lt;=10,D22,J22),C23)</f>
        <v>0</v>
      </c>
      <c r="D21" s="2816"/>
      <c r="E21" s="2816"/>
      <c r="F21" s="2816"/>
      <c r="G21" s="2816"/>
      <c r="H21" s="2816"/>
      <c r="I21" s="2816"/>
      <c r="J21" s="2817"/>
      <c r="K21" s="1378"/>
      <c r="N21" s="2818" t="s">
        <v>2904</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2905</v>
      </c>
      <c r="B22" s="2819" t="s">
        <v>2906</v>
      </c>
      <c r="C22" s="1811" t="s">
        <v>2907</v>
      </c>
      <c r="D22" s="1811">
        <f>IF(E22=G22,F22,IF(G3&lt;=10,ROUND(F22+(H22-F22)*(G3-E22)/(G22-E22),4),"——"))</f>
        <v>0</v>
      </c>
      <c r="E22" s="914">
        <f>ROUNDDOWN(G3,1)</f>
        <v>1.9</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8" t="s">
        <v>2908</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7" t="s">
        <v>2909</v>
      </c>
      <c r="B23" s="2820" t="s">
        <v>2910</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2911</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2912</v>
      </c>
      <c r="C24" s="925">
        <f>SUMIF(A45:A88,E2,B45:B88)</f>
        <v>0</v>
      </c>
      <c r="D24" s="2796"/>
      <c r="E24" s="2826"/>
      <c r="F24" s="2826"/>
      <c r="G24" s="2826"/>
      <c r="H24" s="2826"/>
      <c r="I24" s="2826"/>
      <c r="J24" s="2827"/>
      <c r="K24" s="1378"/>
      <c r="N24" s="2828" t="s">
        <v>2913</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2914</v>
      </c>
      <c r="C25" s="931"/>
      <c r="D25" s="2751"/>
      <c r="E25" s="2751"/>
      <c r="F25" s="2830"/>
      <c r="G25" s="2751"/>
      <c r="H25" s="2751"/>
      <c r="I25" s="2751"/>
      <c r="J25" s="2752"/>
      <c r="K25" s="1371"/>
      <c r="N25" s="2831" t="s">
        <v>2915</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2"/>
      <c r="B26" s="2819" t="s">
        <v>2916</v>
      </c>
      <c r="C26" s="205"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2917</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2918</v>
      </c>
      <c r="C28" s="2843" t="s">
        <v>2919</v>
      </c>
      <c r="D28" s="2843" t="s">
        <v>2920</v>
      </c>
      <c r="E28" s="2844" t="s">
        <v>2921</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2922</v>
      </c>
      <c r="C29" s="205" t="e">
        <f>ROUND(C5*C18*C19*C20*C21*C24,0)</f>
        <v>#DIV/0!</v>
      </c>
      <c r="D29" s="2848"/>
      <c r="E29" s="943" t="e">
        <f>ROUND(C29*D29/10000,0)</f>
        <v>#DIV/0!</v>
      </c>
      <c r="F29" s="2849" t="s">
        <v>2923</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2924</v>
      </c>
      <c r="C30" s="228" t="e">
        <f>ROUND(IF(E2="工业",C29*M39,C29*M38),0)</f>
        <v>#DIV/0!</v>
      </c>
      <c r="D30" s="2854"/>
      <c r="E30" s="943" t="e">
        <f>ROUND(C30*D30/10000,0)</f>
        <v>#DIV/0!</v>
      </c>
      <c r="F30" s="2855" t="s">
        <v>2925</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2919</v>
      </c>
      <c r="D32" s="496" t="s">
        <v>2920</v>
      </c>
      <c r="E32" s="496" t="s">
        <v>2921</v>
      </c>
      <c r="F32" s="387" t="s">
        <v>2929</v>
      </c>
      <c r="G32" s="2863" t="s">
        <v>2919</v>
      </c>
      <c r="H32" s="2863" t="s">
        <v>2920</v>
      </c>
      <c r="I32" s="2863" t="s">
        <v>2921</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76" t="s">
        <v>2930</v>
      </c>
      <c r="B33" s="2864" t="s">
        <v>2931</v>
      </c>
      <c r="C33" s="205" t="e">
        <f>ROUND(D5*C19*C20*C24*F33,0)</f>
        <v>#DIV/0!</v>
      </c>
      <c r="D33" s="2848"/>
      <c r="E33" s="199" t="e">
        <f>ROUND(C33*D33/10000,0)</f>
        <v>#DIV/0!</v>
      </c>
      <c r="F33" s="199">
        <f>SUMIF(修正!A45:A56,G2,修正!B45:B56)</f>
        <v>0</v>
      </c>
      <c r="G33" s="199" t="e">
        <f t="shared" ref="G33" si="6">ROUND(IF(E2="工业",C33*$M$39,C33*$M$38),0)</f>
        <v>#DIV/0!</v>
      </c>
      <c r="H33" s="199">
        <f>D33</f>
        <v>0</v>
      </c>
      <c r="I33" s="199"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7"/>
      <c r="B34" s="2768" t="s">
        <v>2932</v>
      </c>
      <c r="C34" s="205" t="e">
        <f>ROUND(D5*C19*C20*C24*F34,0)</f>
        <v>#DIV/0!</v>
      </c>
      <c r="D34" s="284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7"/>
      <c r="B35" s="2768" t="s">
        <v>2933</v>
      </c>
      <c r="C35" s="205" t="e">
        <f>ROUND(D5*C19*C20*C24*F35,0)</f>
        <v>#DIV/0!</v>
      </c>
      <c r="D35" s="2848"/>
      <c r="E35" s="199" t="e">
        <f t="shared" si="7"/>
        <v>#DIV/0!</v>
      </c>
      <c r="F35" s="199">
        <f>SUMIF(修正!A45:A56,G2,修正!D45:D56)</f>
        <v>0</v>
      </c>
      <c r="G35" s="199" t="e">
        <f>ROUND(IF(E2="工业",C35*$M$39,C35*$M$38),0)</f>
        <v>#DIV/0!</v>
      </c>
      <c r="H35" s="199">
        <f t="shared" si="8"/>
        <v>0</v>
      </c>
      <c r="I35" s="199"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78"/>
      <c r="B36" s="2768" t="s">
        <v>2934</v>
      </c>
      <c r="C36" s="205" t="e">
        <f>ROUND(D5*C19*C20*C24*F36,0)</f>
        <v>#DIV/0!</v>
      </c>
      <c r="D36" s="2848"/>
      <c r="E36" s="199" t="e">
        <f t="shared" si="7"/>
        <v>#DIV/0!</v>
      </c>
      <c r="F36" s="199">
        <f>SUMIF(修正!A45:A56,G2,修正!E45:E56)</f>
        <v>0</v>
      </c>
      <c r="G36" s="199" t="e">
        <f>ROUND(IF(E2="工业",C36*$M$39,C36*$M$38),0)</f>
        <v>#DIV/0!</v>
      </c>
      <c r="H36" s="199">
        <f t="shared" si="8"/>
        <v>0</v>
      </c>
      <c r="I36" s="199"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2935</v>
      </c>
      <c r="C37" s="199" t="e">
        <f>ROUND(D5*C19*C20*C24*F37,0)</f>
        <v>#DIV/0!</v>
      </c>
      <c r="D37" s="2848"/>
      <c r="E37" s="199" t="e">
        <f t="shared" si="7"/>
        <v>#DIV/0!</v>
      </c>
      <c r="F37" s="205">
        <f>SUMIF(修正!A45:A56,G2,修正!F45:F56)</f>
        <v>0</v>
      </c>
      <c r="G37" s="199" t="e">
        <f>ROUND(IF(E2="工业",C37*$M$39,C37*$M$38),0)</f>
        <v>#DIV/0!</v>
      </c>
      <c r="H37" s="199">
        <f t="shared" si="8"/>
        <v>0</v>
      </c>
      <c r="I37" s="199" t="e">
        <f t="shared" si="9"/>
        <v>#DIV/0!</v>
      </c>
      <c r="J37" s="2865"/>
      <c r="K37" s="1371"/>
      <c r="L37" s="2867" t="s">
        <v>2936</v>
      </c>
      <c r="M37" s="2868"/>
      <c r="N37" s="1371"/>
      <c r="O37" s="1371"/>
      <c r="P37" s="1371"/>
      <c r="Q37" s="1371"/>
      <c r="R37" s="1371"/>
      <c r="S37" s="1371"/>
      <c r="T37" s="1371"/>
      <c r="U37" s="1371"/>
      <c r="V37" s="1371"/>
      <c r="W37" s="1371"/>
      <c r="X37" s="1371"/>
      <c r="Y37" s="1371"/>
      <c r="Z37" s="1372"/>
    </row>
    <row r="38" spans="1:37">
      <c r="A38" s="2866"/>
      <c r="B38" s="2768" t="s">
        <v>2937</v>
      </c>
      <c r="C38" s="199" t="e">
        <f>ROUND(D5*C19*C41*C24*F38,0)</f>
        <v>#DIV/0!</v>
      </c>
      <c r="D38" s="2848"/>
      <c r="E38" s="199" t="e">
        <f t="shared" si="7"/>
        <v>#DIV/0!</v>
      </c>
      <c r="F38" s="205">
        <f>SUMIF(修正!A45:A56,G2,修正!G45:G56)</f>
        <v>0</v>
      </c>
      <c r="G38" s="199" t="e">
        <f>ROUND(IF(E2="工业",C38*$M$39,C38*$M$38),0)</f>
        <v>#DIV/0!</v>
      </c>
      <c r="H38" s="199">
        <f t="shared" si="8"/>
        <v>0</v>
      </c>
      <c r="I38" s="199" t="e">
        <f t="shared" si="9"/>
        <v>#DIV/0!</v>
      </c>
      <c r="J38" s="2865"/>
      <c r="K38" s="1371"/>
      <c r="L38" s="1888" t="s">
        <v>2938</v>
      </c>
      <c r="M38" s="2869">
        <v>0.25</v>
      </c>
      <c r="N38" s="1371"/>
      <c r="O38" s="1371"/>
      <c r="P38" s="1371"/>
      <c r="Q38" s="1371"/>
      <c r="R38" s="1371"/>
      <c r="S38" s="1371"/>
      <c r="T38" s="1371"/>
      <c r="U38" s="1371"/>
      <c r="V38" s="1371"/>
      <c r="W38" s="1371"/>
      <c r="X38" s="1371"/>
      <c r="Y38" s="1371"/>
      <c r="Z38" s="1372"/>
    </row>
    <row r="39" spans="1:37" ht="13.5" thickBot="1">
      <c r="A39" s="2852"/>
      <c r="B39" s="2870" t="s">
        <v>2939</v>
      </c>
      <c r="C39" s="228" t="e">
        <f>ROUND(D5*C19*C41*C24*F39,0)</f>
        <v>#DIV/0!</v>
      </c>
      <c r="D39" s="2854"/>
      <c r="E39" s="228" t="e">
        <f t="shared" si="7"/>
        <v>#DIV/0!</v>
      </c>
      <c r="F39" s="933">
        <f>SUMIF(修正!A45:A56,G2,修正!H45:H56)</f>
        <v>0</v>
      </c>
      <c r="G39" s="228" t="e">
        <f>ROUND(IF(E2="工业",C39*$M$39,C39*$M$38),0)</f>
        <v>#DIV/0!</v>
      </c>
      <c r="H39" s="228">
        <f t="shared" si="8"/>
        <v>0</v>
      </c>
      <c r="I39" s="228" t="e">
        <f t="shared" si="9"/>
        <v>#DIV/0!</v>
      </c>
      <c r="J39" s="2871"/>
      <c r="K39" s="1371"/>
      <c r="L39" s="2872" t="s">
        <v>2880</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3050</v>
      </c>
      <c r="C41" s="387" t="e">
        <f>ROUND(POWER(1+E41,H41-G41)*(POWER(1+E41,G41)-1)/(POWER(1+E41,H41)-1),4)</f>
        <v>#DIV/0!</v>
      </c>
      <c r="D41" s="199" t="s">
        <v>2888</v>
      </c>
      <c r="E41" s="2940">
        <f>G20</f>
        <v>0</v>
      </c>
      <c r="F41" s="199" t="s">
        <v>2898</v>
      </c>
      <c r="G41" s="217"/>
      <c r="H41" s="199">
        <v>50</v>
      </c>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2940</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2941</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2942</v>
      </c>
      <c r="B47" s="1810" t="s">
        <v>2943</v>
      </c>
      <c r="C47" s="1810" t="s">
        <v>2944</v>
      </c>
      <c r="D47" s="1810" t="s">
        <v>2945</v>
      </c>
      <c r="E47" s="817" t="s">
        <v>2946</v>
      </c>
      <c r="F47" s="2882" t="s">
        <v>2947</v>
      </c>
      <c r="G47" s="1810" t="s">
        <v>754</v>
      </c>
      <c r="H47" s="2883" t="s">
        <v>2948</v>
      </c>
      <c r="I47" s="1810" t="s">
        <v>2949</v>
      </c>
      <c r="J47" s="601" t="s">
        <v>2595</v>
      </c>
      <c r="K47" s="601" t="s">
        <v>2596</v>
      </c>
      <c r="L47" s="601" t="s">
        <v>2597</v>
      </c>
      <c r="M47" s="601" t="s">
        <v>2598</v>
      </c>
      <c r="N47" s="601" t="s">
        <v>2599</v>
      </c>
      <c r="AA47" s="1372"/>
      <c r="AB47" s="1372"/>
      <c r="AC47" s="1372"/>
      <c r="AD47" s="1372"/>
      <c r="AE47" s="1372"/>
      <c r="AF47" s="1372"/>
      <c r="AG47" s="1372"/>
      <c r="AH47" s="1372"/>
      <c r="AI47" s="1372"/>
      <c r="AJ47" s="1372"/>
      <c r="AK47" s="1372"/>
    </row>
    <row r="48" spans="1:37" s="1371" customFormat="1" ht="38.25">
      <c r="A48" s="2881" t="s">
        <v>2950</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2951</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2952</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2953</v>
      </c>
      <c r="B51" s="2886" t="s">
        <v>2954</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2955</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2956</v>
      </c>
      <c r="B53" s="2887" t="s">
        <v>2957</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2958</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2959</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2960</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2961</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2942</v>
      </c>
      <c r="B58" s="1810"/>
      <c r="C58" s="1810" t="s">
        <v>2944</v>
      </c>
      <c r="D58" s="1810" t="s">
        <v>2945</v>
      </c>
      <c r="E58" s="817" t="s">
        <v>2946</v>
      </c>
      <c r="F58" s="2882" t="s">
        <v>2962</v>
      </c>
      <c r="G58" s="1810" t="s">
        <v>754</v>
      </c>
      <c r="H58" s="2883" t="s">
        <v>2948</v>
      </c>
      <c r="I58" s="1810" t="s">
        <v>2949</v>
      </c>
      <c r="J58" s="601" t="s">
        <v>2595</v>
      </c>
      <c r="K58" s="601" t="s">
        <v>2596</v>
      </c>
      <c r="L58" s="601" t="s">
        <v>2597</v>
      </c>
      <c r="M58" s="601" t="s">
        <v>2598</v>
      </c>
      <c r="N58" s="601" t="s">
        <v>2599</v>
      </c>
      <c r="AA58" s="1372"/>
      <c r="AB58" s="1372"/>
      <c r="AC58" s="1372"/>
      <c r="AD58" s="1372"/>
      <c r="AE58" s="1372"/>
      <c r="AF58" s="1372"/>
      <c r="AG58" s="1372"/>
      <c r="AH58" s="1372"/>
      <c r="AI58" s="1372"/>
      <c r="AJ58" s="1372"/>
      <c r="AK58" s="1372"/>
    </row>
    <row r="59" spans="1:37" s="1371" customFormat="1" ht="38.25">
      <c r="A59" s="2881" t="s">
        <v>2963</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2951</v>
      </c>
      <c r="B60" s="2885" t="str">
        <f>估价对象房地状况!C18</f>
        <v>估价对象周边道路状况、公共交通通达情况、停车便捷程度，综合评价交通便捷度较好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2952</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2953</v>
      </c>
      <c r="B62" s="2886" t="s">
        <v>2954</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2955</v>
      </c>
      <c r="B63" s="2885">
        <f>估价对象房地状况!C24</f>
        <v>0</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2956</v>
      </c>
      <c r="B64" s="2887" t="s">
        <v>2957</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2958</v>
      </c>
      <c r="B65" s="1726" t="str">
        <f>估价对象房地状况!C21</f>
        <v>估价对象所在区域公共配套设施齐备情况</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2959</v>
      </c>
      <c r="B66" s="1726" t="str">
        <f>估价对象房地状况!C22</f>
        <v>估价对象所在区域基础设施水平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2960</v>
      </c>
      <c r="B67" s="2891" t="str">
        <f>估价对象房地状况!C20</f>
        <v>区域自然环境：；人文环境；综合评价环境状况一般</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2964</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2942</v>
      </c>
      <c r="B69" s="1810"/>
      <c r="C69" s="1810" t="s">
        <v>2944</v>
      </c>
      <c r="D69" s="1810" t="s">
        <v>2945</v>
      </c>
      <c r="E69" s="817" t="s">
        <v>2946</v>
      </c>
      <c r="F69" s="2882" t="s">
        <v>2962</v>
      </c>
      <c r="G69" s="1810" t="s">
        <v>754</v>
      </c>
      <c r="H69" s="2883" t="s">
        <v>2948</v>
      </c>
      <c r="I69" s="1810" t="s">
        <v>2949</v>
      </c>
      <c r="J69" s="601" t="s">
        <v>2595</v>
      </c>
      <c r="K69" s="601" t="s">
        <v>2596</v>
      </c>
      <c r="L69" s="601" t="s">
        <v>2597</v>
      </c>
      <c r="M69" s="601" t="s">
        <v>2598</v>
      </c>
      <c r="N69" s="601" t="s">
        <v>2599</v>
      </c>
      <c r="AA69" s="1372"/>
      <c r="AB69" s="1372"/>
      <c r="AC69" s="1372"/>
      <c r="AD69" s="1372"/>
      <c r="AE69" s="1372"/>
      <c r="AF69" s="1372"/>
      <c r="AG69" s="1372"/>
      <c r="AH69" s="1372"/>
      <c r="AI69" s="1372"/>
      <c r="AJ69" s="1372"/>
      <c r="AK69" s="1372"/>
    </row>
    <row r="70" spans="1:37" s="1371" customFormat="1" ht="51">
      <c r="A70" s="2881" t="s">
        <v>2965</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2951</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2952</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2966</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2958</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2959</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2956</v>
      </c>
      <c r="B76" s="2887" t="s">
        <v>2957</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2960</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2967</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2968</v>
      </c>
      <c r="B79" s="2878">
        <f>1+E81</f>
        <v>1</v>
      </c>
      <c r="C79" s="812"/>
      <c r="D79" s="812"/>
      <c r="E79" s="813"/>
      <c r="F79" s="2880"/>
      <c r="G79" s="6"/>
      <c r="H79" s="6"/>
      <c r="I79" s="6"/>
      <c r="J79" s="7"/>
      <c r="K79" s="7"/>
      <c r="L79" s="7"/>
      <c r="M79" s="7"/>
      <c r="N79" s="7"/>
      <c r="Z79" s="2723"/>
      <c r="AA79" s="2799"/>
      <c r="AG79" s="1373"/>
      <c r="AK79" s="2799"/>
    </row>
    <row r="80" spans="1:37" ht="24.75">
      <c r="A80" s="2881" t="s">
        <v>2942</v>
      </c>
      <c r="B80" s="1810"/>
      <c r="C80" s="1810" t="s">
        <v>2944</v>
      </c>
      <c r="D80" s="1810" t="s">
        <v>2945</v>
      </c>
      <c r="E80" s="817" t="s">
        <v>2946</v>
      </c>
      <c r="F80" s="2882" t="s">
        <v>2962</v>
      </c>
      <c r="G80" s="1810" t="s">
        <v>754</v>
      </c>
      <c r="H80" s="2883" t="s">
        <v>2948</v>
      </c>
      <c r="I80" s="1810" t="s">
        <v>2949</v>
      </c>
      <c r="J80" s="601" t="s">
        <v>2595</v>
      </c>
      <c r="K80" s="601" t="s">
        <v>2596</v>
      </c>
      <c r="L80" s="601" t="s">
        <v>2597</v>
      </c>
      <c r="M80" s="601" t="s">
        <v>2598</v>
      </c>
      <c r="N80" s="601" t="s">
        <v>2599</v>
      </c>
      <c r="Z80" s="2723"/>
      <c r="AA80" s="2799"/>
      <c r="AG80" s="1373"/>
      <c r="AK80" s="2799"/>
    </row>
    <row r="81" spans="1:37" ht="38.25">
      <c r="A81" s="2881" t="s">
        <v>2969</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2951</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2952</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2966</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2958</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2959</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2956</v>
      </c>
      <c r="B87" s="2887" t="s">
        <v>2970</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2971</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270" t="s">
        <v>2972</v>
      </c>
      <c r="B90" s="3270"/>
      <c r="C90" s="3270"/>
      <c r="D90" s="3270"/>
      <c r="E90" s="3270"/>
      <c r="F90" s="3270"/>
      <c r="G90" s="3270"/>
      <c r="H90" s="3270"/>
      <c r="I90" s="3270"/>
      <c r="J90" s="3270"/>
      <c r="K90" s="2895"/>
      <c r="L90" s="2895"/>
      <c r="M90" s="2895"/>
      <c r="N90" s="2895"/>
    </row>
    <row r="91" spans="1:37">
      <c r="A91" s="3272" t="s">
        <v>2973</v>
      </c>
      <c r="B91" s="3272" t="s">
        <v>2974</v>
      </c>
      <c r="C91" s="2849" t="s">
        <v>2975</v>
      </c>
      <c r="D91" s="2850"/>
      <c r="E91" s="2850"/>
      <c r="F91" s="2850"/>
      <c r="G91" s="2850"/>
      <c r="H91" s="2850"/>
      <c r="I91" s="2850"/>
      <c r="J91" s="2896"/>
      <c r="K91" s="2897"/>
      <c r="L91" s="2897"/>
      <c r="M91" s="2897"/>
      <c r="N91" s="2897"/>
    </row>
    <row r="92" spans="1:37">
      <c r="A92" s="3272"/>
      <c r="B92" s="3272"/>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273"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7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7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7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7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7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74"/>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7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73" t="s">
        <v>2977</v>
      </c>
      <c r="B101" s="2902" t="s">
        <v>2978</v>
      </c>
      <c r="C101" s="2903">
        <f>$G$3</f>
        <v>1.91</v>
      </c>
      <c r="D101" s="2903">
        <f t="shared" ref="D101:N101" si="31">$G$3</f>
        <v>1.91</v>
      </c>
      <c r="E101" s="2903">
        <f t="shared" si="31"/>
        <v>1.91</v>
      </c>
      <c r="F101" s="2903">
        <f t="shared" si="31"/>
        <v>1.91</v>
      </c>
      <c r="G101" s="2903">
        <f t="shared" si="31"/>
        <v>1.91</v>
      </c>
      <c r="H101" s="2903">
        <f t="shared" si="31"/>
        <v>1.91</v>
      </c>
      <c r="I101" s="2903">
        <f t="shared" si="31"/>
        <v>1.91</v>
      </c>
      <c r="J101" s="2903">
        <f t="shared" si="31"/>
        <v>1.91</v>
      </c>
      <c r="K101" s="2903">
        <f t="shared" si="31"/>
        <v>1.91</v>
      </c>
      <c r="L101" s="2903">
        <f t="shared" si="31"/>
        <v>1.91</v>
      </c>
      <c r="M101" s="2903">
        <f t="shared" si="31"/>
        <v>1.91</v>
      </c>
      <c r="N101" s="2903">
        <f t="shared" si="31"/>
        <v>1.91</v>
      </c>
    </row>
    <row r="102" spans="1:14">
      <c r="A102" s="3274"/>
      <c r="B102" s="2898">
        <v>1</v>
      </c>
      <c r="C102" s="2899">
        <f>1.9362/C101</f>
        <v>1.013717277486911</v>
      </c>
      <c r="D102" s="2899">
        <f>1.9362/D101</f>
        <v>1.013717277486911</v>
      </c>
      <c r="E102" s="2899">
        <f>1.8629/E101</f>
        <v>0.97534031413612565</v>
      </c>
      <c r="F102" s="2899">
        <f>1.8629/F101</f>
        <v>0.97534031413612565</v>
      </c>
      <c r="G102" s="2899">
        <f>1.8629/G101</f>
        <v>0.97534031413612565</v>
      </c>
      <c r="H102" s="2899">
        <f>1.8629/H101</f>
        <v>0.97534031413612565</v>
      </c>
      <c r="I102" s="2899">
        <f>1.8629/I101</f>
        <v>0.97534031413612565</v>
      </c>
      <c r="J102" s="2899">
        <f>1.942/J101</f>
        <v>1.0167539267015706</v>
      </c>
      <c r="K102" s="2899">
        <f>1.942/K101</f>
        <v>1.0167539267015706</v>
      </c>
      <c r="L102" s="2899">
        <f>1.942/L101</f>
        <v>1.0167539267015706</v>
      </c>
      <c r="M102" s="2899">
        <f>1.942/M101</f>
        <v>1.0167539267015706</v>
      </c>
      <c r="N102" s="2899">
        <f>1.942/N101</f>
        <v>1.0167539267015706</v>
      </c>
    </row>
    <row r="103" spans="1:14">
      <c r="A103" s="3274"/>
      <c r="B103" s="2898">
        <v>2</v>
      </c>
      <c r="C103" s="2899">
        <f>1.4198/C101</f>
        <v>0.74335078534031418</v>
      </c>
      <c r="D103" s="2899">
        <f>1.4198/D101</f>
        <v>0.74335078534031418</v>
      </c>
      <c r="E103" s="2899">
        <f>1.3372/E101</f>
        <v>0.70010471204188485</v>
      </c>
      <c r="F103" s="2899">
        <f>1.3372/F101</f>
        <v>0.70010471204188485</v>
      </c>
      <c r="G103" s="2899">
        <f>1.3372/G101</f>
        <v>0.70010471204188485</v>
      </c>
      <c r="H103" s="2899">
        <f>1.3372/H101</f>
        <v>0.70010471204188485</v>
      </c>
      <c r="I103" s="2899">
        <f>1.3372/I101</f>
        <v>0.70010471204188485</v>
      </c>
      <c r="J103" s="2899">
        <f>1.2799/J101</f>
        <v>0.67010471204188482</v>
      </c>
      <c r="K103" s="2899">
        <f>1.2799/K101</f>
        <v>0.67010471204188482</v>
      </c>
      <c r="L103" s="2899">
        <f>1.2799/L101</f>
        <v>0.67010471204188482</v>
      </c>
      <c r="M103" s="2899">
        <f>1.2799/M101</f>
        <v>0.67010471204188482</v>
      </c>
      <c r="N103" s="2899">
        <f>1.2799/N101</f>
        <v>0.67010471204188482</v>
      </c>
    </row>
    <row r="104" spans="1:14">
      <c r="A104" s="3274"/>
      <c r="B104" s="2898">
        <v>3</v>
      </c>
      <c r="C104" s="2899">
        <f>1.1594/C101</f>
        <v>0.6070157068062827</v>
      </c>
      <c r="D104" s="2899">
        <f>1.1594/D101</f>
        <v>0.6070157068062827</v>
      </c>
      <c r="E104" s="2899">
        <f>1.0788/E101</f>
        <v>0.56481675392670161</v>
      </c>
      <c r="F104" s="2899">
        <f>1.0788/F101</f>
        <v>0.56481675392670161</v>
      </c>
      <c r="G104" s="2899">
        <f>1.0788/G101</f>
        <v>0.56481675392670161</v>
      </c>
      <c r="H104" s="2899">
        <f>1.0788/H101</f>
        <v>0.56481675392670161</v>
      </c>
      <c r="I104" s="2899">
        <f>1.0788/I101</f>
        <v>0.56481675392670161</v>
      </c>
      <c r="J104" s="2899">
        <f>1.0072/J101</f>
        <v>0.5273298429319373</v>
      </c>
      <c r="K104" s="2899">
        <f>1.0072/K101</f>
        <v>0.5273298429319373</v>
      </c>
      <c r="L104" s="2899">
        <f>1.0072/L101</f>
        <v>0.5273298429319373</v>
      </c>
      <c r="M104" s="2899">
        <f>1.0072/M101</f>
        <v>0.5273298429319373</v>
      </c>
      <c r="N104" s="2899">
        <f>1.0072/N101</f>
        <v>0.5273298429319373</v>
      </c>
    </row>
    <row r="105" spans="1:14">
      <c r="A105" s="3274"/>
      <c r="B105" s="2898">
        <v>4</v>
      </c>
      <c r="C105" s="2899">
        <f>0.9622/C101</f>
        <v>0.50376963350785342</v>
      </c>
      <c r="D105" s="2899">
        <f>0.9622/D101</f>
        <v>0.50376963350785342</v>
      </c>
      <c r="E105" s="2899">
        <f>0.8656/E101</f>
        <v>0.45319371727748697</v>
      </c>
      <c r="F105" s="2899">
        <f>0.8656/F101</f>
        <v>0.45319371727748697</v>
      </c>
      <c r="G105" s="2899">
        <f>0.8656/G101</f>
        <v>0.45319371727748697</v>
      </c>
      <c r="H105" s="2899">
        <f>0.8656/H101</f>
        <v>0.45319371727748697</v>
      </c>
      <c r="I105" s="2899">
        <f>0.8656/I101</f>
        <v>0.45319371727748697</v>
      </c>
      <c r="J105" s="2899">
        <f>0.7525/J101</f>
        <v>0.39397905759162305</v>
      </c>
      <c r="K105" s="2899">
        <f>0.7525/K101</f>
        <v>0.39397905759162305</v>
      </c>
      <c r="L105" s="2899">
        <f>0.7525/L101</f>
        <v>0.39397905759162305</v>
      </c>
      <c r="M105" s="2899">
        <f>0.7525/M101</f>
        <v>0.39397905759162305</v>
      </c>
      <c r="N105" s="2899">
        <f>0.7525/N101</f>
        <v>0.39397905759162305</v>
      </c>
    </row>
    <row r="106" spans="1:14">
      <c r="A106" s="3274"/>
      <c r="B106" s="2898">
        <v>5</v>
      </c>
      <c r="C106" s="2899">
        <f>0.8417/C101</f>
        <v>0.44068062827225135</v>
      </c>
      <c r="D106" s="2899">
        <f>0.8417/D101</f>
        <v>0.44068062827225135</v>
      </c>
      <c r="E106" s="2899">
        <f>0.7371/E101</f>
        <v>0.38591623036649214</v>
      </c>
      <c r="F106" s="2899">
        <f>0.7371/F101</f>
        <v>0.38591623036649214</v>
      </c>
      <c r="G106" s="2899">
        <f>0.7371/G101</f>
        <v>0.38591623036649214</v>
      </c>
      <c r="H106" s="2899">
        <f>0.7371/H101</f>
        <v>0.38591623036649214</v>
      </c>
      <c r="I106" s="2899">
        <f>0.7371/I101</f>
        <v>0.38591623036649214</v>
      </c>
      <c r="J106" s="2899">
        <f>0.5659/J101</f>
        <v>0.29628272251308901</v>
      </c>
      <c r="K106" s="2899">
        <f>0.5659/K101</f>
        <v>0.29628272251308901</v>
      </c>
      <c r="L106" s="2899">
        <f>0.5659/L101</f>
        <v>0.29628272251308901</v>
      </c>
      <c r="M106" s="2899">
        <f>0.5659/M101</f>
        <v>0.29628272251308901</v>
      </c>
      <c r="N106" s="2899">
        <f>0.5659/N101</f>
        <v>0.29628272251308901</v>
      </c>
    </row>
    <row r="107" spans="1:14">
      <c r="A107" s="3274"/>
      <c r="B107" s="2898">
        <v>6</v>
      </c>
      <c r="C107" s="2899">
        <f>0.7608/C101</f>
        <v>0.39832460732984298</v>
      </c>
      <c r="D107" s="2899">
        <f>0.7608/D101</f>
        <v>0.39832460732984298</v>
      </c>
      <c r="E107" s="2899">
        <f>0.6482/E101</f>
        <v>0.33937172774869112</v>
      </c>
      <c r="F107" s="2899">
        <f>0.6482/F101</f>
        <v>0.33937172774869112</v>
      </c>
      <c r="G107" s="2899">
        <f>0.6482/G101</f>
        <v>0.33937172774869112</v>
      </c>
      <c r="H107" s="2899">
        <f>0.6482/H101</f>
        <v>0.33937172774869112</v>
      </c>
      <c r="I107" s="2899">
        <f>0.6482/I101</f>
        <v>0.33937172774869112</v>
      </c>
      <c r="J107" s="2899">
        <f>0.4525/J101</f>
        <v>0.23691099476439792</v>
      </c>
      <c r="K107" s="2899">
        <f>0.4525/K101</f>
        <v>0.23691099476439792</v>
      </c>
      <c r="L107" s="2899">
        <f>0.4525/L101</f>
        <v>0.23691099476439792</v>
      </c>
      <c r="M107" s="2899">
        <f>0.4525/M101</f>
        <v>0.23691099476439792</v>
      </c>
      <c r="N107" s="2899">
        <f>0.4525/N101</f>
        <v>0.23691099476439792</v>
      </c>
    </row>
    <row r="108" spans="1:14">
      <c r="A108" s="3274"/>
      <c r="B108" s="3084"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75"/>
      <c r="B109" s="3085"/>
      <c r="C109" s="2901">
        <f>(-0.163*(C108^2)-0.59*C108+7617)*(10^(-4))/C101</f>
        <v>0.39879581151832466</v>
      </c>
      <c r="D109" s="2901">
        <f>(-0.163*(D108^2)-0.59*D108+7617)*(10^(-4))/D101</f>
        <v>0.39879581151832466</v>
      </c>
      <c r="E109" s="2901">
        <f>(-0.161*(E108^2)-7.509*E108+6533)*(10^(-4))/E101</f>
        <v>0.34204188481675396</v>
      </c>
      <c r="F109" s="2901">
        <f>(-0.161*(F108^2)-7.509*F108+6533)*(10^(-4))/F101</f>
        <v>0.34204188481675396</v>
      </c>
      <c r="G109" s="2901">
        <f>(-0.161*(G108^2)-7.509*G108+6533)*(10^(-4))/G101</f>
        <v>0.34204188481675396</v>
      </c>
      <c r="H109" s="2901">
        <f>(-0.161*(H108^2)-7.509*H108+6533)*(10^(-4))/H101</f>
        <v>0.34204188481675396</v>
      </c>
      <c r="I109" s="2901">
        <f>(-0.161*(I108^2)-7.509*I108+6533)*(10^(-4))/I101</f>
        <v>0.34204188481675396</v>
      </c>
      <c r="J109" s="2901">
        <f>(-0.214*(J108^2)-21.991*J108+4665)*(10^(-4))/J101</f>
        <v>0.24424083769633509</v>
      </c>
      <c r="K109" s="2901">
        <f>(-0.214*(K108^2)-21.991*K108+4665)*(10^(-4))/K101</f>
        <v>0.24424083769633509</v>
      </c>
      <c r="L109" s="2901">
        <f>(-0.214*(L108^2)-21.991*L108+4665)*(10^(-4))/L101</f>
        <v>0.24424083769633509</v>
      </c>
      <c r="M109" s="2901">
        <f>(-0.214*(M108^2)-21.991*M108+4665)*(10^(-4))/M101</f>
        <v>0.24424083769633509</v>
      </c>
      <c r="N109" s="2901">
        <f>(-0.214*(N108^2)-21.991*N108+4665)*(10^(-4))/N101</f>
        <v>0.24424083769633509</v>
      </c>
    </row>
    <row r="110" spans="1:14">
      <c r="A110" s="3271" t="s">
        <v>2980</v>
      </c>
      <c r="B110" s="3271"/>
      <c r="C110" s="3271"/>
      <c r="D110" s="3271"/>
      <c r="E110" s="3271"/>
      <c r="F110" s="3271"/>
      <c r="G110" s="3271"/>
      <c r="H110" s="3271"/>
      <c r="I110" s="3271"/>
      <c r="J110" s="3271"/>
      <c r="K110" s="2904"/>
      <c r="L110" s="2904"/>
      <c r="M110" s="2904"/>
      <c r="N110" s="2904"/>
    </row>
    <row r="112" spans="1:14" ht="13.5" thickBot="1"/>
    <row r="113" spans="1:13" ht="25.5" thickBot="1">
      <c r="A113" s="901" t="s">
        <v>2981</v>
      </c>
      <c r="B113" s="1288">
        <f>G3</f>
        <v>1.91</v>
      </c>
      <c r="C113" s="902" t="s">
        <v>2982</v>
      </c>
      <c r="D113" s="903">
        <f>SUMPRODUCT((A115:A118=F113)*(B114:M114=H113)*B115:M118)</f>
        <v>0</v>
      </c>
      <c r="E113" s="2727" t="s">
        <v>2812</v>
      </c>
      <c r="F113" s="2906">
        <f>E2</f>
        <v>0</v>
      </c>
      <c r="G113" s="2727" t="s">
        <v>2813</v>
      </c>
      <c r="H113" s="2906">
        <f>G2</f>
        <v>0</v>
      </c>
      <c r="I113" s="2727"/>
      <c r="J113" s="2907"/>
      <c r="K113" s="2907"/>
      <c r="L113" s="2907"/>
      <c r="M113" s="2907"/>
    </row>
    <row r="114" spans="1:13">
      <c r="A114" s="906"/>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7" t="s">
        <v>2877</v>
      </c>
      <c r="B115" s="908">
        <f>ROUND(0.9335-0.0094*B113,4)</f>
        <v>0.91549999999999998</v>
      </c>
      <c r="C115" s="908">
        <f>B115</f>
        <v>0.91549999999999998</v>
      </c>
      <c r="D115" s="908">
        <f>ROUND(0.8331-0.0109*B113,4)</f>
        <v>0.81230000000000002</v>
      </c>
      <c r="E115" s="908">
        <f>D115</f>
        <v>0.81230000000000002</v>
      </c>
      <c r="F115" s="908">
        <f>E115</f>
        <v>0.81230000000000002</v>
      </c>
      <c r="G115" s="908">
        <f>F115</f>
        <v>0.81230000000000002</v>
      </c>
      <c r="H115" s="908">
        <f>G115</f>
        <v>0.81230000000000002</v>
      </c>
      <c r="I115" s="908">
        <f>ROUND(0.689-0.0155*B113,4)</f>
        <v>0.65939999999999999</v>
      </c>
      <c r="J115" s="908">
        <f t="shared" ref="J115:M118" si="33">I115</f>
        <v>0.65939999999999999</v>
      </c>
      <c r="K115" s="908">
        <f t="shared" si="33"/>
        <v>0.65939999999999999</v>
      </c>
      <c r="L115" s="908">
        <f t="shared" si="33"/>
        <v>0.65939999999999999</v>
      </c>
      <c r="M115" s="909">
        <f t="shared" si="33"/>
        <v>0.65939999999999999</v>
      </c>
    </row>
    <row r="116" spans="1:13">
      <c r="A116" s="907" t="s">
        <v>2878</v>
      </c>
      <c r="B116" s="908">
        <f>ROUND(0.949-0.012*B113,4)</f>
        <v>0.92610000000000003</v>
      </c>
      <c r="C116" s="908">
        <f>B116</f>
        <v>0.92610000000000003</v>
      </c>
      <c r="D116" s="908">
        <f>ROUND(0.8567-0.013*B113,4)</f>
        <v>0.83189999999999997</v>
      </c>
      <c r="E116" s="908">
        <f t="shared" ref="E116:H117" si="34">D116</f>
        <v>0.83189999999999997</v>
      </c>
      <c r="F116" s="908">
        <f t="shared" si="34"/>
        <v>0.83189999999999997</v>
      </c>
      <c r="G116" s="908">
        <f t="shared" si="34"/>
        <v>0.83189999999999997</v>
      </c>
      <c r="H116" s="908">
        <f t="shared" si="34"/>
        <v>0.83189999999999997</v>
      </c>
      <c r="I116" s="908">
        <f>ROUND(0.7694-0.014*B113,4)</f>
        <v>0.74270000000000003</v>
      </c>
      <c r="J116" s="908">
        <f t="shared" si="33"/>
        <v>0.74270000000000003</v>
      </c>
      <c r="K116" s="908">
        <f t="shared" si="33"/>
        <v>0.74270000000000003</v>
      </c>
      <c r="L116" s="908">
        <f t="shared" si="33"/>
        <v>0.74270000000000003</v>
      </c>
      <c r="M116" s="909">
        <f t="shared" si="33"/>
        <v>0.74270000000000003</v>
      </c>
    </row>
    <row r="117" spans="1:13">
      <c r="A117" s="907" t="s">
        <v>2879</v>
      </c>
      <c r="B117" s="908">
        <f>ROUND(0.8808-0.006*B113,4)</f>
        <v>0.86929999999999996</v>
      </c>
      <c r="C117" s="908">
        <f>B117</f>
        <v>0.86929999999999996</v>
      </c>
      <c r="D117" s="908">
        <f>ROUND(0.8748-0.008*B113,4)</f>
        <v>0.85950000000000004</v>
      </c>
      <c r="E117" s="908">
        <f t="shared" si="34"/>
        <v>0.85950000000000004</v>
      </c>
      <c r="F117" s="908">
        <f t="shared" si="34"/>
        <v>0.85950000000000004</v>
      </c>
      <c r="G117" s="908">
        <f t="shared" si="34"/>
        <v>0.85950000000000004</v>
      </c>
      <c r="H117" s="908">
        <f t="shared" si="34"/>
        <v>0.85950000000000004</v>
      </c>
      <c r="I117" s="908">
        <f>ROUND(0.7412-0.0095*B113,4)</f>
        <v>0.72309999999999997</v>
      </c>
      <c r="J117" s="908">
        <f t="shared" si="33"/>
        <v>0.72309999999999997</v>
      </c>
      <c r="K117" s="908">
        <f t="shared" si="33"/>
        <v>0.72309999999999997</v>
      </c>
      <c r="L117" s="908">
        <f t="shared" si="33"/>
        <v>0.72309999999999997</v>
      </c>
      <c r="M117" s="909">
        <f t="shared" si="33"/>
        <v>0.72309999999999997</v>
      </c>
    </row>
    <row r="118" spans="1:13" ht="13.5" thickBot="1">
      <c r="A118" s="712" t="s">
        <v>2880</v>
      </c>
      <c r="B118" s="910">
        <f>ROUND(0.7275-0.01*B113,4)</f>
        <v>0.70840000000000003</v>
      </c>
      <c r="C118" s="910">
        <f>B118</f>
        <v>0.70840000000000003</v>
      </c>
      <c r="D118" s="910">
        <f>ROUND(0.7043-0.012*B113,4)</f>
        <v>0.68140000000000001</v>
      </c>
      <c r="E118" s="910">
        <f>D118</f>
        <v>0.68140000000000001</v>
      </c>
      <c r="F118" s="910">
        <f>E118</f>
        <v>0.68140000000000001</v>
      </c>
      <c r="G118" s="910">
        <f>ROUND(0.6299-0.0122*B113,4)</f>
        <v>0.60660000000000003</v>
      </c>
      <c r="H118" s="910">
        <f>G118</f>
        <v>0.60660000000000003</v>
      </c>
      <c r="I118" s="910">
        <f>ROUND(0.5667-0.0136*B113,4)</f>
        <v>0.54069999999999996</v>
      </c>
      <c r="J118" s="910">
        <f t="shared" si="33"/>
        <v>0.54069999999999996</v>
      </c>
      <c r="K118" s="910">
        <f t="shared" si="33"/>
        <v>0.54069999999999996</v>
      </c>
      <c r="L118" s="910">
        <f t="shared" si="33"/>
        <v>0.54069999999999996</v>
      </c>
      <c r="M118" s="911">
        <f t="shared" si="33"/>
        <v>0.54069999999999996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8" t="s">
        <v>183</v>
      </c>
      <c r="B18" s="880" t="s">
        <v>560</v>
      </c>
      <c r="C18" s="881" t="s">
        <v>561</v>
      </c>
      <c r="D18" s="882"/>
      <c r="E18" s="880">
        <v>1</v>
      </c>
      <c r="F18" s="883" t="s">
        <v>562</v>
      </c>
      <c r="G18" s="884"/>
      <c r="H18" s="876"/>
      <c r="I18" s="876"/>
    </row>
    <row r="19" spans="1:9" s="885" customFormat="1" ht="19.5" customHeight="1">
      <c r="A19" s="3288"/>
      <c r="B19" s="3288" t="s">
        <v>563</v>
      </c>
      <c r="C19" s="881" t="s">
        <v>564</v>
      </c>
      <c r="D19" s="882"/>
      <c r="E19" s="880">
        <v>0.9</v>
      </c>
      <c r="F19" s="883" t="s">
        <v>565</v>
      </c>
      <c r="G19" s="884"/>
      <c r="H19" s="876"/>
      <c r="I19" s="876"/>
    </row>
    <row r="20" spans="1:9" s="885" customFormat="1" ht="19.5" customHeight="1">
      <c r="A20" s="3288"/>
      <c r="B20" s="3288"/>
      <c r="C20" s="881" t="s">
        <v>566</v>
      </c>
      <c r="D20" s="882"/>
      <c r="E20" s="880">
        <v>1.1000000000000001</v>
      </c>
      <c r="F20" s="883" t="s">
        <v>567</v>
      </c>
      <c r="G20" s="884"/>
      <c r="H20" s="876"/>
      <c r="I20" s="876"/>
    </row>
    <row r="21" spans="1:9" s="885" customFormat="1" ht="19.5" customHeight="1">
      <c r="A21" s="3288"/>
      <c r="B21" s="3288"/>
      <c r="C21" s="881" t="s">
        <v>568</v>
      </c>
      <c r="D21" s="882"/>
      <c r="E21" s="880">
        <v>0.8</v>
      </c>
      <c r="F21" s="883" t="s">
        <v>569</v>
      </c>
      <c r="G21" s="884"/>
      <c r="H21" s="876"/>
      <c r="I21" s="876"/>
    </row>
    <row r="22" spans="1:9" s="885" customFormat="1" ht="19.5" customHeight="1">
      <c r="A22" s="3288"/>
      <c r="B22" s="3288"/>
      <c r="C22" s="881" t="s">
        <v>570</v>
      </c>
      <c r="D22" s="882"/>
      <c r="E22" s="880">
        <v>0.5</v>
      </c>
      <c r="F22" s="883"/>
      <c r="G22" s="884"/>
      <c r="H22" s="876"/>
      <c r="I22" s="876"/>
    </row>
    <row r="23" spans="1:9" s="885" customFormat="1" ht="19.5" customHeight="1">
      <c r="A23" s="3288" t="s">
        <v>184</v>
      </c>
      <c r="B23" s="880" t="s">
        <v>560</v>
      </c>
      <c r="C23" s="881" t="s">
        <v>571</v>
      </c>
      <c r="D23" s="882"/>
      <c r="E23" s="880">
        <v>1</v>
      </c>
      <c r="F23" s="883" t="s">
        <v>572</v>
      </c>
      <c r="G23" s="884"/>
      <c r="H23" s="876"/>
      <c r="I23" s="876"/>
    </row>
    <row r="24" spans="1:9" s="885" customFormat="1" ht="19.5" customHeight="1">
      <c r="A24" s="3288"/>
      <c r="B24" s="3288" t="s">
        <v>563</v>
      </c>
      <c r="C24" s="881" t="s">
        <v>573</v>
      </c>
      <c r="D24" s="882"/>
      <c r="E24" s="880">
        <v>0.5</v>
      </c>
      <c r="F24" s="883"/>
      <c r="G24" s="884"/>
      <c r="H24" s="876"/>
      <c r="I24" s="876"/>
    </row>
    <row r="25" spans="1:9" s="885" customFormat="1" ht="19.5" customHeight="1">
      <c r="A25" s="3288"/>
      <c r="B25" s="3288"/>
      <c r="C25" s="881" t="s">
        <v>574</v>
      </c>
      <c r="D25" s="882"/>
      <c r="E25" s="880">
        <v>1.1000000000000001</v>
      </c>
      <c r="F25" s="883"/>
      <c r="G25" s="884"/>
      <c r="H25" s="876"/>
      <c r="I25" s="876"/>
    </row>
    <row r="26" spans="1:9" s="885" customFormat="1" ht="19.5" customHeight="1">
      <c r="A26" s="3288"/>
      <c r="B26" s="3288"/>
      <c r="C26" s="881" t="s">
        <v>575</v>
      </c>
      <c r="D26" s="882"/>
      <c r="E26" s="880">
        <v>1.1000000000000001</v>
      </c>
      <c r="F26" s="883"/>
      <c r="G26" s="884"/>
      <c r="H26" s="876"/>
      <c r="I26" s="876"/>
    </row>
    <row r="27" spans="1:9" s="885" customFormat="1" ht="19.5" customHeight="1">
      <c r="A27" s="3288"/>
      <c r="B27" s="3288"/>
      <c r="C27" s="881" t="s">
        <v>576</v>
      </c>
      <c r="D27" s="882"/>
      <c r="E27" s="880">
        <v>0.9</v>
      </c>
      <c r="F27" s="883" t="s">
        <v>577</v>
      </c>
      <c r="G27" s="884"/>
      <c r="H27" s="876"/>
      <c r="I27" s="876"/>
    </row>
    <row r="28" spans="1:9" s="885" customFormat="1" ht="19.5" customHeight="1">
      <c r="A28" s="3288"/>
      <c r="B28" s="3288"/>
      <c r="C28" s="881" t="s">
        <v>578</v>
      </c>
      <c r="D28" s="882"/>
      <c r="E28" s="880">
        <v>0.9</v>
      </c>
      <c r="F28" s="883" t="s">
        <v>579</v>
      </c>
      <c r="G28" s="884"/>
      <c r="H28" s="876"/>
      <c r="I28" s="876"/>
    </row>
    <row r="29" spans="1:9" s="885" customFormat="1" ht="19.5" customHeight="1">
      <c r="A29" s="3288"/>
      <c r="B29" s="3288"/>
      <c r="C29" s="881" t="s">
        <v>580</v>
      </c>
      <c r="D29" s="882"/>
      <c r="E29" s="880">
        <v>0.9</v>
      </c>
      <c r="F29" s="883" t="s">
        <v>581</v>
      </c>
      <c r="G29" s="884"/>
      <c r="H29" s="876"/>
      <c r="I29" s="876"/>
    </row>
    <row r="30" spans="1:9" s="885" customFormat="1" ht="19.5" customHeight="1">
      <c r="A30" s="3288"/>
      <c r="B30" s="3288"/>
      <c r="C30" s="881" t="s">
        <v>582</v>
      </c>
      <c r="D30" s="882"/>
      <c r="E30" s="880">
        <v>0.9</v>
      </c>
      <c r="F30" s="883" t="s">
        <v>583</v>
      </c>
      <c r="G30" s="884"/>
      <c r="H30" s="876"/>
      <c r="I30" s="876"/>
    </row>
    <row r="31" spans="1:9" s="885" customFormat="1" ht="19.5" customHeight="1">
      <c r="A31" s="3288"/>
      <c r="B31" s="3288"/>
      <c r="C31" s="881" t="s">
        <v>584</v>
      </c>
      <c r="D31" s="882"/>
      <c r="E31" s="880">
        <v>0.8</v>
      </c>
      <c r="F31" s="883" t="s">
        <v>585</v>
      </c>
      <c r="G31" s="884"/>
      <c r="H31" s="876"/>
      <c r="I31" s="876"/>
    </row>
    <row r="32" spans="1:9" s="885" customFormat="1" ht="19.5" customHeight="1">
      <c r="A32" s="3288"/>
      <c r="B32" s="3288"/>
      <c r="C32" s="881" t="s">
        <v>586</v>
      </c>
      <c r="D32" s="882"/>
      <c r="E32" s="880">
        <v>0.8</v>
      </c>
      <c r="F32" s="883" t="s">
        <v>587</v>
      </c>
      <c r="G32" s="884"/>
      <c r="H32" s="876"/>
      <c r="I32" s="876"/>
    </row>
    <row r="33" spans="1:9" s="885" customFormat="1" ht="19.5" customHeight="1">
      <c r="A33" s="3288" t="s">
        <v>185</v>
      </c>
      <c r="B33" s="880" t="s">
        <v>560</v>
      </c>
      <c r="C33" s="881" t="s">
        <v>588</v>
      </c>
      <c r="D33" s="882"/>
      <c r="E33" s="880">
        <v>1</v>
      </c>
      <c r="F33" s="883" t="s">
        <v>589</v>
      </c>
      <c r="G33" s="884"/>
      <c r="H33" s="876"/>
      <c r="I33" s="876"/>
    </row>
    <row r="34" spans="1:9" s="885" customFormat="1" ht="19.5" customHeight="1">
      <c r="A34" s="3288"/>
      <c r="B34" s="880" t="s">
        <v>563</v>
      </c>
      <c r="C34" s="881" t="s">
        <v>590</v>
      </c>
      <c r="D34" s="882"/>
      <c r="E34" s="880">
        <v>1.5</v>
      </c>
      <c r="F34" s="883" t="s">
        <v>591</v>
      </c>
      <c r="G34" s="884"/>
      <c r="H34" s="876"/>
      <c r="I34" s="876"/>
    </row>
    <row r="35" spans="1:9" s="885" customFormat="1" ht="19.5" customHeight="1">
      <c r="A35" s="3288" t="s">
        <v>186</v>
      </c>
      <c r="B35" s="880" t="s">
        <v>560</v>
      </c>
      <c r="C35" s="881" t="s">
        <v>592</v>
      </c>
      <c r="D35" s="882"/>
      <c r="E35" s="880">
        <v>1</v>
      </c>
      <c r="F35" s="883" t="s">
        <v>593</v>
      </c>
      <c r="G35" s="884"/>
      <c r="H35" s="876"/>
      <c r="I35" s="876"/>
    </row>
    <row r="36" spans="1:9" s="885" customFormat="1" ht="19.5" customHeight="1">
      <c r="A36" s="3288"/>
      <c r="B36" s="3288" t="s">
        <v>563</v>
      </c>
      <c r="C36" s="881" t="s">
        <v>594</v>
      </c>
      <c r="D36" s="882"/>
      <c r="E36" s="880">
        <v>1</v>
      </c>
      <c r="F36" s="883" t="s">
        <v>595</v>
      </c>
      <c r="G36" s="884"/>
      <c r="H36" s="876"/>
      <c r="I36" s="876"/>
    </row>
    <row r="37" spans="1:9" s="885" customFormat="1" ht="19.5" customHeight="1">
      <c r="A37" s="3288"/>
      <c r="B37" s="3288"/>
      <c r="C37" s="881" t="s">
        <v>596</v>
      </c>
      <c r="D37" s="882"/>
      <c r="E37" s="880">
        <v>1.5</v>
      </c>
      <c r="F37" s="883" t="s">
        <v>597</v>
      </c>
      <c r="G37" s="884"/>
      <c r="H37" s="876"/>
      <c r="I37" s="876"/>
    </row>
    <row r="38" spans="1:9" s="885" customFormat="1" ht="19.5" customHeight="1">
      <c r="A38" s="3288"/>
      <c r="B38" s="3288"/>
      <c r="C38" s="881" t="s">
        <v>598</v>
      </c>
      <c r="D38" s="882"/>
      <c r="E38" s="880">
        <v>1</v>
      </c>
      <c r="F38" s="883" t="s">
        <v>599</v>
      </c>
      <c r="G38" s="884"/>
      <c r="H38" s="876"/>
      <c r="I38" s="876"/>
    </row>
    <row r="39" spans="1:9" s="885" customFormat="1" ht="19.5" customHeight="1">
      <c r="A39" s="3288"/>
      <c r="B39" s="328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8" t="s">
        <v>614</v>
      </c>
      <c r="C61" s="816" t="s">
        <v>615</v>
      </c>
      <c r="D61" s="816" t="s">
        <v>616</v>
      </c>
      <c r="E61" s="893">
        <v>0.5</v>
      </c>
      <c r="F61" s="880">
        <v>80</v>
      </c>
    </row>
    <row r="62" spans="1:8" s="876" customFormat="1" ht="24">
      <c r="A62" s="880">
        <v>2</v>
      </c>
      <c r="B62" s="3288"/>
      <c r="C62" s="816" t="s">
        <v>617</v>
      </c>
      <c r="D62" s="816" t="s">
        <v>618</v>
      </c>
      <c r="E62" s="893">
        <v>0.5</v>
      </c>
      <c r="F62" s="880">
        <v>80</v>
      </c>
    </row>
    <row r="63" spans="1:8" s="876" customFormat="1" ht="36">
      <c r="A63" s="880">
        <v>3</v>
      </c>
      <c r="B63" s="3288"/>
      <c r="C63" s="816" t="s">
        <v>619</v>
      </c>
      <c r="D63" s="816" t="s">
        <v>620</v>
      </c>
      <c r="E63" s="893">
        <v>0.5</v>
      </c>
      <c r="F63" s="880">
        <v>80</v>
      </c>
    </row>
    <row r="64" spans="1:8" s="876" customFormat="1" ht="36">
      <c r="A64" s="880">
        <v>4</v>
      </c>
      <c r="B64" s="3288"/>
      <c r="C64" s="816" t="s">
        <v>621</v>
      </c>
      <c r="D64" s="816" t="s">
        <v>622</v>
      </c>
      <c r="E64" s="893">
        <v>0.4</v>
      </c>
      <c r="F64" s="880">
        <v>60</v>
      </c>
    </row>
    <row r="65" spans="1:6" s="876" customFormat="1" ht="36">
      <c r="A65" s="880">
        <v>5</v>
      </c>
      <c r="B65" s="3288"/>
      <c r="C65" s="816" t="s">
        <v>623</v>
      </c>
      <c r="D65" s="816" t="s">
        <v>624</v>
      </c>
      <c r="E65" s="893">
        <v>0.2</v>
      </c>
      <c r="F65" s="880">
        <v>30</v>
      </c>
    </row>
    <row r="66" spans="1:6" s="876" customFormat="1" ht="36">
      <c r="A66" s="880">
        <v>6</v>
      </c>
      <c r="B66" s="3288"/>
      <c r="C66" s="816" t="s">
        <v>625</v>
      </c>
      <c r="D66" s="816" t="s">
        <v>626</v>
      </c>
      <c r="E66" s="893">
        <v>0.3</v>
      </c>
      <c r="F66" s="880">
        <v>50</v>
      </c>
    </row>
    <row r="67" spans="1:6" s="876" customFormat="1" ht="36">
      <c r="A67" s="880">
        <v>7</v>
      </c>
      <c r="B67" s="3288"/>
      <c r="C67" s="816" t="s">
        <v>627</v>
      </c>
      <c r="D67" s="816" t="s">
        <v>628</v>
      </c>
      <c r="E67" s="893">
        <v>0.2</v>
      </c>
      <c r="F67" s="880">
        <v>30</v>
      </c>
    </row>
    <row r="68" spans="1:6" s="876" customFormat="1" ht="36">
      <c r="A68" s="880">
        <v>8</v>
      </c>
      <c r="B68" s="3288"/>
      <c r="C68" s="816" t="s">
        <v>629</v>
      </c>
      <c r="D68" s="816" t="s">
        <v>630</v>
      </c>
      <c r="E68" s="893">
        <v>0.2</v>
      </c>
      <c r="F68" s="880">
        <v>30</v>
      </c>
    </row>
    <row r="69" spans="1:6" s="876" customFormat="1" ht="36">
      <c r="A69" s="880">
        <v>9</v>
      </c>
      <c r="B69" s="3288"/>
      <c r="C69" s="816" t="s">
        <v>631</v>
      </c>
      <c r="D69" s="816" t="s">
        <v>632</v>
      </c>
      <c r="E69" s="893">
        <v>0.2</v>
      </c>
      <c r="F69" s="880">
        <v>30</v>
      </c>
    </row>
    <row r="70" spans="1:6" s="876" customFormat="1" ht="48">
      <c r="A70" s="880">
        <v>10</v>
      </c>
      <c r="B70" s="3288"/>
      <c r="C70" s="816" t="s">
        <v>633</v>
      </c>
      <c r="D70" s="816" t="s">
        <v>634</v>
      </c>
      <c r="E70" s="893">
        <v>0.2</v>
      </c>
      <c r="F70" s="880">
        <v>30</v>
      </c>
    </row>
    <row r="71" spans="1:6" s="876" customFormat="1" ht="48">
      <c r="A71" s="880">
        <v>11</v>
      </c>
      <c r="B71" s="3288"/>
      <c r="C71" s="816" t="s">
        <v>635</v>
      </c>
      <c r="D71" s="816" t="s">
        <v>636</v>
      </c>
      <c r="E71" s="893">
        <v>0.2</v>
      </c>
      <c r="F71" s="880">
        <v>30</v>
      </c>
    </row>
    <row r="72" spans="1:6" s="876" customFormat="1" ht="36">
      <c r="A72" s="880">
        <v>12</v>
      </c>
      <c r="B72" s="3288"/>
      <c r="C72" s="816" t="s">
        <v>637</v>
      </c>
      <c r="D72" s="816" t="s">
        <v>638</v>
      </c>
      <c r="E72" s="893">
        <v>0.5</v>
      </c>
      <c r="F72" s="880">
        <v>80</v>
      </c>
    </row>
    <row r="73" spans="1:6" s="876" customFormat="1" ht="24">
      <c r="A73" s="880">
        <v>13</v>
      </c>
      <c r="B73" s="3288"/>
      <c r="C73" s="816" t="s">
        <v>639</v>
      </c>
      <c r="D73" s="816" t="s">
        <v>640</v>
      </c>
      <c r="E73" s="893">
        <v>0.4</v>
      </c>
      <c r="F73" s="880">
        <v>60</v>
      </c>
    </row>
    <row r="74" spans="1:6" s="876" customFormat="1" ht="24">
      <c r="A74" s="880">
        <v>14</v>
      </c>
      <c r="B74" s="3288"/>
      <c r="C74" s="816" t="s">
        <v>641</v>
      </c>
      <c r="D74" s="816" t="s">
        <v>642</v>
      </c>
      <c r="E74" s="893">
        <v>0.2</v>
      </c>
      <c r="F74" s="880">
        <v>30</v>
      </c>
    </row>
    <row r="75" spans="1:6" s="876" customFormat="1" ht="24">
      <c r="A75" s="880">
        <v>15</v>
      </c>
      <c r="B75" s="3288"/>
      <c r="C75" s="816" t="s">
        <v>643</v>
      </c>
      <c r="D75" s="816" t="s">
        <v>644</v>
      </c>
      <c r="E75" s="893">
        <v>0.2</v>
      </c>
      <c r="F75" s="880">
        <v>30</v>
      </c>
    </row>
    <row r="76" spans="1:6" s="876" customFormat="1" ht="24">
      <c r="A76" s="880">
        <v>16</v>
      </c>
      <c r="B76" s="3288" t="s">
        <v>645</v>
      </c>
      <c r="C76" s="816" t="s">
        <v>646</v>
      </c>
      <c r="D76" s="816" t="s">
        <v>647</v>
      </c>
      <c r="E76" s="893">
        <v>0.5</v>
      </c>
      <c r="F76" s="880">
        <v>80</v>
      </c>
    </row>
    <row r="77" spans="1:6" s="876" customFormat="1" ht="24">
      <c r="A77" s="880">
        <v>17</v>
      </c>
      <c r="B77" s="3288"/>
      <c r="C77" s="816" t="s">
        <v>648</v>
      </c>
      <c r="D77" s="816" t="s">
        <v>649</v>
      </c>
      <c r="E77" s="893">
        <v>0.5</v>
      </c>
      <c r="F77" s="880">
        <v>80</v>
      </c>
    </row>
    <row r="78" spans="1:6" s="876" customFormat="1" ht="24">
      <c r="A78" s="880">
        <v>18</v>
      </c>
      <c r="B78" s="3288"/>
      <c r="C78" s="816" t="s">
        <v>650</v>
      </c>
      <c r="D78" s="816" t="s">
        <v>651</v>
      </c>
      <c r="E78" s="893">
        <v>0.2</v>
      </c>
      <c r="F78" s="880">
        <v>30</v>
      </c>
    </row>
    <row r="79" spans="1:6" s="876" customFormat="1" ht="24">
      <c r="A79" s="880">
        <v>19</v>
      </c>
      <c r="B79" s="3288"/>
      <c r="C79" s="816" t="s">
        <v>652</v>
      </c>
      <c r="D79" s="816" t="s">
        <v>653</v>
      </c>
      <c r="E79" s="893">
        <v>0.5</v>
      </c>
      <c r="F79" s="880">
        <v>80</v>
      </c>
    </row>
    <row r="80" spans="1:6" s="876" customFormat="1" ht="36">
      <c r="A80" s="880">
        <v>20</v>
      </c>
      <c r="B80" s="3288"/>
      <c r="C80" s="816" t="s">
        <v>654</v>
      </c>
      <c r="D80" s="816" t="s">
        <v>655</v>
      </c>
      <c r="E80" s="893">
        <v>0.2</v>
      </c>
      <c r="F80" s="880">
        <v>30</v>
      </c>
    </row>
    <row r="81" spans="1:6" s="876" customFormat="1" ht="36">
      <c r="A81" s="880">
        <v>21</v>
      </c>
      <c r="B81" s="3288"/>
      <c r="C81" s="816" t="s">
        <v>656</v>
      </c>
      <c r="D81" s="816" t="s">
        <v>657</v>
      </c>
      <c r="E81" s="893">
        <v>0.2</v>
      </c>
      <c r="F81" s="880">
        <v>30</v>
      </c>
    </row>
    <row r="82" spans="1:6" s="876" customFormat="1" ht="48">
      <c r="A82" s="880">
        <v>22</v>
      </c>
      <c r="B82" s="3288"/>
      <c r="C82" s="816" t="s">
        <v>658</v>
      </c>
      <c r="D82" s="816" t="s">
        <v>659</v>
      </c>
      <c r="E82" s="893">
        <v>0.2</v>
      </c>
      <c r="F82" s="880">
        <v>30</v>
      </c>
    </row>
    <row r="83" spans="1:6" s="876" customFormat="1" ht="48">
      <c r="A83" s="880">
        <v>23</v>
      </c>
      <c r="B83" s="3288"/>
      <c r="C83" s="816" t="s">
        <v>660</v>
      </c>
      <c r="D83" s="816" t="s">
        <v>661</v>
      </c>
      <c r="E83" s="893">
        <v>0.2</v>
      </c>
      <c r="F83" s="880">
        <v>30</v>
      </c>
    </row>
    <row r="84" spans="1:6" s="876" customFormat="1" ht="36">
      <c r="A84" s="880">
        <v>24</v>
      </c>
      <c r="B84" s="3288"/>
      <c r="C84" s="816" t="s">
        <v>662</v>
      </c>
      <c r="D84" s="816" t="s">
        <v>663</v>
      </c>
      <c r="E84" s="893">
        <v>0.2</v>
      </c>
      <c r="F84" s="880">
        <v>30</v>
      </c>
    </row>
    <row r="85" spans="1:6" s="876" customFormat="1" ht="36">
      <c r="A85" s="880">
        <v>25</v>
      </c>
      <c r="B85" s="3288"/>
      <c r="C85" s="816" t="s">
        <v>664</v>
      </c>
      <c r="D85" s="816" t="s">
        <v>665</v>
      </c>
      <c r="E85" s="893">
        <v>0.5</v>
      </c>
      <c r="F85" s="880">
        <v>80</v>
      </c>
    </row>
    <row r="86" spans="1:6" s="876" customFormat="1" ht="36">
      <c r="A86" s="880">
        <v>26</v>
      </c>
      <c r="B86" s="3288"/>
      <c r="C86" s="816" t="s">
        <v>666</v>
      </c>
      <c r="D86" s="816" t="s">
        <v>667</v>
      </c>
      <c r="E86" s="893">
        <v>0.2</v>
      </c>
      <c r="F86" s="880">
        <v>30</v>
      </c>
    </row>
    <row r="87" spans="1:6" s="876" customFormat="1" ht="36">
      <c r="A87" s="880">
        <v>27</v>
      </c>
      <c r="B87" s="3288"/>
      <c r="C87" s="816" t="s">
        <v>668</v>
      </c>
      <c r="D87" s="816" t="s">
        <v>669</v>
      </c>
      <c r="E87" s="893">
        <v>0.2</v>
      </c>
      <c r="F87" s="880">
        <v>30</v>
      </c>
    </row>
    <row r="88" spans="1:6" s="876" customFormat="1" ht="36">
      <c r="A88" s="880">
        <v>28</v>
      </c>
      <c r="B88" s="3288"/>
      <c r="C88" s="816" t="s">
        <v>670</v>
      </c>
      <c r="D88" s="816" t="s">
        <v>671</v>
      </c>
      <c r="E88" s="893">
        <v>0.2</v>
      </c>
      <c r="F88" s="880">
        <v>30</v>
      </c>
    </row>
    <row r="89" spans="1:6" s="876" customFormat="1" ht="24">
      <c r="A89" s="880">
        <v>29</v>
      </c>
      <c r="B89" s="3288"/>
      <c r="C89" s="816" t="s">
        <v>672</v>
      </c>
      <c r="D89" s="816" t="s">
        <v>673</v>
      </c>
      <c r="E89" s="893">
        <v>0.2</v>
      </c>
      <c r="F89" s="880">
        <v>30</v>
      </c>
    </row>
    <row r="90" spans="1:6" s="876" customFormat="1" ht="24">
      <c r="A90" s="880">
        <v>30</v>
      </c>
      <c r="B90" s="3288"/>
      <c r="C90" s="816" t="s">
        <v>674</v>
      </c>
      <c r="D90" s="816" t="s">
        <v>675</v>
      </c>
      <c r="E90" s="893">
        <v>0.2</v>
      </c>
      <c r="F90" s="880">
        <v>30</v>
      </c>
    </row>
    <row r="91" spans="1:6" s="876" customFormat="1" ht="36">
      <c r="A91" s="880">
        <v>31</v>
      </c>
      <c r="B91" s="3288"/>
      <c r="C91" s="816" t="s">
        <v>676</v>
      </c>
      <c r="D91" s="816" t="s">
        <v>677</v>
      </c>
      <c r="E91" s="893">
        <v>0.2</v>
      </c>
      <c r="F91" s="880">
        <v>30</v>
      </c>
    </row>
    <row r="92" spans="1:6" s="876" customFormat="1" ht="24">
      <c r="A92" s="880">
        <v>32</v>
      </c>
      <c r="B92" s="3288" t="s">
        <v>678</v>
      </c>
      <c r="C92" s="880" t="s">
        <v>679</v>
      </c>
      <c r="D92" s="816" t="s">
        <v>680</v>
      </c>
      <c r="E92" s="893">
        <v>0.2</v>
      </c>
      <c r="F92" s="880">
        <v>30</v>
      </c>
    </row>
    <row r="93" spans="1:6" s="876" customFormat="1" ht="36">
      <c r="A93" s="880">
        <v>33</v>
      </c>
      <c r="B93" s="3288"/>
      <c r="C93" s="880" t="s">
        <v>681</v>
      </c>
      <c r="D93" s="816" t="s">
        <v>682</v>
      </c>
      <c r="E93" s="893">
        <v>0.2</v>
      </c>
      <c r="F93" s="880">
        <v>30</v>
      </c>
    </row>
    <row r="94" spans="1:6" s="876" customFormat="1" ht="48">
      <c r="A94" s="880">
        <v>34</v>
      </c>
      <c r="B94" s="3288"/>
      <c r="C94" s="880" t="s">
        <v>683</v>
      </c>
      <c r="D94" s="816" t="s">
        <v>684</v>
      </c>
      <c r="E94" s="893">
        <v>0.2</v>
      </c>
      <c r="F94" s="880">
        <v>30</v>
      </c>
    </row>
    <row r="95" spans="1:6" s="876" customFormat="1" ht="36">
      <c r="A95" s="880">
        <v>35</v>
      </c>
      <c r="B95" s="3288"/>
      <c r="C95" s="880" t="s">
        <v>685</v>
      </c>
      <c r="D95" s="816" t="s">
        <v>686</v>
      </c>
      <c r="E95" s="893">
        <v>0.2</v>
      </c>
      <c r="F95" s="880">
        <v>30</v>
      </c>
    </row>
    <row r="96" spans="1:6" s="876" customFormat="1" ht="48">
      <c r="A96" s="880">
        <v>36</v>
      </c>
      <c r="B96" s="3288"/>
      <c r="C96" s="816" t="s">
        <v>687</v>
      </c>
      <c r="D96" s="816" t="s">
        <v>688</v>
      </c>
      <c r="E96" s="893">
        <v>0.2</v>
      </c>
      <c r="F96" s="880">
        <v>30</v>
      </c>
    </row>
    <row r="97" spans="1:6" s="876" customFormat="1" ht="36">
      <c r="A97" s="880">
        <v>37</v>
      </c>
      <c r="B97" s="3288"/>
      <c r="C97" s="880" t="s">
        <v>689</v>
      </c>
      <c r="D97" s="816" t="s">
        <v>690</v>
      </c>
      <c r="E97" s="893">
        <v>0.2</v>
      </c>
      <c r="F97" s="880">
        <v>30</v>
      </c>
    </row>
    <row r="98" spans="1:6" s="876" customFormat="1" ht="36">
      <c r="A98" s="880">
        <v>38</v>
      </c>
      <c r="B98" s="3288"/>
      <c r="C98" s="880" t="s">
        <v>691</v>
      </c>
      <c r="D98" s="816" t="s">
        <v>692</v>
      </c>
      <c r="E98" s="893">
        <v>0.2</v>
      </c>
      <c r="F98" s="880">
        <v>30</v>
      </c>
    </row>
    <row r="99" spans="1:6" s="876" customFormat="1" ht="36">
      <c r="A99" s="880">
        <v>39</v>
      </c>
      <c r="B99" s="3288" t="s">
        <v>693</v>
      </c>
      <c r="C99" s="880" t="s">
        <v>694</v>
      </c>
      <c r="D99" s="816" t="s">
        <v>695</v>
      </c>
      <c r="E99" s="893">
        <v>0.3</v>
      </c>
      <c r="F99" s="880">
        <v>50</v>
      </c>
    </row>
    <row r="100" spans="1:6" s="876" customFormat="1" ht="24">
      <c r="A100" s="880">
        <v>40</v>
      </c>
      <c r="B100" s="3288"/>
      <c r="C100" s="880" t="s">
        <v>696</v>
      </c>
      <c r="D100" s="816" t="s">
        <v>697</v>
      </c>
      <c r="E100" s="893">
        <v>0.2</v>
      </c>
      <c r="F100" s="880">
        <v>30</v>
      </c>
    </row>
    <row r="101" spans="1:6" s="876" customFormat="1" ht="36">
      <c r="A101" s="880">
        <v>41</v>
      </c>
      <c r="B101" s="328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8" t="s">
        <v>708</v>
      </c>
      <c r="C105" s="880" t="s">
        <v>709</v>
      </c>
      <c r="D105" s="816" t="s">
        <v>710</v>
      </c>
      <c r="E105" s="893">
        <v>0.2</v>
      </c>
      <c r="F105" s="880">
        <v>30</v>
      </c>
    </row>
    <row r="106" spans="1:6" s="876" customFormat="1" ht="36">
      <c r="A106" s="880">
        <v>46</v>
      </c>
      <c r="B106" s="3288"/>
      <c r="C106" s="880" t="s">
        <v>711</v>
      </c>
      <c r="D106" s="816" t="s">
        <v>712</v>
      </c>
      <c r="E106" s="893">
        <v>0.2</v>
      </c>
      <c r="F106" s="880">
        <v>30</v>
      </c>
    </row>
    <row r="107" spans="1:6" s="876" customFormat="1" ht="36">
      <c r="A107" s="880">
        <v>47</v>
      </c>
      <c r="B107" s="3288" t="s">
        <v>713</v>
      </c>
      <c r="C107" s="880" t="s">
        <v>714</v>
      </c>
      <c r="D107" s="816" t="s">
        <v>715</v>
      </c>
      <c r="E107" s="893">
        <v>0.3</v>
      </c>
      <c r="F107" s="880">
        <v>50</v>
      </c>
    </row>
    <row r="108" spans="1:6" s="876" customFormat="1" ht="36">
      <c r="A108" s="880">
        <v>48</v>
      </c>
      <c r="B108" s="328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8" t="s">
        <v>724</v>
      </c>
      <c r="C111" s="880" t="s">
        <v>725</v>
      </c>
      <c r="D111" s="816" t="s">
        <v>726</v>
      </c>
      <c r="E111" s="893">
        <v>0.2</v>
      </c>
      <c r="F111" s="880">
        <v>30</v>
      </c>
    </row>
    <row r="112" spans="1:6" s="876" customFormat="1" ht="24">
      <c r="A112" s="880">
        <v>52</v>
      </c>
      <c r="B112" s="3288"/>
      <c r="C112" s="880" t="s">
        <v>727</v>
      </c>
      <c r="D112" s="816" t="s">
        <v>728</v>
      </c>
      <c r="E112" s="893">
        <v>0.2</v>
      </c>
      <c r="F112" s="880">
        <v>30</v>
      </c>
    </row>
    <row r="113" spans="1:6" s="876" customFormat="1" ht="24">
      <c r="A113" s="880">
        <v>53</v>
      </c>
      <c r="B113" s="328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8" t="s">
        <v>737</v>
      </c>
      <c r="C116" s="880" t="s">
        <v>738</v>
      </c>
      <c r="D116" s="816" t="s">
        <v>739</v>
      </c>
      <c r="E116" s="893">
        <v>0.2</v>
      </c>
      <c r="F116" s="880">
        <v>30</v>
      </c>
    </row>
    <row r="117" spans="1:6" ht="36">
      <c r="A117" s="880">
        <v>57</v>
      </c>
      <c r="B117" s="328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3003</v>
      </c>
    </row>
    <row r="2" spans="1:5" ht="15.75">
      <c r="A2" s="2913" t="s">
        <v>2995</v>
      </c>
      <c r="B2" s="2914" t="e">
        <f ca="1">SUMIF(B6:B13,"&lt;&gt;#ref!",B6:B13)</f>
        <v>#DIV/0!</v>
      </c>
      <c r="C2" s="2913" t="s">
        <v>2996</v>
      </c>
      <c r="D2" s="2913" t="s">
        <v>2997</v>
      </c>
      <c r="E2" s="2914">
        <f ca="1">SUMIF(E6:E13,"&lt;&gt;#ref!",E6:E13)</f>
        <v>0</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K22" sqref="K22"/>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4" t="s">
        <v>1146</v>
      </c>
      <c r="C1" s="3294"/>
      <c r="D1" s="3294"/>
      <c r="E1" s="3294"/>
      <c r="F1" s="3294"/>
      <c r="G1" s="3290" t="s">
        <v>1147</v>
      </c>
      <c r="H1" s="3290"/>
      <c r="I1" s="3290"/>
      <c r="J1" s="3290"/>
      <c r="K1" s="3290"/>
      <c r="L1" s="3290"/>
      <c r="N1" s="3290" t="s">
        <v>1148</v>
      </c>
      <c r="O1" s="3290"/>
      <c r="P1" s="3290"/>
      <c r="Q1" s="3290"/>
      <c r="R1" s="1447"/>
      <c r="S1" s="3290" t="s">
        <v>1149</v>
      </c>
      <c r="T1" s="3290"/>
      <c r="U1" s="3290"/>
      <c r="V1" s="3290"/>
      <c r="X1" s="3289" t="s">
        <v>1150</v>
      </c>
      <c r="Y1" s="3290"/>
      <c r="Z1" s="3290"/>
      <c r="AA1" s="3290"/>
      <c r="AB1" s="3290"/>
      <c r="AD1" s="3289" t="s">
        <v>1151</v>
      </c>
      <c r="AE1" s="3290"/>
      <c r="AF1" s="3290"/>
      <c r="AG1" s="3290"/>
      <c r="AH1" s="3290"/>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3038</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3051</v>
      </c>
      <c r="B5" s="1792">
        <f t="shared" ref="B5" si="2">B6*(1+N5)</f>
        <v>464.37293017158942</v>
      </c>
      <c r="C5" s="1792">
        <f t="shared" ref="C5" si="3">C6*(1+O5)</f>
        <v>344.73679941385956</v>
      </c>
      <c r="D5" s="1792">
        <f t="shared" ref="D5" si="4">C5</f>
        <v>344.73679941385956</v>
      </c>
      <c r="E5" s="1792">
        <f t="shared" ref="E5" si="5">E6*(1+P5)</f>
        <v>663.2377795103107</v>
      </c>
      <c r="F5" s="1792">
        <f t="shared" ref="F5" si="6">F6*(1+Q5)</f>
        <v>304.75936311478398</v>
      </c>
      <c r="G5" s="2942">
        <v>2019</v>
      </c>
      <c r="H5" s="1731">
        <v>1</v>
      </c>
      <c r="I5" s="2925">
        <v>0</v>
      </c>
      <c r="J5" s="2925">
        <v>0</v>
      </c>
      <c r="K5" s="2925">
        <v>0</v>
      </c>
      <c r="L5" s="2925">
        <v>0</v>
      </c>
      <c r="N5" s="1468">
        <f>I5/100</f>
        <v>0</v>
      </c>
      <c r="O5" s="1468">
        <f t="shared" ref="O5" si="7">J5/100</f>
        <v>0</v>
      </c>
      <c r="P5" s="1468">
        <f t="shared" ref="P5" si="8">K5/100</f>
        <v>0</v>
      </c>
      <c r="Q5" s="1468">
        <f t="shared" ref="Q5" si="9">L5/100</f>
        <v>0</v>
      </c>
      <c r="R5" s="1733"/>
      <c r="S5" s="1734"/>
      <c r="T5" s="1733"/>
      <c r="U5" s="1733"/>
      <c r="V5" s="1733"/>
      <c r="W5" s="2928" t="s">
        <v>3039</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3052</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92">
        <v>2018</v>
      </c>
      <c r="H6" s="1465">
        <v>4</v>
      </c>
      <c r="I6" s="2952">
        <v>0.96</v>
      </c>
      <c r="J6" s="2952">
        <v>1.03</v>
      </c>
      <c r="K6" s="2952">
        <v>0.92</v>
      </c>
      <c r="L6" s="2953">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1"/>
      <c r="X6" s="1789">
        <f>ROUND(SUMPRODUCT(PRODUCT(1+N6:N$24)),4)</f>
        <v>1.5099</v>
      </c>
      <c r="Y6" s="1789">
        <f>ROUND(SUMPRODUCT(PRODUCT(1+O6:O$24)),4)</f>
        <v>1.3372999999999999</v>
      </c>
      <c r="Z6" s="1789">
        <f t="shared" ref="Z6" si="20">Y6</f>
        <v>1.3372999999999999</v>
      </c>
      <c r="AA6" s="1789">
        <f>ROUND(SUMPRODUCT(PRODUCT(1+P6:P$24)),4)</f>
        <v>1.5683</v>
      </c>
      <c r="AB6" s="1789">
        <f>ROUND(SUMPRODUCT(PRODUCT(1+Q6:Q$24)),4)</f>
        <v>1.3255999999999999</v>
      </c>
      <c r="AC6" s="1791"/>
      <c r="AD6" s="1790">
        <f>ROUND(AVERAGE(I6:I$25)/100,4)</f>
        <v>2.24E-2</v>
      </c>
      <c r="AE6" s="1790">
        <f>ROUND(AVERAGE(J6:J$25)/100,4)</f>
        <v>1.5800000000000002E-2</v>
      </c>
      <c r="AF6" s="1790">
        <f t="shared" ref="AF6" si="21">AE6</f>
        <v>1.5800000000000002E-2</v>
      </c>
      <c r="AG6" s="1790">
        <f>ROUND(AVERAGE(K6:K$25)/100,4)</f>
        <v>2.4500000000000001E-2</v>
      </c>
      <c r="AH6" s="1790">
        <f>ROUND(AVERAGE(L6:L$25)/100,4)</f>
        <v>1.49E-2</v>
      </c>
    </row>
    <row r="7" spans="1:34" s="1467" customFormat="1" ht="14.45" customHeight="1">
      <c r="A7" s="1462" t="s">
        <v>3045</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92"/>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7" customFormat="1" ht="14.45" customHeight="1">
      <c r="A8" s="1462" t="s">
        <v>3044</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92"/>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7" customFormat="1" ht="15" customHeight="1" thickBot="1">
      <c r="A9" s="1462" t="s">
        <v>3037</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99"/>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2" t="s">
        <v>3034</v>
      </c>
      <c r="B10" s="1470">
        <v>439</v>
      </c>
      <c r="C10" s="1470">
        <v>327</v>
      </c>
      <c r="D10" s="1470">
        <f>C10</f>
        <v>327</v>
      </c>
      <c r="E10" s="1470">
        <v>627</v>
      </c>
      <c r="F10" s="1471">
        <v>283</v>
      </c>
      <c r="G10" s="3295">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3035</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92"/>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92"/>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4"/>
      <c r="AD12" s="1790">
        <f>ROUND(AVERAGE(I12:I$25)/100,4)</f>
        <v>2.46E-2</v>
      </c>
      <c r="AE12" s="1790">
        <f>ROUND(AVERAGE(J12:J$25)/100,4)</f>
        <v>1.6E-2</v>
      </c>
      <c r="AF12" s="1790">
        <f t="shared" si="1"/>
        <v>1.6E-2</v>
      </c>
      <c r="AG12" s="1790">
        <f>ROUND(AVERAGE(K12:K$25)/100,4)</f>
        <v>2.75E-2</v>
      </c>
      <c r="AH12" s="1790">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99"/>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2" t="s">
        <v>154</v>
      </c>
      <c r="B14" s="1470">
        <v>392</v>
      </c>
      <c r="C14" s="1470">
        <v>302</v>
      </c>
      <c r="D14" s="1470">
        <f>C14</f>
        <v>302</v>
      </c>
      <c r="E14" s="1470">
        <v>553</v>
      </c>
      <c r="F14" s="1471">
        <v>266</v>
      </c>
      <c r="G14" s="3295">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92"/>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92"/>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93"/>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91">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92"/>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92"/>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93"/>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91">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92"/>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92"/>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93"/>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96">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97"/>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97"/>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98"/>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91">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92"/>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92"/>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93"/>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91">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92">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92">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93">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91">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92">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92">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93">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91">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92">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92">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93">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91">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92">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92">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93">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91">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92">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92">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93">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91">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92">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92">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93">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91">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92">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92">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93">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91">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92">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92">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93">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91">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92">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92">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93">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91">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92">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92">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93">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2"/>
      <c r="B4" s="2985" t="s">
        <v>1626</v>
      </c>
      <c r="C4" s="2985"/>
      <c r="D4" s="2985"/>
      <c r="E4" s="1962"/>
    </row>
    <row r="5" spans="1:5" ht="16.5" thickTop="1">
      <c r="A5" s="1960"/>
      <c r="B5" s="2983" t="s">
        <v>1618</v>
      </c>
      <c r="C5" s="1963" t="s">
        <v>1619</v>
      </c>
      <c r="D5" s="1041">
        <f ca="1">结果表!H101</f>
        <v>82110</v>
      </c>
      <c r="E5" s="1960"/>
    </row>
    <row r="6" spans="1:5" ht="15.75">
      <c r="A6" s="1960"/>
      <c r="B6" s="2983"/>
      <c r="C6" s="1963" t="s">
        <v>1620</v>
      </c>
      <c r="D6" s="1041" t="str">
        <f ca="1">NUMBERSTRING(INT(D5*10000),2)&amp;"元整"</f>
        <v>捌亿贰仟壹佰壹拾万元整</v>
      </c>
      <c r="E6" s="1960"/>
    </row>
    <row r="7" spans="1:5" ht="15.75">
      <c r="A7" s="1960"/>
      <c r="B7" s="2988"/>
      <c r="C7" s="1964" t="s">
        <v>1621</v>
      </c>
      <c r="D7" s="1042">
        <f ca="1">结果表!H102</f>
        <v>8999</v>
      </c>
      <c r="E7" s="1960"/>
    </row>
    <row r="8" spans="1:5" ht="15.75">
      <c r="A8" s="1960"/>
      <c r="B8" s="2989" t="str">
        <f>结果表!E103</f>
        <v>2.估价师知悉的法定优先受偿款</v>
      </c>
      <c r="C8" s="1965" t="s">
        <v>1622</v>
      </c>
      <c r="D8" s="1042">
        <f>结果表!H103</f>
        <v>0</v>
      </c>
      <c r="E8" s="1960"/>
    </row>
    <row r="9" spans="1:5" ht="15.75">
      <c r="A9" s="1960"/>
      <c r="B9" s="2991"/>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2982" t="str">
        <f>结果表!E107</f>
        <v>3.房地产抵押价值</v>
      </c>
      <c r="C13" s="1968" t="s">
        <v>1619</v>
      </c>
      <c r="D13" s="1044">
        <f ca="1">结果表!H107</f>
        <v>82110</v>
      </c>
      <c r="E13" s="1960"/>
    </row>
    <row r="14" spans="1:5" ht="15.75">
      <c r="A14" s="1960"/>
      <c r="B14" s="2983"/>
      <c r="C14" s="1963" t="s">
        <v>1620</v>
      </c>
      <c r="D14" s="1041" t="str">
        <f ca="1">NUMBERSTRING(INT(D13*10000),2)&amp;"元整"</f>
        <v>捌亿贰仟壹佰壹拾万元整</v>
      </c>
      <c r="E14" s="1960"/>
    </row>
    <row r="15" spans="1:5" ht="15">
      <c r="A15" s="1960"/>
      <c r="B15" s="2988"/>
      <c r="C15" s="1964" t="s">
        <v>1630</v>
      </c>
      <c r="D15" s="1053">
        <f ca="1">结果表!H108</f>
        <v>8999</v>
      </c>
      <c r="E15" s="1960"/>
    </row>
    <row r="16" spans="1:5" ht="15">
      <c r="A16" s="1960"/>
      <c r="B16" s="2989" t="str">
        <f>结果表!E109</f>
        <v>——</v>
      </c>
      <c r="C16" s="1968" t="s">
        <v>1631</v>
      </c>
      <c r="D16" s="1969" t="str">
        <f>结果表!H109</f>
        <v>——</v>
      </c>
      <c r="E16" s="1960"/>
    </row>
    <row r="17" spans="1:5" ht="15.75">
      <c r="A17" s="1960"/>
      <c r="B17" s="2990"/>
      <c r="C17" s="1963" t="s">
        <v>1632</v>
      </c>
      <c r="D17" s="1041" t="e">
        <f>NUMBERSTRING(INT(D16*10000),2)&amp;"元整"</f>
        <v>#VALUE!</v>
      </c>
      <c r="E17" s="1960"/>
    </row>
    <row r="18" spans="1:5" ht="15">
      <c r="A18" s="1960"/>
      <c r="B18" s="2991"/>
      <c r="C18" s="1964" t="s">
        <v>1621</v>
      </c>
      <c r="D18" s="1053" t="str">
        <f>结果表!H110</f>
        <v>——</v>
      </c>
      <c r="E18" s="1960"/>
    </row>
    <row r="19" spans="1:5" ht="15.75">
      <c r="A19" s="1960"/>
      <c r="B19" s="2982" t="str">
        <f>结果表!E111</f>
        <v>——</v>
      </c>
      <c r="C19" s="1968" t="s">
        <v>1619</v>
      </c>
      <c r="D19" s="1042" t="str">
        <f>结果表!H111</f>
        <v>——</v>
      </c>
      <c r="E19" s="1960"/>
    </row>
    <row r="20" spans="1:5" ht="15.75">
      <c r="A20" s="1960"/>
      <c r="B20" s="2983"/>
      <c r="C20" s="1963" t="s">
        <v>1632</v>
      </c>
      <c r="D20" s="1041" t="e">
        <f>NUMBERSTRING(INT(D19*10000),2)&amp;"元整"</f>
        <v>#VALUE!</v>
      </c>
      <c r="E20" s="1960"/>
    </row>
    <row r="21" spans="1:5" ht="15.75" thickBot="1">
      <c r="A21" s="1960"/>
      <c r="B21" s="2984"/>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5" t="s">
        <v>3005</v>
      </c>
      <c r="C1" s="3301" t="s">
        <v>3006</v>
      </c>
      <c r="D1" s="3302"/>
      <c r="E1" s="3302"/>
      <c r="F1" s="3302"/>
      <c r="G1" s="3302"/>
      <c r="H1" s="3302"/>
      <c r="I1" s="3302"/>
      <c r="J1" s="3302"/>
      <c r="K1" s="3302"/>
      <c r="L1" s="3302"/>
      <c r="M1" s="3302"/>
      <c r="N1" s="3302"/>
      <c r="O1" s="3302"/>
      <c r="P1" s="3302"/>
      <c r="Q1" s="3302"/>
      <c r="R1" s="3302"/>
      <c r="S1" s="3303"/>
      <c r="T1" s="1205" t="s">
        <v>3007</v>
      </c>
    </row>
    <row r="2" spans="1:45" s="705" customFormat="1">
      <c r="A2" s="1206"/>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70" t="s">
        <v>3009</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1" t="s">
        <v>3010</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1" t="s">
        <v>3011</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0"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70"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3015</v>
      </c>
      <c r="B17" s="2920"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21" t="s">
        <v>3017</v>
      </c>
      <c r="E19" s="1793"/>
      <c r="F19" s="1793"/>
      <c r="G19" s="1793"/>
      <c r="H19" s="1281"/>
      <c r="I19" s="167"/>
      <c r="J19" s="167"/>
      <c r="K19" s="167"/>
      <c r="L19" s="167"/>
      <c r="M19" s="167"/>
      <c r="N19" s="167"/>
      <c r="O19" s="167"/>
      <c r="P19" s="167"/>
      <c r="Q19" s="167"/>
      <c r="R19" s="786"/>
      <c r="S19" s="137"/>
    </row>
    <row r="20" spans="1:45" ht="16.5" thickBot="1">
      <c r="A20" s="713" t="s">
        <v>3018</v>
      </c>
      <c r="B20" s="337" t="e">
        <f ca="1">IF(D20="——",S22,S22-F20)</f>
        <v>#REF!</v>
      </c>
      <c r="C20" s="167"/>
      <c r="D20" s="2922" t="s">
        <v>3019</v>
      </c>
      <c r="E20" s="1794"/>
      <c r="F20" s="1205" t="e">
        <f ca="1">SUMIF(INDIRECT("'"&amp;H20&amp;"'"&amp;"!A:A"),"承租人权益价值",INDIRECT("'"&amp;H20&amp;"'"&amp;"!c:c"))</f>
        <v>#REF!</v>
      </c>
      <c r="G20" s="1205" t="s">
        <v>3020</v>
      </c>
      <c r="H20" s="2923"/>
      <c r="I20" s="167"/>
      <c r="J20" s="167"/>
      <c r="K20" s="167"/>
      <c r="L20" s="167"/>
      <c r="M20" s="167"/>
      <c r="N20" s="167"/>
      <c r="O20" s="167"/>
      <c r="P20" s="167"/>
      <c r="Q20" s="167"/>
      <c r="R20" s="786"/>
      <c r="S20" s="137"/>
    </row>
    <row r="21" spans="1:45" ht="15.75">
      <c r="A21" s="713" t="s">
        <v>3021</v>
      </c>
      <c r="B21" s="337">
        <f>R22</f>
        <v>10000</v>
      </c>
      <c r="C21" s="167"/>
      <c r="D21" s="167"/>
      <c r="E21" s="167"/>
      <c r="F21" s="167"/>
      <c r="G21" s="167"/>
      <c r="H21" s="167"/>
      <c r="I21" s="167"/>
      <c r="J21" s="167"/>
      <c r="K21" s="167"/>
      <c r="L21" s="167"/>
      <c r="M21" s="167"/>
      <c r="N21" s="167"/>
      <c r="O21" s="167"/>
      <c r="P21" s="167"/>
      <c r="Q21" s="167"/>
      <c r="R21" s="786"/>
      <c r="S21" s="137"/>
    </row>
    <row r="22" spans="1:45">
      <c r="A22" s="360" t="s">
        <v>3022</v>
      </c>
      <c r="B22" s="23">
        <f>SUM(B24:B10000)</f>
        <v>100</v>
      </c>
      <c r="C22" s="3063" t="s">
        <v>33</v>
      </c>
      <c r="D22" s="3064"/>
      <c r="E22" s="3064"/>
      <c r="F22" s="3064"/>
      <c r="G22" s="3064"/>
      <c r="H22" s="3064"/>
      <c r="I22" s="3064"/>
      <c r="J22" s="3064"/>
      <c r="K22" s="3064"/>
      <c r="L22" s="3064"/>
      <c r="M22" s="3064"/>
      <c r="N22" s="3064"/>
      <c r="O22" s="3064"/>
      <c r="P22" s="3064"/>
      <c r="Q22" s="3300"/>
      <c r="R22" s="714">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60">
        <f t="shared" si="11"/>
        <v>0</v>
      </c>
    </row>
    <row r="26" spans="1:45">
      <c r="A26" s="158"/>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60">
        <f t="shared" si="11"/>
        <v>0</v>
      </c>
    </row>
    <row r="27" spans="1:45">
      <c r="A27" s="158"/>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60">
        <f t="shared" si="11"/>
        <v>0</v>
      </c>
    </row>
    <row r="28" spans="1:45">
      <c r="A28" s="158"/>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60">
        <f t="shared" si="11"/>
        <v>0</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29476</v>
      </c>
      <c r="C2" s="2" t="s">
        <v>133</v>
      </c>
      <c r="D2" s="242"/>
      <c r="E2" s="242"/>
      <c r="F2" s="242"/>
      <c r="G2" s="242"/>
    </row>
    <row r="3" spans="1:7" s="243" customFormat="1" ht="18" customHeight="1" thickBot="1">
      <c r="A3" s="246" t="s">
        <v>85</v>
      </c>
      <c r="B3" s="247">
        <f ca="1">ROUND(B2*10000/'数据-汇总表'!E3,0)</f>
        <v>3231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1145</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1825</v>
      </c>
      <c r="D10" s="1033">
        <f>'数据-汇总表'!E6</f>
        <v>91239.85</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1052</v>
      </c>
      <c r="B19" s="253" t="s">
        <v>111</v>
      </c>
      <c r="C19" s="254">
        <f>IF(G19="已包含在土地取得成本中","0",ROUND(D19*E19/10000,0))</f>
        <v>1825</v>
      </c>
      <c r="D19" s="1037">
        <f>'数据-汇总表'!E3</f>
        <v>91239.85</v>
      </c>
      <c r="E19" s="254">
        <f>'数据-取费表'!B31</f>
        <v>200</v>
      </c>
      <c r="F19" s="274"/>
      <c r="G19" s="1" t="s">
        <v>1071</v>
      </c>
    </row>
    <row r="20" spans="1:7" s="257" customFormat="1" ht="13.5" customHeight="1">
      <c r="A20" s="949" t="s">
        <v>1054</v>
      </c>
      <c r="B20" s="253" t="s">
        <v>104</v>
      </c>
      <c r="C20" s="275">
        <f>ROUND((C5+C19)*F20,0)</f>
        <v>449</v>
      </c>
      <c r="D20" s="275"/>
      <c r="E20" s="275"/>
      <c r="F20" s="276">
        <f>'数据-取费表'!B37</f>
        <v>0.02</v>
      </c>
      <c r="G20" s="1290" t="s">
        <v>1065</v>
      </c>
    </row>
    <row r="21" spans="1:7" s="257" customFormat="1" ht="13.5" customHeight="1">
      <c r="A21" s="949" t="s">
        <v>1056</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532</v>
      </c>
      <c r="D22" s="278">
        <f ca="1">C26</f>
        <v>2.0000000000000001E-4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1058</v>
      </c>
      <c r="C23" s="1356">
        <f ca="1">ROUND(IF('数据-取费表'!B22&lt;=1,C5*F22*'数据-取费表'!B23,C5*(POWER((1+F22),'数据-取费表'!B23)-1)),0)</f>
        <v>484</v>
      </c>
      <c r="D23" s="281"/>
      <c r="E23" s="281"/>
      <c r="F23" s="282"/>
      <c r="G23" s="283" t="s">
        <v>108</v>
      </c>
    </row>
    <row r="24" spans="1:7" s="257" customFormat="1" ht="13.5" customHeight="1">
      <c r="A24" s="952" t="s">
        <v>792</v>
      </c>
      <c r="B24" s="258" t="s">
        <v>1053</v>
      </c>
      <c r="C24" s="1356">
        <f ca="1">ROUND(IF('数据-取费表'!B22&lt;=1,C19*F22*('数据-取费表'!B19/2+'数据-取费表'!B21),C19*(POWER((1+F22),('数据-取费表'!B19/2+'数据-取费表'!B21))-1)),0)</f>
        <v>43</v>
      </c>
      <c r="D24" s="281"/>
      <c r="E24" s="281"/>
      <c r="F24" s="282"/>
      <c r="G24" s="283" t="s">
        <v>109</v>
      </c>
    </row>
    <row r="25" spans="1:7" s="257" customFormat="1" ht="24">
      <c r="A25" s="952" t="s">
        <v>793</v>
      </c>
      <c r="B25" s="258" t="s">
        <v>1055</v>
      </c>
      <c r="C25" s="1356">
        <f ca="1">ROUND(IF('数据-取费表'!B22&lt;=1,C20*F22*'数据-取费表'!B23/2,C20*(POWER((1+F22),'数据-取费表'!B23/2)-1)),0)</f>
        <v>5</v>
      </c>
      <c r="D25" s="281"/>
      <c r="E25" s="284"/>
      <c r="F25" s="282"/>
      <c r="G25" s="285" t="s">
        <v>110</v>
      </c>
    </row>
    <row r="26" spans="1:7" s="257" customFormat="1">
      <c r="A26" s="952" t="s">
        <v>795</v>
      </c>
      <c r="B26" s="258" t="s">
        <v>1057</v>
      </c>
      <c r="C26" s="281">
        <f ca="1">ROUND(IF('数据-取费表'!B22&lt;=1,F21*F22*'数据-取费表'!B23/2,F21*(POWER((1+F22),'数据-取费表'!B23/2)-1)),4)</f>
        <v>2.0000000000000001E-4</v>
      </c>
      <c r="D26" s="281"/>
      <c r="E26" s="284"/>
      <c r="F26" s="282"/>
      <c r="G26" s="286"/>
    </row>
    <row r="27" spans="1:7" s="257" customFormat="1" ht="24.75">
      <c r="A27" s="949" t="s">
        <v>787</v>
      </c>
      <c r="B27" s="287" t="s">
        <v>112</v>
      </c>
      <c r="C27" s="288">
        <f>C28</f>
        <v>1030</v>
      </c>
      <c r="D27" s="278">
        <f>C29</f>
        <v>8.9999999999999998E-4</v>
      </c>
      <c r="E27" s="279" t="s">
        <v>126</v>
      </c>
      <c r="F27" s="289">
        <f>'数据-取费表'!Q16</f>
        <v>0.18</v>
      </c>
      <c r="G27" s="290" t="s">
        <v>1066</v>
      </c>
    </row>
    <row r="28" spans="1:7" s="257" customFormat="1" ht="13.5" customHeight="1">
      <c r="A28" s="952" t="s">
        <v>794</v>
      </c>
      <c r="B28" s="291" t="s">
        <v>1059</v>
      </c>
      <c r="C28" s="292">
        <f>ROUND((C5+C19+C20)*F27*'数据-取费表'!B21/'数据-取费表'!B20,0)</f>
        <v>1030</v>
      </c>
      <c r="D28" s="278"/>
      <c r="E28" s="279"/>
      <c r="F28" s="289"/>
      <c r="G28" s="290"/>
    </row>
    <row r="29" spans="1:7" s="257" customFormat="1" ht="13.5" customHeight="1">
      <c r="A29" s="952" t="s">
        <v>792</v>
      </c>
      <c r="B29" s="291" t="s">
        <v>1060</v>
      </c>
      <c r="C29" s="281">
        <f>ROUND(C21*F27*'数据-取费表'!B21/'数据-取费表'!B20,4)</f>
        <v>8.9999999999999998E-4</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26412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2326</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2139</v>
      </c>
      <c r="D34" s="260"/>
      <c r="E34" s="263"/>
      <c r="F34" s="300">
        <f>IF('数据-取费表'!B24=0,1,'数据-取费表'!N16)</f>
        <v>0.05</v>
      </c>
      <c r="G34" s="262" t="s">
        <v>116</v>
      </c>
    </row>
    <row r="35" spans="1:7" ht="13.5" customHeight="1">
      <c r="A35" s="952" t="s">
        <v>796</v>
      </c>
      <c r="B35" s="258" t="s">
        <v>60</v>
      </c>
      <c r="C35" s="263">
        <f>ROUND(C34*F35,0)</f>
        <v>64</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91</v>
      </c>
      <c r="D37" s="260">
        <f>'数据-汇总表'!E3</f>
        <v>91239.85</v>
      </c>
      <c r="E37" s="292">
        <f>'数据-取费表'!B35</f>
        <v>200</v>
      </c>
      <c r="F37" s="302"/>
      <c r="G37" s="304" t="s">
        <v>119</v>
      </c>
    </row>
    <row r="38" spans="1:7" ht="13.5" customHeight="1">
      <c r="A38" s="952" t="s">
        <v>799</v>
      </c>
      <c r="B38" s="258" t="s">
        <v>63</v>
      </c>
      <c r="C38" s="263">
        <f>ROUND(C34*F38,0)</f>
        <v>32</v>
      </c>
      <c r="D38" s="263"/>
      <c r="E38" s="263"/>
      <c r="F38" s="302">
        <f>'数据-取费表'!B36</f>
        <v>1.4999999999999999E-2</v>
      </c>
      <c r="G38" s="262" t="s">
        <v>117</v>
      </c>
    </row>
    <row r="39" spans="1:7" s="257" customFormat="1" ht="13.5" customHeight="1">
      <c r="A39" s="949" t="s">
        <v>783</v>
      </c>
      <c r="B39" s="253" t="s">
        <v>104</v>
      </c>
      <c r="C39" s="275">
        <f>ROUND(C33*F20,0)</f>
        <v>47</v>
      </c>
      <c r="D39" s="275"/>
      <c r="E39" s="275"/>
      <c r="F39" s="276"/>
      <c r="G39" s="1290" t="s">
        <v>1068</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28</v>
      </c>
      <c r="D41" s="278">
        <f ca="1">C44</f>
        <v>2.0000000000000001E-4</v>
      </c>
      <c r="E41" s="279" t="s">
        <v>129</v>
      </c>
      <c r="F41" s="280"/>
      <c r="G41" s="1290" t="str">
        <f>IF('数据-取费表'!B22&lt;=1,"单利计息","复利计息")</f>
        <v>复利计息</v>
      </c>
    </row>
    <row r="42" spans="1:7" ht="13.5" customHeight="1">
      <c r="A42" s="952" t="s">
        <v>794</v>
      </c>
      <c r="B42" s="258" t="s">
        <v>1058</v>
      </c>
      <c r="C42" s="281">
        <f ca="1">ROUND(IF('数据-取费表'!B22&lt;=1,C33*F22*'数据-取费表'!B21/2,C33*(POWER((1+F22),'数据-取费表'!B21/2)-1)),0)</f>
        <v>27</v>
      </c>
      <c r="D42" s="281"/>
      <c r="E42" s="281"/>
      <c r="F42" s="282"/>
      <c r="G42" s="3167" t="s">
        <v>121</v>
      </c>
    </row>
    <row r="43" spans="1:7" ht="13.5" customHeight="1">
      <c r="A43" s="952" t="s">
        <v>792</v>
      </c>
      <c r="B43" s="258" t="s">
        <v>1061</v>
      </c>
      <c r="C43" s="281">
        <f ca="1">ROUND(IF('数据-取费表'!B22&lt;=1,C39*F22*'数据-取费表'!B21/2,C39*(POWER((1+F22),'数据-取费表'!B21/2)-1)),0)</f>
        <v>1</v>
      </c>
      <c r="D43" s="281"/>
      <c r="E43" s="281"/>
      <c r="F43" s="282"/>
      <c r="G43" s="3168"/>
    </row>
    <row r="44" spans="1:7" ht="13.5" customHeight="1">
      <c r="A44" s="952" t="s">
        <v>793</v>
      </c>
      <c r="B44" s="258" t="s">
        <v>1063</v>
      </c>
      <c r="C44" s="281">
        <f ca="1">ROUND(IF('数据-取费表'!B22&lt;=1,C40*F22*'数据-取费表'!B21/2,C40*(POWER((1+F22),'数据-取费表'!B21/2)-1)),4)</f>
        <v>2.0000000000000001E-4</v>
      </c>
      <c r="D44" s="281"/>
      <c r="E44" s="281"/>
      <c r="F44" s="282"/>
      <c r="G44" s="3169"/>
    </row>
    <row r="45" spans="1:7" s="257" customFormat="1" ht="13.5" customHeight="1">
      <c r="A45" s="949" t="s">
        <v>786</v>
      </c>
      <c r="B45" s="287" t="s">
        <v>112</v>
      </c>
      <c r="C45" s="288">
        <f>C46</f>
        <v>427</v>
      </c>
      <c r="D45" s="278">
        <f>C47</f>
        <v>3.5999999999999999E-3</v>
      </c>
      <c r="E45" s="279" t="s">
        <v>129</v>
      </c>
      <c r="F45" s="289"/>
      <c r="G45" s="290" t="s">
        <v>1069</v>
      </c>
    </row>
    <row r="46" spans="1:7" s="257" customFormat="1" ht="13.5" customHeight="1">
      <c r="A46" s="952" t="s">
        <v>794</v>
      </c>
      <c r="B46" s="291" t="s">
        <v>1062</v>
      </c>
      <c r="C46" s="292">
        <f>ROUND((C33+C39)*F27,0)</f>
        <v>427</v>
      </c>
      <c r="D46" s="306"/>
      <c r="E46" s="279"/>
      <c r="F46" s="289"/>
      <c r="G46" s="290"/>
    </row>
    <row r="47" spans="1:7" s="257" customFormat="1" ht="13.5" customHeight="1">
      <c r="A47" s="952" t="s">
        <v>792</v>
      </c>
      <c r="B47" s="291" t="s">
        <v>1064</v>
      </c>
      <c r="C47" s="281">
        <f>ROUND(C40*F27,4)</f>
        <v>3.5999999999999999E-3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3064</v>
      </c>
      <c r="D49" s="275"/>
      <c r="E49" s="275"/>
      <c r="F49" s="307"/>
      <c r="G49" s="277" t="s">
        <v>1070</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3064</v>
      </c>
      <c r="D51" s="275"/>
      <c r="E51" s="275"/>
      <c r="F51" s="307"/>
      <c r="G51" s="277" t="s">
        <v>64</v>
      </c>
    </row>
    <row r="52" spans="1:7" s="251" customFormat="1" ht="16.5" thickBot="1">
      <c r="A52" s="308" t="s">
        <v>65</v>
      </c>
      <c r="B52" s="309"/>
      <c r="C52" s="310">
        <f ca="1">C31+C51</f>
        <v>29476</v>
      </c>
      <c r="D52" s="309"/>
      <c r="E52" s="309"/>
      <c r="F52" s="309"/>
      <c r="G52" s="311"/>
    </row>
    <row r="55" spans="1:7" ht="15">
      <c r="B55" s="313" t="s">
        <v>66</v>
      </c>
      <c r="C55" s="314"/>
    </row>
    <row r="56" spans="1:7">
      <c r="B56" s="316" t="s">
        <v>67</v>
      </c>
      <c r="C56" s="317">
        <f ca="1">ROUND(C51/C52,3)</f>
        <v>0.104</v>
      </c>
    </row>
    <row r="57" spans="1:7">
      <c r="B57" s="316" t="s">
        <v>68</v>
      </c>
      <c r="C57" s="318">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4" t="s">
        <v>156</v>
      </c>
      <c r="B1" s="3304"/>
      <c r="C1" s="3304"/>
      <c r="D1" s="3304"/>
      <c r="E1" s="3304"/>
      <c r="F1" s="330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5" t="s">
        <v>169</v>
      </c>
      <c r="B2" s="3305"/>
      <c r="C2" s="3305"/>
      <c r="D2" s="3305"/>
      <c r="E2" s="3305"/>
      <c r="F2" s="330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4" t="s">
        <v>868</v>
      </c>
      <c r="B1" s="3304"/>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43546</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topLeftCell="A61" workbookViewId="0">
      <selection activeCell="O28" sqref="O28"/>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A1"/>
  <sheetViews>
    <sheetView topLeftCell="C25" workbookViewId="0">
      <selection activeCell="I29" sqref="I2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1637</v>
      </c>
      <c r="B2" s="2993" t="s">
        <v>1638</v>
      </c>
      <c r="C2" s="2993" t="s">
        <v>1639</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5" t="s">
        <v>1634</v>
      </c>
      <c r="E3" s="1045" t="s">
        <v>1640</v>
      </c>
      <c r="F3" s="1045" t="s">
        <v>1634</v>
      </c>
      <c r="G3" s="1045" t="s">
        <v>1635</v>
      </c>
      <c r="H3" s="1045" t="s">
        <v>1634</v>
      </c>
      <c r="I3" s="1045" t="s">
        <v>1635</v>
      </c>
    </row>
    <row r="4" spans="1:9" ht="30">
      <c r="A4" s="1974" t="str">
        <f>项目基本情况!S2</f>
        <v>上海出让国有建设用地使用权及在建建筑物房地产</v>
      </c>
      <c r="B4" s="1045">
        <f>项目基本情况!C17</f>
        <v>91239.85</v>
      </c>
      <c r="C4" s="1045">
        <f>项目基本情况!C18</f>
        <v>40235</v>
      </c>
      <c r="D4" s="1045" t="e">
        <f ca="1">结果表!D118</f>
        <v>#REF!</v>
      </c>
      <c r="E4" s="1045" t="e">
        <f ca="1">结果表!E118</f>
        <v>#REF!</v>
      </c>
      <c r="F4" s="1045" t="e">
        <f ca="1">结果表!F118</f>
        <v>#REF!</v>
      </c>
      <c r="G4" s="1045" t="e">
        <f ca="1">结果表!G118</f>
        <v>#REF!</v>
      </c>
      <c r="H4" s="1045">
        <f ca="1">结果表!H118</f>
        <v>82110</v>
      </c>
      <c r="I4" s="1045">
        <f ca="1">结果表!I118</f>
        <v>8999</v>
      </c>
    </row>
    <row r="5" spans="1:9" ht="30" customHeight="1">
      <c r="A5" s="2994" t="s">
        <v>1636</v>
      </c>
      <c r="B5" s="2994"/>
      <c r="C5" s="2994"/>
      <c r="D5" s="2995" t="e">
        <f ca="1">结果表!D119</f>
        <v>#REF!</v>
      </c>
      <c r="E5" s="2995"/>
      <c r="F5" s="2995" t="e">
        <f ca="1">结果表!F119</f>
        <v>#REF!</v>
      </c>
      <c r="G5" s="2995"/>
      <c r="H5" s="2995" t="str">
        <f ca="1">结果表!H119</f>
        <v>捌亿贰仟壹佰壹拾万元整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1636</v>
      </c>
      <c r="B7" s="2994"/>
      <c r="C7" s="2994"/>
      <c r="D7" s="2997" t="str">
        <f>结果表!D121</f>
        <v>零元整</v>
      </c>
      <c r="E7" s="2998"/>
      <c r="F7" s="2998"/>
      <c r="G7" s="2998"/>
      <c r="H7" s="2998"/>
      <c r="I7" s="2999"/>
    </row>
    <row r="8" spans="1:9" ht="15.75">
      <c r="A8" s="2996" t="str">
        <f>结果表!A122</f>
        <v>房地产抵押价值</v>
      </c>
      <c r="B8" s="2996"/>
      <c r="C8" s="2996"/>
      <c r="D8" s="2996">
        <f ca="1">结果表!D122</f>
        <v>82110</v>
      </c>
      <c r="E8" s="2996"/>
      <c r="F8" s="2996"/>
      <c r="G8" s="2996"/>
      <c r="H8" s="2996"/>
      <c r="I8" s="2996"/>
    </row>
    <row r="9" spans="1:9" ht="15">
      <c r="A9" s="2994" t="s">
        <v>1636</v>
      </c>
      <c r="B9" s="2994"/>
      <c r="C9" s="2994"/>
      <c r="D9" s="2995" t="str">
        <f ca="1">结果表!D123</f>
        <v>捌亿贰仟壹佰壹拾万元整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1636</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1636</v>
      </c>
      <c r="B13" s="3000"/>
      <c r="C13" s="3000"/>
      <c r="D13" s="3001" t="e">
        <f>结果表!D127</f>
        <v>#VALUE!</v>
      </c>
      <c r="E13" s="3001"/>
      <c r="F13" s="3001"/>
      <c r="G13" s="3001"/>
      <c r="H13" s="3001"/>
      <c r="I13" s="3001"/>
    </row>
    <row r="14" spans="1:9" ht="15" thickTop="1">
      <c r="A14" s="3002" t="s">
        <v>1641</v>
      </c>
      <c r="B14" s="3002"/>
      <c r="C14" s="3002"/>
      <c r="D14" s="3002"/>
      <c r="E14" s="3002"/>
      <c r="F14" s="3002"/>
      <c r="G14" s="3002"/>
      <c r="H14" s="3002"/>
      <c r="I14" s="3002"/>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03" t="s">
        <v>1658</v>
      </c>
      <c r="B1" s="3003"/>
      <c r="C1" s="3003"/>
      <c r="D1" s="3003"/>
    </row>
    <row r="2" spans="1:4" ht="18">
      <c r="A2" s="3004" t="s">
        <v>1642</v>
      </c>
      <c r="B2" s="3004"/>
      <c r="C2" s="3004"/>
      <c r="D2" s="3004"/>
    </row>
    <row r="3" spans="1:4" ht="18.75">
      <c r="A3" s="1978" t="s">
        <v>1643</v>
      </c>
      <c r="B3" s="1978" t="s">
        <v>1644</v>
      </c>
      <c r="C3" s="1978" t="s">
        <v>1645</v>
      </c>
      <c r="D3" s="1978" t="s">
        <v>1646</v>
      </c>
    </row>
    <row r="4" spans="1:4" ht="56.25" customHeight="1">
      <c r="A4" s="1979" t="str">
        <f>项目基本情况!B4</f>
        <v>叶凌</v>
      </c>
      <c r="B4" s="1980">
        <f ca="1">项目基本情况!C4</f>
        <v>1119970111</v>
      </c>
      <c r="C4" s="1981"/>
      <c r="D4" s="1982" t="s">
        <v>1647</v>
      </c>
    </row>
    <row r="5" spans="1:4" ht="56.25" customHeight="1">
      <c r="A5" s="1979" t="str">
        <f>项目基本情况!D4</f>
        <v>杨红英</v>
      </c>
      <c r="B5" s="1980">
        <f ca="1">项目基本情况!E4</f>
        <v>1120070085</v>
      </c>
      <c r="C5" s="1983"/>
      <c r="D5" s="1982" t="s">
        <v>1647</v>
      </c>
    </row>
    <row r="6" spans="1:4" ht="18">
      <c r="A6" s="3004" t="s">
        <v>1648</v>
      </c>
      <c r="B6" s="3004"/>
      <c r="C6" s="3004"/>
      <c r="D6" s="3004"/>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3005" t="s">
        <v>1651</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9" t="s">
        <v>1652</v>
      </c>
      <c r="B16" s="3009"/>
      <c r="C16" s="3009"/>
      <c r="D16" s="3009"/>
    </row>
    <row r="17" spans="1:4" ht="144" customHeight="1">
      <c r="A17" s="3009" t="s">
        <v>1653</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1654</v>
      </c>
      <c r="B22" s="3011"/>
      <c r="C22" s="3011"/>
      <c r="D22" s="3011"/>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7" t="s">
        <v>1665</v>
      </c>
      <c r="B15" s="3012" t="s">
        <v>136</v>
      </c>
      <c r="C15" s="3013"/>
    </row>
    <row r="16" spans="1:7" ht="13.5">
      <c r="A16" s="3018"/>
      <c r="B16" s="3012" t="s">
        <v>69</v>
      </c>
      <c r="C16" s="3013"/>
    </row>
    <row r="17" spans="1:3" ht="13.5">
      <c r="A17" s="3018"/>
      <c r="B17" s="3015" t="s">
        <v>1666</v>
      </c>
      <c r="C17" s="2001" t="s">
        <v>1665</v>
      </c>
    </row>
    <row r="18" spans="1:3" ht="13.5">
      <c r="A18" s="3018"/>
      <c r="B18" s="3015"/>
      <c r="C18" s="2001" t="s">
        <v>1667</v>
      </c>
    </row>
    <row r="19" spans="1:3" ht="13.5">
      <c r="A19" s="3018"/>
      <c r="B19" s="3015"/>
      <c r="C19" s="2001" t="s">
        <v>1668</v>
      </c>
    </row>
    <row r="20" spans="1:3" ht="13.5">
      <c r="A20" s="3019"/>
      <c r="B20" s="3014" t="s">
        <v>1669</v>
      </c>
      <c r="C20" s="3013"/>
    </row>
    <row r="21" spans="1:3" ht="13.5">
      <c r="A21" s="2002" t="s">
        <v>1670</v>
      </c>
      <c r="B21" s="2003"/>
      <c r="C21" s="2004"/>
    </row>
    <row r="22" spans="1:3" ht="13.5">
      <c r="A22" s="3016" t="s">
        <v>1671</v>
      </c>
      <c r="B22" s="3014" t="s">
        <v>1672</v>
      </c>
      <c r="C22" s="3013"/>
    </row>
    <row r="23" spans="1:3" ht="13.5">
      <c r="A23" s="3016"/>
      <c r="B23" s="3014" t="s">
        <v>1673</v>
      </c>
      <c r="C23" s="3013"/>
    </row>
    <row r="24" spans="1:3" ht="13.5">
      <c r="A24" s="3016"/>
      <c r="B24" s="3014" t="s">
        <v>1674</v>
      </c>
      <c r="C24" s="3013"/>
    </row>
    <row r="25" spans="1:3" ht="13.5">
      <c r="A25" s="3016"/>
      <c r="B25" s="3015" t="s">
        <v>1675</v>
      </c>
      <c r="C25" s="2001" t="s">
        <v>1676</v>
      </c>
    </row>
    <row r="26" spans="1:3" ht="13.5">
      <c r="A26" s="3016"/>
      <c r="B26" s="3015"/>
      <c r="C26" s="2001" t="s">
        <v>1677</v>
      </c>
    </row>
    <row r="27" spans="1:3" ht="13.5">
      <c r="A27" s="3016"/>
      <c r="B27" s="3015"/>
      <c r="C27" s="2001" t="s">
        <v>1678</v>
      </c>
    </row>
    <row r="28" spans="1:3" ht="13.5">
      <c r="A28" s="3016"/>
      <c r="B28" s="3015"/>
      <c r="C28" s="2001" t="s">
        <v>1679</v>
      </c>
    </row>
    <row r="29" spans="1:3" ht="13.5">
      <c r="A29" s="3016"/>
      <c r="B29" s="3015"/>
      <c r="C29" s="2001" t="s">
        <v>1680</v>
      </c>
    </row>
    <row r="30" spans="1:3" ht="13.5">
      <c r="A30" s="3016"/>
      <c r="B30" s="3015"/>
      <c r="C30" s="2001" t="s">
        <v>1681</v>
      </c>
    </row>
    <row r="31" spans="1:3" ht="13.5">
      <c r="A31" s="3016"/>
      <c r="B31" s="3015"/>
      <c r="C31" s="2001" t="s">
        <v>1682</v>
      </c>
    </row>
    <row r="32" spans="1:3" ht="13.5">
      <c r="A32" s="3016"/>
      <c r="B32" s="3015"/>
      <c r="C32" s="2001" t="s">
        <v>1683</v>
      </c>
    </row>
    <row r="33" spans="1:3" ht="13.5">
      <c r="A33" s="3016"/>
      <c r="B33" s="3015"/>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43551</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44395</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t="str">
        <f ca="1">IF(C10&lt;B2,"已过期",1120060040)</f>
        <v>已过期</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939"/>
      <c r="D12" s="1703"/>
      <c r="E12" s="1023"/>
      <c r="F12" s="1031"/>
    </row>
    <row r="13" spans="1:6" ht="24" customHeight="1">
      <c r="A13" s="1703" t="s">
        <v>840</v>
      </c>
      <c r="B13" s="1023">
        <f ca="1">IF(C13&lt;B2,"已过期",1120070131)</f>
        <v>1120070131</v>
      </c>
      <c r="C13" s="2348">
        <v>43814</v>
      </c>
      <c r="D13" s="2351" t="s">
        <v>840</v>
      </c>
      <c r="E13" s="1023">
        <f ca="1">IF(F13&lt;B2,"已过期",2014110011)</f>
        <v>2014110011</v>
      </c>
      <c r="F13" s="1031">
        <v>49302</v>
      </c>
    </row>
    <row r="14" spans="1:6" ht="24" customHeight="1">
      <c r="A14" s="1703" t="s">
        <v>3046</v>
      </c>
      <c r="B14" s="1023">
        <f ca="1">IF(C14&lt;B2,"已过期",1120040230)</f>
        <v>1120040230</v>
      </c>
      <c r="C14" s="2348">
        <v>43835</v>
      </c>
      <c r="D14" s="2351" t="s">
        <v>3046</v>
      </c>
      <c r="E14" s="1023">
        <f ca="1">IF(F14&lt;B2,"已过期",98030020)</f>
        <v>98030020</v>
      </c>
      <c r="F14" s="1031">
        <v>47118</v>
      </c>
    </row>
    <row r="15" spans="1:6" ht="24" customHeight="1">
      <c r="A15" s="1704" t="s">
        <v>3047</v>
      </c>
      <c r="B15" s="1023">
        <f ca="1">IF(C15&lt;B2,"已过期",1120070085)</f>
        <v>1120070085</v>
      </c>
      <c r="C15" s="2348">
        <v>43814</v>
      </c>
      <c r="D15" s="2352" t="s">
        <v>3047</v>
      </c>
      <c r="E15" s="1023">
        <f ca="1">IF(F15&lt;B2,"已过期",2004110128)</f>
        <v>2004110128</v>
      </c>
      <c r="F15" s="1024">
        <v>47118</v>
      </c>
    </row>
    <row r="16" spans="1:6" ht="24" customHeight="1">
      <c r="A16" s="1703" t="s">
        <v>3048</v>
      </c>
      <c r="B16" s="1023">
        <f ca="1">IF(C16&lt;B2,"已过期",1120140022)</f>
        <v>1120140022</v>
      </c>
      <c r="C16" s="2939">
        <v>44029</v>
      </c>
      <c r="D16" s="2351" t="s">
        <v>3048</v>
      </c>
      <c r="E16" s="1023">
        <f ca="1">IF(F16&lt;B2,"已过期",2008110059)</f>
        <v>2008110059</v>
      </c>
      <c r="F16" s="1031">
        <v>47177</v>
      </c>
    </row>
    <row r="17" spans="1:7" ht="24" customHeight="1">
      <c r="A17" s="1703"/>
      <c r="B17" s="1023"/>
      <c r="C17" s="2348"/>
      <c r="D17" s="2351" t="s">
        <v>3049</v>
      </c>
      <c r="E17" s="1023">
        <f ca="1">IF(F17&lt;B2,"已过期",2014110076)</f>
        <v>2014110076</v>
      </c>
      <c r="F17" s="1031">
        <v>49302</v>
      </c>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841</v>
      </c>
      <c r="E21" s="1023">
        <f ca="1">IF(F21&lt;B2,"已过期",2011110090)</f>
        <v>2011110090</v>
      </c>
      <c r="F21" s="1031">
        <v>48302</v>
      </c>
    </row>
    <row r="22" spans="1:7" ht="24" customHeight="1">
      <c r="A22" s="1703" t="s">
        <v>842</v>
      </c>
      <c r="B22" s="1023">
        <f ca="1">IF(C22&lt;B2,"已过期",1120020033)</f>
        <v>1120020033</v>
      </c>
      <c r="C22" s="2939">
        <v>44339</v>
      </c>
      <c r="D22" s="2351" t="s">
        <v>842</v>
      </c>
      <c r="E22" s="1023">
        <f ca="1">IF(F22&lt;B2,"已过期",2000110137)</f>
        <v>2000110137</v>
      </c>
      <c r="F22" s="1031">
        <v>46387</v>
      </c>
    </row>
    <row r="23" spans="1:7" ht="24" customHeight="1">
      <c r="A23" s="1703"/>
      <c r="B23" s="1023"/>
      <c r="C23" s="2348"/>
      <c r="D23" s="2351"/>
      <c r="E23" s="1023"/>
      <c r="F23" s="1023"/>
    </row>
    <row r="24" spans="1:7" s="1025" customFormat="1" ht="24" customHeight="1">
      <c r="A24" s="1704" t="s">
        <v>1329</v>
      </c>
      <c r="B24" s="1704" t="s">
        <v>1329</v>
      </c>
      <c r="C24" s="2349" t="s">
        <v>1329</v>
      </c>
      <c r="D24" s="2352" t="s">
        <v>1329</v>
      </c>
      <c r="E24" s="1704" t="s">
        <v>1329</v>
      </c>
      <c r="F24" s="1704" t="s">
        <v>1329</v>
      </c>
    </row>
    <row r="25" spans="1:7" ht="24" customHeight="1">
      <c r="A25" s="3020" t="s">
        <v>843</v>
      </c>
      <c r="B25" s="3020"/>
      <c r="C25" s="3020"/>
      <c r="D25" s="3020"/>
      <c r="E25" s="3020"/>
      <c r="F25" s="3020"/>
      <c r="G25" s="3020"/>
    </row>
    <row r="26" spans="1:7" s="1026" customFormat="1" ht="24" customHeight="1">
      <c r="A26" s="3021" t="s">
        <v>844</v>
      </c>
      <c r="B26" s="3021"/>
      <c r="C26" s="3022"/>
      <c r="D26" s="3023" t="s">
        <v>845</v>
      </c>
      <c r="E26" s="3021"/>
      <c r="F26" s="3021"/>
    </row>
    <row r="27" spans="1:7" s="1028" customFormat="1" ht="24" customHeight="1">
      <c r="A27" s="1027" t="s">
        <v>846</v>
      </c>
      <c r="B27" s="1022" t="s">
        <v>847</v>
      </c>
      <c r="C27" s="2347" t="s">
        <v>848</v>
      </c>
      <c r="D27" s="2355" t="s">
        <v>846</v>
      </c>
      <c r="E27" s="1022" t="s">
        <v>847</v>
      </c>
      <c r="F27" s="1022" t="s">
        <v>848</v>
      </c>
    </row>
    <row r="28" spans="1:7" s="1028" customFormat="1" ht="24" customHeight="1">
      <c r="A28" s="1029" t="s">
        <v>849</v>
      </c>
      <c r="B28" s="1030" t="s">
        <v>850</v>
      </c>
      <c r="C28" s="2353">
        <v>43725</v>
      </c>
      <c r="D28" s="2356" t="s">
        <v>851</v>
      </c>
      <c r="E28" s="1029" t="s">
        <v>852</v>
      </c>
      <c r="F28" s="1059">
        <v>44377</v>
      </c>
    </row>
    <row r="29" spans="1:7" s="1028" customFormat="1" ht="24" customHeight="1">
      <c r="A29" s="1029"/>
      <c r="B29" s="1029"/>
      <c r="C29" s="2354"/>
      <c r="D29" s="2356"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结果表</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收益法——车库</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商业租金案例</vt:lpstr>
      <vt:lpstr>土地案例</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2019-03-27T09:30:56Z</dcterms:modified>
</cp:coreProperties>
</file>