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917"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土地比较法-住宅、综合" sheetId="39" r:id="rId22"/>
    <sheet name="假设开发法" sheetId="12"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r:id="rId30"/>
    <sheet name="比较法-商业" sheetId="33" r:id="rId31"/>
    <sheet name="比较法-办公" sheetId="34" state="hidden" r:id="rId32"/>
    <sheet name="比较法-工业" sheetId="37" state="hidden" r:id="rId33"/>
    <sheet name="比较法-车位" sheetId="35" r:id="rId34"/>
    <sheet name="比较法-仓储" sheetId="36" r:id="rId35"/>
    <sheet name="土地比较法-工业" sheetId="40"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案例" sheetId="84"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21"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2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12" l="1"/>
  <c r="C15" i="74" l="1"/>
  <c r="B15" i="74"/>
  <c r="C14" i="74"/>
  <c r="B14" i="74"/>
  <c r="I7" i="6"/>
  <c r="C13" i="39" s="1"/>
  <c r="E8" i="12" l="1"/>
  <c r="B42" i="9" l="1"/>
  <c r="B41" i="9"/>
  <c r="B40" i="9"/>
  <c r="E59" i="39"/>
  <c r="I48" i="39"/>
  <c r="G48" i="39"/>
  <c r="E48" i="39"/>
  <c r="I40" i="39"/>
  <c r="G40" i="39"/>
  <c r="E40" i="39"/>
  <c r="C40" i="39"/>
  <c r="N72" i="39"/>
  <c r="L72" i="39"/>
  <c r="I72" i="39"/>
  <c r="I9" i="39"/>
  <c r="G9" i="39"/>
  <c r="E9" i="39"/>
  <c r="I7" i="39"/>
  <c r="G7" i="39"/>
  <c r="E7" i="39"/>
  <c r="D10" i="12"/>
  <c r="D8" i="12"/>
  <c r="M10" i="12"/>
  <c r="O8" i="12"/>
  <c r="O10" i="12" s="1"/>
  <c r="N10" i="12" s="1"/>
  <c r="N9" i="12"/>
  <c r="O9" i="12" s="1"/>
  <c r="M9" i="12"/>
  <c r="M8" i="12"/>
  <c r="F10" i="12"/>
  <c r="F8" i="12"/>
  <c r="E10" i="12"/>
  <c r="C10" i="12"/>
  <c r="B98" i="84"/>
  <c r="A98" i="84"/>
  <c r="B73" i="84"/>
  <c r="A73" i="84"/>
  <c r="B48" i="84"/>
  <c r="A48" i="84"/>
  <c r="A25" i="84"/>
  <c r="J24" i="9" l="1"/>
  <c r="B60" i="1" l="1"/>
  <c r="L14" i="1"/>
  <c r="L9" i="1"/>
  <c r="L8" i="1"/>
  <c r="L19" i="1"/>
  <c r="N14" i="1"/>
  <c r="N9" i="1"/>
  <c r="N8" i="1"/>
  <c r="N7" i="1"/>
  <c r="G13" i="4"/>
  <c r="G22" i="6"/>
  <c r="G21" i="6"/>
  <c r="G20" i="6"/>
  <c r="F20" i="6"/>
  <c r="F19" i="6"/>
  <c r="AT23" i="3"/>
  <c r="AF23" i="3"/>
  <c r="AL22" i="3"/>
  <c r="AL21" i="3"/>
  <c r="AD17" i="3"/>
  <c r="AL14" i="3"/>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E5" i="3" s="1"/>
  <c r="BD24" i="3"/>
  <c r="BC24" i="3"/>
  <c r="BB24" i="3"/>
  <c r="AX24" i="3"/>
  <c r="AW24" i="3"/>
  <c r="AV24" i="3"/>
  <c r="AC24" i="3"/>
  <c r="H24" i="3"/>
  <c r="BT23" i="3"/>
  <c r="BS23" i="3"/>
  <c r="BR23" i="3"/>
  <c r="BQ23" i="3"/>
  <c r="BP23" i="3"/>
  <c r="BO23" i="3"/>
  <c r="BN23" i="3"/>
  <c r="BM23" i="3"/>
  <c r="BL23" i="3" s="1"/>
  <c r="BK23" i="3"/>
  <c r="BJ23" i="3"/>
  <c r="BI23" i="3"/>
  <c r="BH23" i="3"/>
  <c r="BG23" i="3"/>
  <c r="BF23" i="3"/>
  <c r="BF5" i="3" s="1"/>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F45" i="15"/>
  <c r="D46" i="15" s="1"/>
  <c r="E22" i="6"/>
  <c r="E23" i="6"/>
  <c r="K10" i="1" s="1"/>
  <c r="M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BD17" i="3"/>
  <c r="BE17" i="3"/>
  <c r="BF17" i="3"/>
  <c r="BG17" i="3"/>
  <c r="BH17" i="3"/>
  <c r="BI17" i="3"/>
  <c r="BJ17" i="3"/>
  <c r="BK17" i="3"/>
  <c r="BC10" i="3"/>
  <c r="BD10" i="3"/>
  <c r="BB10" i="3"/>
  <c r="H13" i="3"/>
  <c r="G13" i="3" s="1"/>
  <c r="AC13" i="3"/>
  <c r="H14" i="3"/>
  <c r="AC14" i="3"/>
  <c r="H15" i="3"/>
  <c r="G15" i="3" s="1"/>
  <c r="AC15" i="3"/>
  <c r="H16" i="3"/>
  <c r="AC16" i="3"/>
  <c r="G16" i="3" s="1"/>
  <c r="H17" i="3"/>
  <c r="G17" i="3" s="1"/>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B16" i="53"/>
  <c r="B33" i="72" s="1"/>
  <c r="W37" i="40"/>
  <c r="J13" i="39"/>
  <c r="W13" i="39" s="1"/>
  <c r="F13" i="39"/>
  <c r="S13" i="39" s="1"/>
  <c r="G4" i="4"/>
  <c r="I4" i="4"/>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D5" i="3"/>
  <c r="AZ325" i="3"/>
  <c r="AZ341" i="3"/>
  <c r="AZ506" i="3"/>
  <c r="AZ496" i="3"/>
  <c r="G548" i="3"/>
  <c r="G538" i="3"/>
  <c r="G520" i="3"/>
  <c r="G502" i="3"/>
  <c r="BS5" i="3"/>
  <c r="BP5" i="3"/>
  <c r="BK5" i="3"/>
  <c r="BI5" i="3"/>
  <c r="BG5" i="3"/>
  <c r="BT5" i="3"/>
  <c r="AZ350" i="3"/>
  <c r="AZ356" i="3"/>
  <c r="AZ368"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M20" i="67"/>
  <c r="BL17" i="3"/>
  <c r="BL13" i="3"/>
  <c r="J56" i="9"/>
  <c r="J57" i="9" s="1"/>
  <c r="J59" i="9" s="1"/>
  <c r="J61" i="9" s="1"/>
  <c r="A24" i="51"/>
  <c r="B18" i="72" s="1"/>
  <c r="U29" i="34"/>
  <c r="E32" i="6"/>
  <c r="G23" i="68"/>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S16" i="39"/>
  <c r="AA16" i="39"/>
  <c r="U45" i="39"/>
  <c r="AB45" i="39"/>
  <c r="W19" i="39"/>
  <c r="AC19" i="39"/>
  <c r="W33" i="39"/>
  <c r="AC33" i="39"/>
  <c r="AA47" i="39"/>
  <c r="W36"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3" i="76"/>
  <c r="F4" i="73"/>
  <c r="B10" i="76"/>
  <c r="AO13" i="1"/>
  <c r="F5" i="73"/>
  <c r="D6" i="73"/>
  <c r="F3" i="73"/>
  <c r="E2" i="69"/>
  <c r="B9" i="76"/>
  <c r="E7" i="76"/>
  <c r="B13" i="76"/>
  <c r="D34" i="9"/>
  <c r="E12" i="76"/>
  <c r="B7" i="76"/>
  <c r="B12" i="76"/>
  <c r="D35" i="9"/>
  <c r="E10" i="76"/>
  <c r="F20" i="31"/>
  <c r="F6" i="73"/>
  <c r="E11" i="76"/>
  <c r="B11" i="76"/>
  <c r="E8" i="76"/>
  <c r="E9" i="76"/>
  <c r="B8" i="76"/>
  <c r="F7" i="73"/>
  <c r="S40" i="39" l="1"/>
  <c r="U40" i="39"/>
  <c r="AC27" i="39"/>
  <c r="S25" i="39"/>
  <c r="W25" i="39"/>
  <c r="F34" i="67"/>
  <c r="F62" i="67" s="1"/>
  <c r="E17" i="68"/>
  <c r="G22" i="69"/>
  <c r="G22" i="11"/>
  <c r="E1" i="73"/>
  <c r="K9" i="1"/>
  <c r="M9" i="1" s="1"/>
  <c r="K8" i="1"/>
  <c r="M8" i="1" s="1"/>
  <c r="O8" i="1" s="1"/>
  <c r="P8" i="1" s="1"/>
  <c r="G1" i="67"/>
  <c r="K1" i="12"/>
  <c r="G1" i="69"/>
  <c r="G1" i="68"/>
  <c r="G1" i="15"/>
  <c r="BA26" i="3"/>
  <c r="G25" i="3"/>
  <c r="BA25" i="3"/>
  <c r="BL25" i="3"/>
  <c r="G24" i="3"/>
  <c r="G22" i="3"/>
  <c r="BA21" i="3"/>
  <c r="BL21" i="3"/>
  <c r="BL20" i="3"/>
  <c r="BA20" i="3"/>
  <c r="AZ20" i="3" s="1"/>
  <c r="G19" i="3"/>
  <c r="BL19" i="3"/>
  <c r="G18" i="3"/>
  <c r="BL18" i="3"/>
  <c r="BR5" i="3"/>
  <c r="G28" i="6" s="1"/>
  <c r="AZ17" i="3"/>
  <c r="BL16" i="3"/>
  <c r="BA16" i="3"/>
  <c r="AZ16" i="3" s="1"/>
  <c r="BB5" i="3"/>
  <c r="E5" i="6" s="1"/>
  <c r="BN5" i="3"/>
  <c r="G29" i="6" s="1"/>
  <c r="BL14" i="3"/>
  <c r="AC5" i="3"/>
  <c r="A2" i="9"/>
  <c r="A4" i="52"/>
  <c r="B41" i="72" s="1"/>
  <c r="A118" i="9"/>
  <c r="M14" i="15"/>
  <c r="F14" i="15"/>
  <c r="E14" i="15"/>
  <c r="F66" i="15"/>
  <c r="U13" i="39"/>
  <c r="U29" i="35"/>
  <c r="AB36" i="33"/>
  <c r="S36" i="33"/>
  <c r="S37" i="34"/>
  <c r="S42" i="39"/>
  <c r="C9" i="39"/>
  <c r="C69" i="39" s="1"/>
  <c r="C9" i="40"/>
  <c r="C65" i="40" s="1"/>
  <c r="D65" i="40" s="1"/>
  <c r="D18" i="9"/>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AZ13" i="3"/>
  <c r="O9" i="1"/>
  <c r="P9" i="1" s="1"/>
  <c r="O12" i="1"/>
  <c r="P12"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F26" i="81"/>
  <c r="F26" i="67"/>
  <c r="M28" i="81"/>
  <c r="F9" i="81"/>
  <c r="M9" i="67"/>
  <c r="F38" i="67"/>
  <c r="M6" i="67"/>
  <c r="F36" i="67"/>
  <c r="F26" i="15"/>
  <c r="F24" i="15"/>
  <c r="M28" i="15"/>
  <c r="D7" i="73"/>
  <c r="F30" i="15"/>
  <c r="J15" i="67"/>
  <c r="M26" i="15"/>
  <c r="M24" i="15"/>
  <c r="M26" i="81"/>
  <c r="L48" i="67"/>
  <c r="D5" i="73"/>
  <c r="F24" i="81"/>
  <c r="M30" i="15"/>
  <c r="C71" i="15"/>
  <c r="M8" i="81"/>
  <c r="F48" i="81"/>
  <c r="C71" i="81"/>
  <c r="F8" i="15"/>
  <c r="F52" i="15"/>
  <c r="M31" i="81"/>
  <c r="M23" i="67"/>
  <c r="F9" i="15"/>
  <c r="C76" i="67"/>
  <c r="M22" i="67"/>
  <c r="M31" i="15"/>
  <c r="M9" i="81"/>
  <c r="F48" i="15"/>
  <c r="L57" i="15"/>
  <c r="M8" i="15"/>
  <c r="M9" i="15"/>
  <c r="M36" i="81"/>
  <c r="M6" i="81"/>
  <c r="M24" i="67"/>
  <c r="F28" i="81"/>
  <c r="F8" i="67"/>
  <c r="C88" i="81"/>
  <c r="F6" i="15"/>
  <c r="F32" i="81"/>
  <c r="F22" i="81"/>
  <c r="F9" i="67"/>
  <c r="F52" i="81"/>
  <c r="M29" i="67"/>
  <c r="F28" i="15"/>
  <c r="L56" i="81"/>
  <c r="F13" i="67"/>
  <c r="F38" i="15"/>
  <c r="F42" i="67"/>
  <c r="F40" i="67"/>
  <c r="M24" i="81"/>
  <c r="M26" i="67"/>
  <c r="C88" i="15"/>
  <c r="M36" i="15"/>
  <c r="D3" i="73"/>
  <c r="F6" i="67"/>
  <c r="F32" i="15"/>
  <c r="F22" i="15"/>
  <c r="M28" i="67"/>
  <c r="F7" i="15"/>
  <c r="L57" i="81"/>
  <c r="F30" i="81"/>
  <c r="M6" i="15"/>
  <c r="M8" i="67"/>
  <c r="F38" i="81"/>
  <c r="F16" i="67"/>
  <c r="M30" i="81"/>
  <c r="M22" i="81"/>
  <c r="F7" i="81"/>
  <c r="M22" i="15"/>
  <c r="F37" i="67"/>
  <c r="F6" i="81"/>
  <c r="F7" i="67"/>
  <c r="F8" i="81"/>
  <c r="L47" i="67"/>
  <c r="F43" i="67"/>
  <c r="L56" i="15"/>
  <c r="C19" i="81"/>
  <c r="D4" i="73"/>
  <c r="F75" i="15" l="1"/>
  <c r="L8" i="15"/>
  <c r="F77" i="15"/>
  <c r="F59" i="15"/>
  <c r="M7" i="15"/>
  <c r="J7" i="15" s="1"/>
  <c r="J9" i="15" s="1"/>
  <c r="F78" i="15"/>
  <c r="F84" i="15"/>
  <c r="N68" i="15"/>
  <c r="M68" i="15"/>
  <c r="L68" i="15"/>
  <c r="Q70" i="15" s="1"/>
  <c r="C7" i="15"/>
  <c r="C9" i="15" s="1"/>
  <c r="F60" i="15"/>
  <c r="E60" i="15" s="1"/>
  <c r="E8" i="15"/>
  <c r="F80" i="15"/>
  <c r="Q82" i="15"/>
  <c r="C49" i="15"/>
  <c r="C6" i="67"/>
  <c r="M7" i="67"/>
  <c r="J6" i="67" s="1"/>
  <c r="F50" i="67"/>
  <c r="F51" i="67"/>
  <c r="F64" i="67"/>
  <c r="C27" i="67"/>
  <c r="F66" i="67"/>
  <c r="F65" i="67"/>
  <c r="F71" i="67"/>
  <c r="M59" i="67"/>
  <c r="N59" i="67"/>
  <c r="L59" i="67"/>
  <c r="Q74" i="67" s="1"/>
  <c r="F68" i="67"/>
  <c r="Q71" i="67"/>
  <c r="AZ25" i="3"/>
  <c r="AZ21" i="3"/>
  <c r="F30" i="6"/>
  <c r="D22" i="83"/>
  <c r="C22" i="83" s="1"/>
  <c r="D9" i="69"/>
  <c r="C9" i="69" s="1"/>
  <c r="E14" i="6"/>
  <c r="E65" i="39" s="1"/>
  <c r="D15" i="68"/>
  <c r="C15" i="68" s="1"/>
  <c r="E13" i="6"/>
  <c r="D15" i="80"/>
  <c r="C15" i="80" s="1"/>
  <c r="E29" i="6"/>
  <c r="K15" i="1" s="1"/>
  <c r="G30" i="6"/>
  <c r="G31" i="6" s="1"/>
  <c r="E12" i="6"/>
  <c r="E59" i="40" s="1"/>
  <c r="D21" i="12"/>
  <c r="C21" i="12" s="1"/>
  <c r="D9" i="11"/>
  <c r="C9" i="11" s="1"/>
  <c r="C67" i="40"/>
  <c r="L8" i="81"/>
  <c r="E8" i="81"/>
  <c r="E66" i="15"/>
  <c r="L14" i="15"/>
  <c r="E11" i="6"/>
  <c r="E62" i="39" s="1"/>
  <c r="J66" i="15"/>
  <c r="J64" i="15" s="1"/>
  <c r="J67" i="15" s="1"/>
  <c r="Q59" i="15" s="1"/>
  <c r="I63" i="15"/>
  <c r="L67" i="15"/>
  <c r="Q69" i="15" s="1"/>
  <c r="J62" i="15"/>
  <c r="L65" i="15" s="1"/>
  <c r="G8" i="1"/>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O6" i="1"/>
  <c r="P6" i="1" s="1"/>
  <c r="J26" i="43"/>
  <c r="M68" i="81"/>
  <c r="I63" i="81"/>
  <c r="J62" i="81"/>
  <c r="L65" i="81" s="1"/>
  <c r="N68" i="81"/>
  <c r="J66" i="81"/>
  <c r="J64" i="81" s="1"/>
  <c r="J67" i="81" s="1"/>
  <c r="Q59" i="81" s="1"/>
  <c r="M11" i="81"/>
  <c r="F11" i="81"/>
  <c r="C6" i="15"/>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47" i="69"/>
  <c r="D45" i="69" s="1"/>
  <c r="E72" i="43"/>
  <c r="B70" i="43" s="1"/>
  <c r="C29" i="69"/>
  <c r="D27" i="69" s="1"/>
  <c r="F45" i="69"/>
  <c r="F27" i="11"/>
  <c r="C29" i="11" s="1"/>
  <c r="D27" i="11" s="1"/>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AE11" i="1"/>
  <c r="AE12" i="1"/>
  <c r="AE10" i="1"/>
  <c r="AE9" i="1"/>
  <c r="AE8" i="1"/>
  <c r="F33" i="12"/>
  <c r="C18" i="12"/>
  <c r="F27" i="68"/>
  <c r="G1" i="73"/>
  <c r="C38" i="15"/>
  <c r="C38" i="81"/>
  <c r="C16" i="67"/>
  <c r="C19" i="15"/>
  <c r="Q85" i="15" l="1"/>
  <c r="J5" i="67"/>
  <c r="J24" i="67" s="1"/>
  <c r="C49" i="67"/>
  <c r="Q61" i="67"/>
  <c r="J18" i="67"/>
  <c r="C59" i="15"/>
  <c r="C61" i="15" s="1"/>
  <c r="F31" i="6"/>
  <c r="E61" i="40"/>
  <c r="E62" i="40"/>
  <c r="E30" i="6"/>
  <c r="E27" i="6"/>
  <c r="K26" i="6" s="1"/>
  <c r="M26" i="6" s="1"/>
  <c r="I26" i="6" s="1"/>
  <c r="S26" i="6" s="1"/>
  <c r="E16" i="6"/>
  <c r="E58" i="40"/>
  <c r="AC6" i="3"/>
  <c r="G16" i="1"/>
  <c r="F12" i="40" s="1"/>
  <c r="U7" i="36"/>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AE6" i="1"/>
  <c r="M27" i="67"/>
  <c r="F29" i="15"/>
  <c r="M29" i="15"/>
  <c r="M29" i="81"/>
  <c r="F29" i="81"/>
  <c r="F41" i="67"/>
  <c r="C6" i="74" l="1"/>
  <c r="C48" i="67"/>
  <c r="C60" i="67" s="1"/>
  <c r="C58" i="15"/>
  <c r="C57" i="15" s="1"/>
  <c r="H12" i="40"/>
  <c r="AB12" i="40" s="1"/>
  <c r="K23" i="6"/>
  <c r="M23" i="6" s="1"/>
  <c r="I23" i="6" s="1"/>
  <c r="S23" i="6" s="1"/>
  <c r="K22" i="6"/>
  <c r="M22" i="6" s="1"/>
  <c r="I22" i="6" s="1"/>
  <c r="S22" i="6" s="1"/>
  <c r="K19" i="6"/>
  <c r="S6" i="1" s="1"/>
  <c r="AQ6" i="1" s="1"/>
  <c r="K20" i="6"/>
  <c r="M20" i="6" s="1"/>
  <c r="I20" i="6" s="1"/>
  <c r="S20" i="6" s="1"/>
  <c r="K24" i="6"/>
  <c r="M24" i="6" s="1"/>
  <c r="I24" i="6" s="1"/>
  <c r="S24" i="6" s="1"/>
  <c r="K21" i="6"/>
  <c r="S8" i="1" s="1"/>
  <c r="E8" i="70" s="1"/>
  <c r="D19" i="11"/>
  <c r="C19" i="11" s="1"/>
  <c r="C20" i="11" s="1"/>
  <c r="C28" i="11" s="1"/>
  <c r="C27" i="11" s="1"/>
  <c r="D3" i="21"/>
  <c r="L18" i="9"/>
  <c r="E31" i="6"/>
  <c r="K25" i="6"/>
  <c r="M25" i="6" s="1"/>
  <c r="I25" i="6" s="1"/>
  <c r="S25" i="6" s="1"/>
  <c r="D37" i="11"/>
  <c r="D3" i="33"/>
  <c r="E6" i="6"/>
  <c r="D23" i="83" s="1"/>
  <c r="D24" i="83" s="1"/>
  <c r="C24" i="83" s="1"/>
  <c r="H12" i="39"/>
  <c r="U12" i="39" s="1"/>
  <c r="J12" i="39"/>
  <c r="W12" i="39" s="1"/>
  <c r="F12" i="39"/>
  <c r="S12" i="39" s="1"/>
  <c r="J12" i="40"/>
  <c r="S12" i="40"/>
  <c r="AA12" i="40"/>
  <c r="J6" i="81"/>
  <c r="J16" i="81" s="1"/>
  <c r="C26" i="15"/>
  <c r="C28" i="15"/>
  <c r="D3" i="37"/>
  <c r="D3" i="34"/>
  <c r="C17" i="4"/>
  <c r="B4" i="52" s="1"/>
  <c r="B43" i="72" s="1"/>
  <c r="Q70" i="81"/>
  <c r="F69" i="67"/>
  <c r="F81" i="81"/>
  <c r="F25" i="82"/>
  <c r="C27" i="82" s="1"/>
  <c r="D20" i="82"/>
  <c r="C20" i="82" s="1"/>
  <c r="U12" i="40"/>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E6" i="70"/>
  <c r="C34" i="43"/>
  <c r="E34" i="43" s="1"/>
  <c r="F81" i="15"/>
  <c r="E33" i="43"/>
  <c r="S11" i="1"/>
  <c r="E11" i="70" s="1"/>
  <c r="S9" i="1"/>
  <c r="S7" i="1"/>
  <c r="S10" i="1"/>
  <c r="E10" i="70" s="1"/>
  <c r="S12" i="1"/>
  <c r="K27"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34" i="69"/>
  <c r="D23" i="12"/>
  <c r="C17" i="67"/>
  <c r="C39" i="15"/>
  <c r="C14" i="67"/>
  <c r="C39" i="81"/>
  <c r="C36" i="81"/>
  <c r="I33" i="1" l="1"/>
  <c r="I37" i="1"/>
  <c r="I36" i="1"/>
  <c r="C68" i="15"/>
  <c r="C66" i="67"/>
  <c r="T6" i="1"/>
  <c r="M19" i="6"/>
  <c r="AR6" i="1"/>
  <c r="T8" i="1"/>
  <c r="M21" i="6"/>
  <c r="I21" i="6" s="1"/>
  <c r="S21" i="6" s="1"/>
  <c r="AR8" i="1"/>
  <c r="AQ8" i="1"/>
  <c r="D16" i="68"/>
  <c r="C16" i="68" s="1"/>
  <c r="C14" i="68" s="1"/>
  <c r="D10" i="11"/>
  <c r="C10" i="11" s="1"/>
  <c r="D10" i="69"/>
  <c r="C10" i="69" s="1"/>
  <c r="C8" i="69" s="1"/>
  <c r="H24" i="6"/>
  <c r="R24" i="6" s="1"/>
  <c r="R11" i="1" s="1"/>
  <c r="D16" i="80"/>
  <c r="C16" i="80" s="1"/>
  <c r="C14" i="80" s="1"/>
  <c r="D22" i="12"/>
  <c r="C22" i="12" s="1"/>
  <c r="C20" i="12" s="1"/>
  <c r="C54" i="12" s="1"/>
  <c r="D6" i="6"/>
  <c r="C23" i="83"/>
  <c r="AA12" i="39"/>
  <c r="AC12" i="39"/>
  <c r="AB12" i="39"/>
  <c r="AC12" i="40"/>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D16" i="6"/>
  <c r="R26" i="6"/>
  <c r="D27" i="6"/>
  <c r="D8" i="74"/>
  <c r="D7" i="74"/>
  <c r="D19" i="69"/>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M27" i="6" l="1"/>
  <c r="I19" i="6"/>
  <c r="H19" i="6" s="1"/>
  <c r="D17" i="68"/>
  <c r="C17" i="68" s="1"/>
  <c r="D31" i="6"/>
  <c r="H21" i="6"/>
  <c r="R21" i="6" s="1"/>
  <c r="R8" i="1" s="1"/>
  <c r="D17" i="80"/>
  <c r="C17"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I27" i="6"/>
  <c r="C19" i="69"/>
  <c r="D37" i="69"/>
  <c r="C37" i="69" s="1"/>
  <c r="I5" i="6"/>
  <c r="I6" i="6"/>
  <c r="E2" i="76"/>
  <c r="B2" i="76"/>
  <c r="I71" i="39"/>
  <c r="J69" i="39"/>
  <c r="I65" i="40"/>
  <c r="H67" i="40"/>
  <c r="I58" i="21"/>
  <c r="J58" i="21" s="1"/>
  <c r="K58" i="21" s="1"/>
  <c r="L58" i="21" s="1"/>
  <c r="M58" i="21" s="1"/>
  <c r="N58" i="21" s="1"/>
  <c r="O58" i="21" s="1"/>
  <c r="H7" i="21" s="1"/>
  <c r="J48" i="35"/>
  <c r="C10" i="68"/>
  <c r="C11" i="68" s="1"/>
  <c r="S19" i="6" l="1"/>
  <c r="S27" i="6" s="1"/>
  <c r="D18" i="68"/>
  <c r="C18" i="68" s="1"/>
  <c r="C44" i="68" s="1"/>
  <c r="D18" i="80"/>
  <c r="C18" i="80" s="1"/>
  <c r="C44" i="80" s="1"/>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68" l="1"/>
  <c r="C9" i="68" s="1"/>
  <c r="C13" i="80"/>
  <c r="C9" i="80" s="1"/>
  <c r="C21" i="80" s="1"/>
  <c r="C28" i="80" s="1"/>
  <c r="C27" i="80" s="1"/>
  <c r="C50" i="80"/>
  <c r="C49" i="80" s="1"/>
  <c r="C49" i="12"/>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15"/>
  <c r="F21" i="81"/>
  <c r="M21" i="81"/>
  <c r="F35" i="67"/>
  <c r="M21" i="15"/>
  <c r="C21" i="68" l="1"/>
  <c r="C25" i="68" s="1"/>
  <c r="C23" i="68" s="1"/>
  <c r="C91" i="9"/>
  <c r="C25" i="80"/>
  <c r="C23" i="80" s="1"/>
  <c r="C56" i="80"/>
  <c r="C57" i="80" s="1"/>
  <c r="C31"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8" i="68" l="1"/>
  <c r="C5" i="68" s="1"/>
  <c r="C32" i="68" s="1"/>
  <c r="C92" i="9"/>
  <c r="C94" i="9"/>
  <c r="C5" i="80"/>
  <c r="C32" i="80" s="1"/>
  <c r="C33" i="80" s="1"/>
  <c r="D3"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7" i="68" l="1"/>
  <c r="B2" i="80"/>
  <c r="B3" i="80"/>
  <c r="C64" i="80"/>
  <c r="C63" i="80" s="1"/>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L60" i="81"/>
  <c r="F2" i="34"/>
  <c r="F2" i="37"/>
  <c r="D21" i="9"/>
  <c r="F2" i="36"/>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B59" i="39"/>
  <c r="B60" i="39"/>
  <c r="F60" i="39" s="1"/>
  <c r="B64" i="39"/>
  <c r="B61" i="39"/>
  <c r="F61" i="39" s="1"/>
  <c r="I48" i="40"/>
  <c r="J48" i="40" s="1"/>
  <c r="R45" i="40"/>
  <c r="E44" i="40"/>
  <c r="G49" i="40"/>
  <c r="H49" i="40" s="1"/>
  <c r="G48" i="40"/>
  <c r="H48" i="40" s="1"/>
  <c r="AO7" i="1"/>
  <c r="L60" i="15"/>
  <c r="D20" i="9"/>
  <c r="D19" i="9"/>
  <c r="F59" i="39" l="1"/>
  <c r="C40" i="9"/>
  <c r="F64" i="39"/>
  <c r="C42" i="9"/>
  <c r="F63" i="39"/>
  <c r="C41" i="9"/>
  <c r="J32" i="15"/>
  <c r="Q56" i="15"/>
  <c r="Q62" i="15" s="1"/>
  <c r="Q74" i="15"/>
  <c r="Q65" i="15"/>
  <c r="L66" i="15"/>
  <c r="L69" i="15" s="1"/>
  <c r="Q77" i="15"/>
  <c r="Q80" i="15"/>
  <c r="Q79" i="15" s="1"/>
  <c r="C92" i="15"/>
  <c r="C91" i="15" s="1"/>
  <c r="F33" i="15"/>
  <c r="D102" i="9"/>
  <c r="B7" i="70"/>
  <c r="D103" i="9"/>
  <c r="C32" i="15"/>
  <c r="C55" i="15"/>
  <c r="D6" i="71"/>
  <c r="C5" i="71"/>
  <c r="D5" i="71" s="1"/>
  <c r="M24" i="43" s="1"/>
  <c r="C44" i="40"/>
  <c r="C45" i="40"/>
  <c r="E49" i="40"/>
  <c r="F49" i="40" s="1"/>
  <c r="E48" i="40"/>
  <c r="F48" i="40" s="1"/>
  <c r="I49" i="40"/>
  <c r="J49" i="40" s="1"/>
  <c r="F67" i="39" l="1"/>
  <c r="B2" i="39" s="1"/>
  <c r="D41" i="9"/>
  <c r="E41" i="9" s="1"/>
  <c r="D42" i="9"/>
  <c r="E42" i="9" s="1"/>
  <c r="D40" i="9"/>
  <c r="E4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19" i="9"/>
  <c r="C21" i="9"/>
  <c r="C20" i="9"/>
  <c r="G19" i="9" l="1"/>
  <c r="C102" i="9"/>
  <c r="I19" i="9"/>
  <c r="D22" i="9"/>
  <c r="C38" i="9"/>
  <c r="H106" i="9" s="1"/>
  <c r="C103" i="9"/>
  <c r="G20" i="9"/>
  <c r="G21" i="9"/>
  <c r="B3" i="40"/>
  <c r="B4" i="40"/>
  <c r="B5" i="40"/>
  <c r="C95" i="15"/>
  <c r="C94" i="15" s="1"/>
  <c r="AO6" i="1"/>
  <c r="AO8" i="1"/>
  <c r="AO9" i="1"/>
  <c r="G22" i="9" l="1"/>
  <c r="H25" i="9"/>
  <c r="C32" i="9"/>
  <c r="N119" i="9" s="1"/>
  <c r="I118" i="9" s="1"/>
  <c r="D12" i="53"/>
  <c r="B28" i="72" s="1"/>
  <c r="H103" i="9"/>
  <c r="B9" i="70"/>
  <c r="B8" i="70"/>
  <c r="B6" i="70"/>
  <c r="B3" i="15"/>
  <c r="B6" i="74"/>
  <c r="D6" i="74" s="1"/>
  <c r="H119" i="9" l="1"/>
  <c r="H5" i="52" s="1"/>
  <c r="D14" i="74"/>
  <c r="N117" i="9"/>
  <c r="H118" i="9" s="1"/>
  <c r="C35" i="9"/>
  <c r="M119" i="9" s="1"/>
  <c r="D8" i="53"/>
  <c r="H120" i="9"/>
  <c r="C104" i="9"/>
  <c r="H4" i="52"/>
  <c r="H101" i="9"/>
  <c r="D5" i="53" s="1"/>
  <c r="B20" i="72" s="1"/>
  <c r="B2" i="70"/>
  <c r="B3" i="70" s="1"/>
  <c r="I4" i="52" l="1"/>
  <c r="C105" i="9"/>
  <c r="M117" i="9"/>
  <c r="G118" i="9" s="1"/>
  <c r="F118" i="9" s="1"/>
  <c r="C34" i="9"/>
  <c r="L117" i="9" s="1"/>
  <c r="H102" i="9"/>
  <c r="D7" i="53" s="1"/>
  <c r="B21" i="72" s="1"/>
  <c r="B24" i="72"/>
  <c r="D9" i="53"/>
  <c r="B25" i="72" s="1"/>
  <c r="H121" i="9"/>
  <c r="D7" i="52" s="1"/>
  <c r="D6" i="52"/>
  <c r="K120" i="9"/>
  <c r="A18" i="62" s="1"/>
  <c r="B64" i="72" s="1"/>
  <c r="H107" i="9"/>
  <c r="M49" i="9" s="1"/>
  <c r="M48" i="9"/>
  <c r="D45" i="9"/>
  <c r="D6" i="53"/>
  <c r="B22" i="72" s="1"/>
  <c r="L119" i="9" l="1"/>
  <c r="E14" i="74"/>
  <c r="F14" i="74"/>
  <c r="E118" i="9"/>
  <c r="H108" i="9"/>
  <c r="D15" i="53" s="1"/>
  <c r="B31" i="72" s="1"/>
  <c r="D13" i="53"/>
  <c r="B30" i="72" s="1"/>
  <c r="H122" i="9"/>
  <c r="H123" i="9" s="1"/>
  <c r="D9" i="52" s="1"/>
  <c r="D52" i="9"/>
  <c r="C85" i="9"/>
  <c r="C93" i="9" s="1"/>
  <c r="C86" i="9" s="1"/>
  <c r="C95" i="9" s="1"/>
  <c r="C96" i="9" s="1"/>
  <c r="E96" i="9" s="1"/>
  <c r="E97" i="9" s="1"/>
  <c r="H65" i="9"/>
  <c r="H64" i="9" s="1"/>
  <c r="H63" i="9" s="1"/>
  <c r="D53" i="9" s="1"/>
  <c r="D48" i="9" s="1"/>
  <c r="M52" i="9" s="1"/>
  <c r="C72" i="9"/>
  <c r="C78" i="9" s="1"/>
  <c r="C73" i="9" s="1"/>
  <c r="D55" i="9"/>
  <c r="M53" i="9" s="1"/>
  <c r="C64" i="9"/>
  <c r="C63" i="9" s="1"/>
  <c r="C67" i="9" s="1"/>
  <c r="C68" i="9" s="1"/>
  <c r="L67" i="9"/>
  <c r="M67" i="9" s="1"/>
  <c r="L66" i="9"/>
  <c r="M66" i="9" s="1"/>
  <c r="L65" i="9"/>
  <c r="M65" i="9" s="1"/>
  <c r="L63" i="9"/>
  <c r="M63" i="9" s="1"/>
  <c r="L68" i="9"/>
  <c r="M68" i="9" s="1"/>
  <c r="L64" i="9"/>
  <c r="M64" i="9" s="1"/>
  <c r="D14" i="53" l="1"/>
  <c r="B32" i="72" s="1"/>
  <c r="D8" i="52"/>
  <c r="C79" i="9"/>
  <c r="C80" i="9" s="1"/>
  <c r="E80" i="9" s="1"/>
  <c r="E81" i="9" s="1"/>
  <c r="D54" i="9"/>
  <c r="D59" i="9"/>
  <c r="M55" i="9" s="1"/>
  <c r="C97" i="9"/>
  <c r="D58" i="9" s="1"/>
  <c r="M69" i="9"/>
  <c r="N69" i="9" s="1"/>
  <c r="D56" i="9" l="1"/>
  <c r="M54" i="9" s="1"/>
  <c r="N57" i="9" s="1"/>
  <c r="C81" i="9"/>
  <c r="D119" i="9"/>
  <c r="D5" i="52" s="1"/>
  <c r="B49" i="72" s="1"/>
  <c r="D4" i="52"/>
  <c r="B47" i="72" s="1"/>
  <c r="F119" i="9"/>
  <c r="F5" i="52" s="1"/>
  <c r="B53" i="72" s="1"/>
  <c r="F4" i="52"/>
  <c r="B51" i="72" s="1"/>
  <c r="N59" i="9" l="1"/>
  <c r="P57" i="9"/>
  <c r="N58" i="9"/>
  <c r="G4" i="52"/>
  <c r="B52" i="72" s="1"/>
  <c r="D118" i="9"/>
  <c r="E4" i="52" s="1"/>
  <c r="B48" i="72" s="1"/>
  <c r="N61" i="9" l="1"/>
  <c r="H112" i="9" s="1"/>
  <c r="H111" i="9"/>
  <c r="N60" i="9"/>
  <c r="H126" i="9" l="1"/>
  <c r="D19" i="53"/>
  <c r="D21" i="53"/>
  <c r="B39" i="72" s="1"/>
  <c r="C8" i="74"/>
  <c r="B38" i="72" l="1"/>
  <c r="D20" i="53"/>
  <c r="B40" i="72" s="1"/>
  <c r="H127" i="9"/>
  <c r="D13" i="52" s="1"/>
  <c r="D12" i="52"/>
  <c r="D15" i="74" l="1"/>
  <c r="E15" i="74" l="1"/>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<sst xmlns="http://schemas.openxmlformats.org/spreadsheetml/2006/main" count="9288" uniqueCount="4178">
  <si>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</si>
  <si>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</si>
  <si>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</si>
  <si>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</si>
  <si>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</si>
  <si>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</si>
  <si>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</si>
  <si>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</si>
  <si>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</si>
  <si>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</si>
  <si>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</si>
  <si>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</si>
  <si>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</si>
  <si>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</si>
  <si>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</si>
  <si>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</si>
  <si>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</si>
  <si>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</si>
  <si>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</si>
  <si>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</si>
  <si>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</si>
  <si>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</si>
  <si>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</si>
  <si>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</si>
  <si>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</si>
  <si>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</si>
  <si>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</si>
  <si>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</si>
  <si>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</si>
  <si>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</si>
  <si>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</si>
  <si>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</si>
  <si>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</si>
  <si>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</si>
  <si>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</si>
  <si>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</si>
  <si>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</si>
  <si>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</si>
  <si>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</si>
  <si>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</si>
  <si>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</si>
  <si>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</si>
  <si>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</si>
  <si>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</si>
  <si>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</si>
  <si>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</si>
  <si>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</si>
  <si>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</si>
  <si>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</si>
  <si>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</si>
  <si>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</si>
  <si>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</si>
  <si>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</si>
  <si>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</si>
  <si>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</si>
  <si>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</si>
  <si>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</si>
  <si>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</si>
  <si>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</si>
  <si>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</si>
  <si>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</si>
  <si>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</si>
  <si>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</si>
  <si>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</si>
  <si>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</si>
  <si>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</si>
  <si>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</si>
  <si>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</si>
  <si>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</si>
  <si>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</si>
  <si>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</si>
  <si>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</si>
  <si>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</si>
  <si>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</si>
  <si>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</si>
  <si>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</si>
  <si>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</si>
  <si>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</si>
  <si>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</si>
  <si>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</si>
  <si>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</si>
  <si>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</si>
  <si>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</si>
  <si>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</si>
  <si>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</si>
  <si>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</si>
  <si>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</si>
  <si>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</si>
  <si>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</si>
  <si>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</si>
  <si>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</si>
  <si>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</si>
  <si>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</si>
  <si>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</si>
  <si>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</si>
  <si>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</si>
  <si>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</si>
  <si>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</si>
  <si>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</si>
  <si>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</si>
  <si>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</si>
  <si>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</si>
  <si>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</si>
  <si>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</si>
  <si>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</si>
  <si>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</si>
  <si>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</si>
  <si>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</si>
  <si>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</si>
  <si>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</si>
  <si>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</si>
  <si>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</si>
  <si>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</si>
  <si>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</si>
  <si>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</si>
  <si>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</si>
  <si>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</si>
  <si>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</si>
  <si>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</si>
  <si>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</si>
  <si>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</si>
  <si>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</si>
  <si>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</si>
  <si>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</si>
  <si>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</si>
  <si>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</si>
  <si>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</si>
  <si>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</si>
  <si>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</si>
  <si>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</si>
  <si>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</si>
  <si>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</si>
  <si>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</si>
  <si>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</si>
  <si>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</si>
  <si>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</si>
  <si>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</si>
  <si>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</si>
  <si>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</si>
  <si>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</si>
  <si>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</si>
  <si>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</si>
  <si>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</si>
  <si>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</si>
  <si>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</si>
  <si>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</si>
  <si>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</si>
  <si>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</si>
  <si>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</si>
  <si>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</si>
  <si>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</si>
  <si>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</si>
  <si>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</si>
  <si>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</si>
  <si>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</si>
  <si>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</si>
  <si>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</si>
  <si>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</si>
  <si>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</si>
  <si>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</si>
  <si>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</si>
  <si>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</si>
  <si>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</si>
  <si>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</si>
  <si>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</si>
  <si>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</si>
  <si>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</si>
  <si>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</si>
  <si>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</si>
  <si>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</si>
  <si>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</si>
  <si>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</si>
  <si>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</si>
  <si>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</si>
  <si>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</si>
  <si>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</si>
  <si>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</si>
  <si>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</si>
  <si>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</si>
  <si>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</si>
  <si>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</si>
  <si>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</si>
  <si>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</si>
  <si>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</si>
  <si>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</si>
  <si>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</si>
  <si>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</si>
  <si>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</si>
  <si>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</si>
  <si>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</si>
  <si>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</si>
  <si>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</si>
  <si>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</si>
  <si>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</si>
  <si>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</si>
  <si>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</si>
  <si>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</si>
  <si>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</si>
  <si>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</si>
  <si>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</si>
  <si>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</si>
  <si>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</si>
  <si>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</si>
  <si>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</si>
  <si>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</si>
  <si>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</si>
  <si>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</si>
  <si>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</si>
  <si>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</si>
  <si>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</si>
  <si>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</si>
  <si>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</si>
  <si>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</si>
  <si>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</si>
  <si>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</si>
  <si>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</si>
  <si>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</si>
  <si>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</si>
  <si>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</si>
  <si>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</si>
  <si>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</si>
  <si>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</si>
  <si>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</si>
  <si>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</si>
  <si>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</si>
  <si>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</si>
  <si>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</si>
  <si>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</si>
  <si>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</si>
  <si>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</si>
  <si>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</si>
  <si>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</si>
  <si>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</si>
  <si>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</si>
  <si>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</si>
  <si>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</si>
  <si>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</si>
  <si>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</si>
  <si>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</si>
  <si>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</si>
  <si>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</si>
  <si>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</si>
  <si>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</si>
  <si>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</si>
  <si>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</si>
  <si>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</si>
  <si>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</si>
  <si>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</si>
  <si>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</si>
  <si>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</si>
  <si>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</si>
  <si>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</si>
  <si>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</si>
  <si>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</si>
  <si>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</si>
  <si>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</si>
  <si>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</si>
  <si>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</si>
  <si>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</si>
  <si>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</si>
  <si>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</si>
  <si>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</si>
  <si>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</si>
  <si>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</si>
  <si>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</si>
  <si>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</si>
  <si>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</si>
  <si>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</si>
  <si>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</si>
  <si>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</si>
  <si>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</si>
  <si>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</si>
  <si>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</si>
  <si>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</si>
  <si>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</si>
  <si>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</si>
  <si>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</si>
  <si>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</si>
  <si>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</si>
  <si>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</si>
  <si>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</si>
  <si>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</si>
  <si>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</si>
  <si>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</si>
  <si>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</si>
  <si>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</si>
  <si>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</si>
  <si>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</si>
  <si>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</si>
  <si>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</si>
  <si>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</si>
  <si>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</si>
  <si>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</si>
  <si>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</si>
  <si>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</si>
  <si>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</si>
  <si>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</si>
  <si>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</si>
  <si>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</si>
  <si>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</si>
  <si>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</si>
  <si>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</si>
  <si>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</si>
  <si>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</si>
  <si>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</si>
  <si>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</si>
  <si>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</si>
  <si>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</si>
  <si>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</si>
  <si>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</si>
  <si>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</si>
  <si>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</si>
  <si>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</si>
  <si>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</si>
  <si>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</si>
  <si>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</si>
  <si>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</si>
  <si>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</si>
  <si>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</si>
  <si>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</si>
  <si>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</si>
  <si>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</si>
  <si>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</si>
  <si>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</si>
  <si>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</si>
  <si>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</si>
  <si>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</si>
  <si>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</si>
  <si>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</si>
  <si>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</si>
  <si>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</si>
  <si>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</si>
  <si>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</si>
  <si>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</si>
  <si>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</si>
  <si>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</si>
  <si>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</si>
  <si>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</si>
  <si>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</si>
  <si>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</si>
  <si>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</si>
  <si>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</si>
  <si>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</si>
  <si>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</si>
  <si>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</si>
  <si>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</si>
  <si>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</si>
  <si>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</si>
  <si>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</si>
  <si>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</si>
  <si>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</si>
  <si>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</si>
  <si>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</si>
  <si>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</si>
  <si>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</si>
  <si>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</si>
  <si>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</si>
  <si>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</si>
  <si>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</si>
  <si>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</si>
  <si>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</si>
  <si>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</si>
  <si>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</si>
  <si>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</si>
  <si>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</si>
  <si>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</si>
  <si>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</si>
  <si>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</si>
  <si>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</si>
  <si>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</si>
  <si>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</si>
  <si>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</si>
  <si>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</si>
  <si>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</si>
  <si>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</si>
  <si>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</si>
  <si>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</si>
  <si>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</si>
  <si>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</si>
  <si>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</si>
  <si>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</si>
  <si>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</si>
  <si>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</si>
  <si>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</si>
  <si>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</si>
  <si>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</si>
  <si>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</si>
  <si>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</si>
  <si>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</si>
  <si>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</si>
  <si>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</si>
  <si>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</si>
  <si>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</si>
  <si>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</si>
  <si>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</si>
  <si>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</si>
  <si>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</si>
  <si>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</si>
  <si>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</si>
  <si>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</si>
  <si>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</si>
  <si>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</si>
  <si>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</si>
  <si>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</si>
  <si>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</si>
  <si>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</si>
  <si>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</si>
  <si>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</si>
  <si>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</si>
  <si>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</si>
  <si>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</si>
  <si>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</si>
  <si>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</si>
  <si>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</si>
  <si>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</si>
  <si>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</si>
  <si>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</si>
  <si>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</si>
  <si>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</si>
  <si>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</si>
  <si>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</si>
  <si>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</si>
  <si>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</si>
  <si>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</si>
  <si>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</si>
  <si>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</si>
  <si>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</si>
  <si>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</si>
  <si>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</si>
  <si>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</si>
  <si>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</si>
  <si>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</si>
  <si>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</si>
  <si>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</si>
  <si>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</si>
  <si>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</si>
  <si>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</si>
  <si>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</si>
  <si>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</si>
  <si>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</si>
  <si>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</si>
  <si>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</si>
  <si>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</si>
  <si>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</si>
  <si>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</si>
  <si>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</si>
  <si>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</si>
  <si>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</si>
  <si>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</si>
  <si>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</si>
  <si>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</si>
  <si>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</si>
  <si>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</si>
  <si>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</si>
  <si>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</si>
  <si>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</si>
  <si>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</si>
  <si>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</si>
  <si>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</si>
  <si>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</si>
  <si>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</si>
  <si>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</si>
  <si>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</si>
  <si>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</si>
  <si>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</si>
  <si>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</si>
  <si>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</si>
  <si>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</si>
  <si>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</si>
  <si>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</si>
  <si>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</si>
  <si>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</si>
  <si>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</si>
  <si>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</si>
  <si>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</si>
  <si>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</si>
  <si>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</si>
  <si>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</si>
  <si>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</si>
  <si>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</si>
  <si>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</si>
  <si>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</si>
  <si>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</si>
  <si>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</si>
  <si>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</si>
  <si>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</si>
  <si>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</si>
  <si>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</si>
  <si>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</si>
  <si>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</si>
  <si>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</si>
  <si>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</si>
  <si>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</si>
  <si>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</si>
  <si>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</si>
  <si>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</si>
  <si>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</si>
  <si>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</si>
  <si>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</si>
  <si>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</si>
  <si>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</si>
  <si>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</si>
  <si>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</si>
  <si>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</si>
  <si>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</si>
  <si>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</si>
  <si>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</si>
  <si>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</si>
  <si>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</si>
  <si>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</si>
  <si>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</si>
  <si>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</si>
  <si>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</si>
  <si>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</si>
  <si>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</si>
  <si>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</si>
  <si>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</si>
  <si>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</si>
  <si>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</si>
  <si>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</si>
  <si>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</si>
  <si>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</si>
  <si>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</si>
  <si>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</si>
  <si>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</si>
  <si>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</si>
  <si>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</si>
  <si>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</si>
  <si>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</si>
  <si>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</si>
  <si>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</si>
  <si>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</si>
  <si>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</si>
  <si>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</si>
  <si>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</si>
  <si>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</si>
  <si>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</si>
  <si>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</si>
  <si>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</si>
  <si>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</si>
  <si>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</si>
  <si>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</si>
  <si>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</si>
  <si>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</si>
  <si>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</si>
  <si>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</si>
  <si>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</si>
  <si>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</si>
  <si>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</si>
  <si>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</si>
  <si>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</si>
  <si>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</si>
  <si>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</si>
  <si>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</si>
  <si>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</si>
  <si>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</si>
  <si>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</si>
  <si>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</si>
  <si>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</si>
  <si>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</si>
  <si>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</si>
  <si>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</si>
  <si>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</si>
  <si>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</si>
  <si>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</si>
  <si>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</si>
  <si>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</si>
  <si>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</si>
  <si>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</si>
  <si>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</si>
  <si>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</si>
  <si>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</si>
  <si>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</si>
  <si>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</si>
  <si>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</si>
  <si>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</si>
  <si>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</si>
  <si>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</si>
  <si>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</si>
  <si>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</si>
  <si>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</si>
  <si>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</si>
  <si>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</si>
  <si>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</si>
  <si>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</si>
  <si>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</si>
  <si>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</si>
  <si>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</si>
  <si>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</si>
  <si>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</si>
  <si>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</si>
  <si>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</si>
  <si>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</si>
  <si>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</si>
  <si>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</si>
  <si>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</si>
  <si>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</si>
  <si>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</si>
  <si>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</si>
  <si>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</si>
  <si>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</si>
  <si>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</si>
  <si>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</si>
  <si>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</si>
  <si>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</si>
  <si>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</si>
  <si>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</si>
  <si>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</si>
  <si>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</si>
  <si>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</si>
  <si>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</si>
  <si>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</si>
  <si>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</si>
  <si>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</si>
  <si>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</si>
  <si>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</si>
  <si>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</si>
  <si>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</si>
  <si>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</si>
  <si>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</si>
  <si>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</si>
  <si>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</si>
  <si>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</si>
  <si>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</si>
  <si>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</si>
  <si>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</si>
  <si>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</si>
  <si>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</si>
  <si>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</si>
  <si>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</si>
  <si>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</si>
  <si>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</si>
  <si>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</si>
  <si>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</si>
  <si>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</si>
  <si>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</si>
  <si>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</si>
  <si>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</si>
  <si>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</si>
  <si>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</si>
  <si>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</si>
  <si>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</si>
  <si>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</si>
  <si>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</si>
  <si>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</si>
  <si>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</si>
  <si>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</si>
  <si>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</si>
  <si>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</si>
  <si>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</si>
  <si>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</si>
  <si>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</si>
  <si>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</si>
  <si>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</si>
  <si>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</si>
  <si>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</si>
  <si>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</si>
  <si>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</si>
  <si>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</si>
  <si>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</si>
  <si>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</si>
  <si>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</si>
  <si>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</si>
  <si>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</si>
  <si>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</si>
  <si>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</si>
  <si>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</si>
  <si>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</si>
  <si>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</si>
  <si>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</si>
  <si>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</si>
  <si>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</si>
  <si>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</si>
  <si>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</si>
  <si>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</si>
  <si>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</si>
  <si>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</si>
  <si>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</si>
  <si>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</si>
  <si>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</si>
  <si>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</si>
  <si>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</si>
  <si>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</si>
  <si>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</si>
  <si>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</si>
  <si>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</si>
  <si>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</si>
  <si>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</si>
  <si>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</si>
  <si>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</si>
  <si>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</si>
  <si>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</si>
  <si>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</si>
  <si>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</si>
  <si>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</si>
  <si>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</si>
  <si>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</si>
  <si>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</si>
  <si>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</si>
  <si>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</si>
  <si>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</si>
  <si>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</si>
  <si>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</si>
  <si>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</si>
  <si>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</si>
  <si>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</si>
  <si>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</si>
  <si>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</si>
  <si>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</si>
  <si>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</si>
  <si>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</si>
  <si>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</si>
  <si>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</si>
  <si>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</si>
  <si>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</si>
  <si>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</si>
  <si>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</si>
  <si>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</si>
  <si>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</si>
  <si>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</si>
  <si>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</si>
  <si>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</si>
  <si>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</si>
  <si>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</si>
  <si>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</si>
  <si>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</si>
  <si>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</si>
  <si>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</si>
  <si>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</si>
  <si>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</si>
  <si>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</si>
  <si>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</si>
  <si>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</si>
  <si>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</si>
  <si>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</si>
  <si>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</si>
  <si>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</si>
  <si>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</si>
  <si>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</si>
  <si>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</si>
  <si>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</si>
  <si>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</si>
  <si>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</si>
  <si>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</si>
  <si>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</si>
  <si>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</si>
  <si>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</si>
  <si>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</si>
  <si>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</si>
  <si>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</si>
  <si>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</si>
  <si>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</si>
  <si>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</si>
  <si>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</si>
  <si>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</si>
  <si>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</si>
  <si>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</si>
  <si>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</si>
  <si>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</si>
  <si>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</si>
  <si>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</si>
  <si>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</si>
  <si>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</si>
  <si>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</si>
  <si>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</si>
  <si>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</si>
  <si>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</si>
  <si>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</si>
  <si>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</si>
  <si>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</si>
  <si>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</si>
  <si>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</si>
  <si>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</si>
  <si>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</si>
  <si>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</si>
  <si>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</si>
  <si>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</si>
  <si>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</si>
  <si>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</si>
  <si>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</si>
  <si>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</si>
  <si>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</si>
  <si>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</si>
  <si>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</si>
  <si>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</si>
  <si>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</si>
  <si>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</si>
  <si>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</si>
  <si>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</si>
  <si>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</si>
  <si>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</si>
  <si>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</si>
  <si>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</si>
  <si>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</si>
  <si>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</si>
  <si>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</si>
  <si>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</si>
  <si>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</si>
  <si>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</si>
  <si>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</si>
  <si>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</si>
  <si>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</si>
  <si>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</si>
  <si>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</si>
  <si>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</si>
  <si>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</si>
  <si>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</si>
  <si>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</si>
  <si>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</si>
  <si>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</si>
  <si>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</si>
  <si>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</si>
  <si>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</si>
  <si>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</si>
  <si>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</si>
  <si>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</si>
  <si>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</si>
  <si>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</si>
  <si>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</si>
  <si>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</si>
  <si>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</si>
  <si>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</si>
  <si>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</si>
  <si>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</si>
  <si>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</si>
  <si>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</si>
  <si>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</si>
  <si>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</si>
  <si>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</si>
  <si>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</si>
  <si>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</si>
  <si>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</si>
  <si>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</si>
  <si>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</si>
  <si>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</si>
  <si>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</si>
  <si>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</si>
  <si>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</si>
  <si>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</si>
  <si>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</si>
  <si>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</si>
  <si>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</si>
  <si>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</si>
  <si>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</si>
  <si>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</si>
  <si>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</si>
  <si>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</si>
  <si>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</si>
  <si>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</si>
  <si>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</si>
  <si>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</si>
  <si>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</si>
  <si>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</si>
  <si>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</si>
  <si>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</si>
  <si>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</si>
  <si>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</si>
  <si>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</si>
  <si>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</si>
  <si>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</si>
  <si>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</si>
  <si>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</si>
  <si>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</si>
  <si>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</si>
  <si>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</si>
  <si>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</si>
  <si>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</si>
  <si>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</si>
  <si>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</si>
  <si>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</si>
  <si>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</si>
  <si>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</si>
  <si>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</si>
  <si>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</si>
  <si>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</si>
  <si>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</si>
  <si>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</si>
  <si>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</si>
  <si>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</si>
  <si>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</si>
  <si>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</si>
  <si>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</si>
  <si>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</si>
  <si>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</si>
  <si>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</si>
  <si>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</si>
  <si>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</si>
  <si>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</si>
  <si>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</si>
  <si>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</si>
  <si>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</si>
  <si>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</si>
  <si>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</si>
  <si>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</si>
  <si>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</si>
  <si>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</si>
  <si>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</si>
  <si>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</si>
  <si>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</si>
  <si>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</si>
  <si>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</si>
  <si>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</si>
  <si>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</si>
  <si>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</si>
  <si>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</si>
  <si>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</si>
  <si>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</si>
  <si>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</si>
  <si>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</si>
  <si>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</si>
  <si>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</si>
  <si>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</si>
  <si>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</si>
  <si>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</si>
  <si>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</si>
  <si>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</si>
  <si>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</si>
  <si>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</si>
  <si>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</si>
  <si>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</si>
  <si>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</si>
  <si>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</si>
  <si>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</si>
  <si>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</si>
  <si>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</si>
  <si>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</si>
  <si>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</si>
  <si>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</si>
  <si>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</si>
  <si>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</si>
  <si>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</si>
  <si>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</si>
  <si>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</si>
  <si>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</si>
  <si>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</si>
  <si>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</si>
  <si>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</si>
  <si>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</si>
  <si>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</si>
  <si>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</si>
  <si>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</si>
  <si>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</si>
  <si>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</si>
  <si>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</si>
  <si>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</si>
  <si>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</si>
  <si>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</si>
  <si>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</si>
  <si>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</si>
  <si>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</si>
  <si>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</si>
  <si>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</si>
  <si>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</si>
  <si>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</si>
  <si>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</si>
  <si>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</si>
  <si>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</si>
  <si>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</si>
  <si>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</si>
  <si>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</si>
  <si>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</si>
  <si>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</si>
  <si>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</si>
  <si>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</si>
  <si>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</si>
  <si>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</si>
  <si>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</si>
  <si>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</si>
  <si>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</si>
  <si>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</si>
  <si>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</si>
  <si>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</si>
  <si>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</si>
  <si>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</si>
  <si>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</si>
  <si>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</si>
  <si>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</si>
  <si>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</si>
  <si>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</si>
  <si>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</si>
  <si>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</si>
  <si>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</si>
  <si>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</si>
  <si>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</si>
  <si>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</si>
  <si>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</si>
  <si>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</si>
  <si>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</si>
  <si>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</si>
  <si>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</si>
  <si>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</si>
  <si>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</si>
  <si>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</si>
  <si>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</si>
  <si>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</si>
  <si>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</si>
  <si>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</si>
  <si>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</si>
  <si>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</si>
  <si>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</si>
  <si>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</si>
  <si>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</si>
  <si>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</si>
  <si>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</si>
  <si>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</si>
  <si>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</si>
  <si>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</si>
  <si>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</si>
  <si>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</si>
  <si>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</si>
  <si>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</si>
  <si>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</si>
  <si>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</si>
  <si>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</si>
  <si>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</si>
  <si>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</si>
  <si>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</si>
  <si>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</si>
  <si>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</si>
  <si>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</si>
  <si>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</si>
  <si>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</si>
  <si>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</si>
  <si>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</si>
  <si>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</si>
  <si>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</si>
  <si>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</si>
  <si>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</si>
  <si>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</si>
  <si>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</si>
  <si>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</si>
  <si>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</si>
  <si>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</si>
  <si>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</si>
  <si>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</si>
  <si>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</si>
  <si>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</si>
  <si>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</si>
  <si>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</si>
  <si>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</si>
  <si>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</si>
  <si>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</si>
  <si>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</si>
  <si>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</si>
  <si>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</si>
  <si>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</si>
  <si>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</si>
  <si>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</si>
  <si>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</si>
  <si>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</si>
  <si>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</si>
  <si>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</si>
  <si>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</si>
  <si>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</si>
  <si>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</si>
  <si>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</si>
  <si>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</si>
  <si>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</si>
  <si>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</si>
  <si>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</si>
  <si>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</si>
  <si>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</si>
  <si>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</si>
  <si>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</si>
  <si>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</si>
  <si>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</si>
  <si>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</si>
  <si>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</si>
  <si>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</si>
  <si>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</si>
  <si>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</si>
  <si>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</si>
  <si>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</si>
  <si>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</si>
  <si>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</si>
  <si>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</si>
  <si>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</si>
  <si>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</si>
  <si>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</si>
  <si>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</si>
  <si>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</si>
  <si>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</si>
  <si>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</si>
  <si>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</si>
  <si>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</si>
  <si>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</si>
  <si>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</si>
  <si>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</si>
  <si>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</si>
  <si>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</si>
  <si>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</si>
  <si>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</si>
  <si>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</si>
  <si>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</si>
  <si>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</si>
  <si>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</si>
  <si>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</si>
  <si>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</si>
  <si>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</si>
  <si>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</si>
  <si>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</si>
  <si>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</si>
  <si>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</si>
  <si>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</si>
  <si>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</si>
  <si>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</si>
  <si>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</si>
  <si>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</si>
  <si>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</si>
  <si>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</si>
  <si>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</si>
  <si>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</si>
  <si>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</si>
  <si>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</si>
  <si>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</si>
  <si>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</si>
  <si>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</si>
  <si>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</si>
  <si>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</si>
  <si>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</si>
  <si>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</si>
  <si>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</si>
  <si>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</si>
  <si>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</si>
  <si>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</si>
  <si>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</si>
  <si>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</si>
  <si>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</si>
  <si>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</si>
  <si>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</si>
  <si>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</si>
  <si>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</si>
  <si>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</si>
  <si>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</si>
  <si>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</si>
  <si>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</si>
  <si>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</si>
  <si>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</si>
  <si>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</si>
  <si>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</si>
  <si>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</si>
  <si>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</si>
  <si>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</si>
  <si>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</si>
  <si>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</si>
  <si>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</si>
  <si>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</si>
  <si>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</si>
  <si>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</si>
  <si>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</si>
  <si>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</si>
  <si>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</si>
  <si>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</si>
  <si>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</si>
  <si>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</si>
  <si>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</si>
  <si>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</si>
  <si>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</si>
  <si>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</si>
  <si>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</si>
  <si>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</si>
  <si>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</si>
  <si>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</si>
  <si>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</si>
  <si>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</si>
  <si>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</si>
  <si>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</si>
  <si>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</si>
  <si>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</si>
  <si>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</si>
  <si>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</si>
  <si>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</si>
  <si>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</si>
  <si>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</si>
  <si>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</si>
  <si>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</si>
  <si>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</si>
  <si>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</si>
  <si>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</si>
  <si>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</si>
  <si>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</si>
  <si>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</si>
  <si>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</si>
  <si>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</si>
  <si>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</si>
  <si>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</si>
  <si>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</si>
  <si>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</si>
  <si>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</si>
  <si>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</si>
  <si>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</si>
  <si>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</si>
  <si>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</si>
  <si>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</si>
  <si>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</si>
  <si>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</si>
  <si>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</si>
  <si>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</si>
  <si>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</si>
  <si>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</si>
  <si>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</si>
  <si>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</si>
  <si>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</si>
  <si>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</si>
  <si>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</si>
  <si>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</si>
  <si>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</si>
  <si>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</si>
  <si>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</si>
  <si>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</si>
  <si>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</si>
  <si>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</si>
  <si>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</si>
  <si>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</si>
  <si>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</si>
  <si>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</si>
  <si>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</si>
  <si>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</si>
  <si>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</si>
  <si>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</si>
  <si>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</si>
  <si>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</si>
  <si>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</si>
  <si>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</si>
  <si>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</si>
  <si>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</si>
  <si>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</si>
  <si>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</si>
  <si>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</si>
  <si>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</si>
  <si>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</si>
  <si>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</si>
  <si>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</si>
  <si>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</si>
  <si>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</si>
  <si>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</si>
  <si>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</si>
  <si>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</si>
  <si>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</si>
  <si>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</si>
  <si>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</si>
  <si>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</si>
  <si>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</si>
  <si>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</si>
  <si>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</si>
  <si>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</si>
  <si>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</si>
  <si>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</si>
  <si>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</si>
  <si>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</si>
  <si>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</si>
  <si>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</si>
  <si>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</si>
  <si>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</si>
  <si>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</si>
  <si>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</si>
  <si>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</si>
  <si>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</si>
  <si>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</si>
  <si>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</si>
  <si>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</si>
  <si>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</si>
  <si>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</si>
  <si>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</si>
  <si>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</si>
  <si>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</si>
  <si>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</si>
  <si>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</si>
  <si>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</si>
  <si>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</si>
  <si>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</si>
  <si>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</si>
  <si>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</si>
  <si>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</si>
  <si>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</si>
  <si>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</si>
  <si>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</si>
  <si>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</si>
  <si>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</si>
  <si>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</si>
  <si>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</si>
  <si>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</si>
  <si>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</si>
  <si>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</si>
  <si>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</si>
  <si>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</si>
  <si>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</si>
  <si>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</si>
  <si>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</si>
  <si>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</si>
  <si>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</si>
  <si>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</si>
  <si>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</si>
  <si>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</si>
  <si>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</si>
  <si>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</si>
  <si>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</si>
  <si>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</si>
  <si>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</si>
  <si>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</si>
  <si>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</si>
  <si>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</si>
  <si>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</si>
  <si>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</si>
  <si>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</si>
  <si>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</si>
  <si>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</si>
  <si>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</si>
  <si>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</si>
  <si>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</si>
  <si>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</si>
  <si>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</si>
  <si>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</si>
  <si>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</si>
  <si>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</si>
  <si>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</si>
  <si>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</si>
  <si>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</si>
  <si>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</si>
  <si>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</si>
  <si>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</si>
  <si>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</si>
  <si>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</si>
  <si>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</si>
  <si>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</si>
  <si>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</si>
  <si>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</si>
  <si>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</si>
  <si>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</si>
  <si>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</si>
  <si>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</si>
  <si>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</si>
  <si>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</si>
  <si>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</si>
  <si>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</si>
  <si>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</si>
  <si>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</si>
  <si>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</si>
  <si>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</si>
  <si>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</si>
  <si>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</si>
  <si>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</si>
  <si>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</si>
  <si>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</si>
  <si>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</si>
  <si>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</si>
  <si>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</si>
  <si>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</si>
  <si>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</si>
  <si>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</si>
  <si>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</si>
  <si>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</si>
  <si>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</si>
  <si>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</si>
  <si>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</si>
  <si>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</si>
  <si>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</si>
  <si>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</si>
  <si>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</si>
  <si>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</si>
  <si>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</si>
  <si>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</si>
  <si>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</si>
  <si>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</si>
  <si>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</si>
  <si>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</si>
  <si>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</si>
  <si>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</si>
  <si>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</si>
  <si>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</si>
  <si>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</si>
  <si>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</si>
  <si>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</si>
  <si>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</si>
  <si>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</si>
  <si>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</si>
  <si>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</si>
  <si>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</si>
  <si>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</si>
  <si>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</si>
  <si>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</si>
  <si>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</si>
  <si>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</si>
  <si>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</si>
  <si>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</si>
  <si>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</si>
  <si>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</si>
  <si>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</si>
  <si>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</si>
  <si>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</si>
  <si>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</si>
  <si>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</si>
  <si>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</si>
  <si>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</si>
  <si>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</si>
  <si>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</si>
  <si>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</si>
  <si>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</si>
  <si>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</si>
  <si>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</si>
  <si>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</si>
  <si>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</si>
  <si>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</si>
  <si>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</si>
  <si>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</si>
  <si>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</si>
  <si>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</si>
  <si>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</si>
  <si>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</si>
  <si>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</si>
  <si>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</si>
  <si>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</si>
  <si>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</si>
  <si>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</si>
  <si>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</si>
  <si>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</si>
  <si>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</si>
  <si>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</si>
  <si>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</si>
  <si>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</si>
  <si>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</si>
  <si>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</si>
  <si>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</si>
  <si>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</si>
  <si>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</si>
  <si>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</si>
  <si>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</si>
  <si>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</si>
  <si>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</si>
  <si>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</si>
  <si>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</si>
  <si>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</si>
  <si>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</si>
  <si>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</si>
  <si>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</si>
  <si>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</si>
  <si>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</si>
  <si>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</si>
  <si>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</si>
  <si>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</si>
  <si>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</si>
  <si>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</si>
  <si>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</si>
  <si>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</si>
  <si>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</si>
  <si>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</si>
  <si>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</si>
  <si>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</si>
  <si>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</si>
  <si>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</si>
  <si>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</si>
  <si>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</si>
  <si>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</si>
  <si>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</si>
  <si>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</si>
  <si>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</si>
  <si>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</si>
  <si>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</si>
  <si>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</si>
  <si>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</si>
  <si>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</si>
  <si>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</si>
  <si>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</si>
  <si>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</si>
  <si>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</si>
  <si>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</si>
  <si>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</si>
  <si>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</si>
  <si>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</si>
  <si>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</si>
  <si>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</si>
  <si>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</si>
  <si>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</si>
  <si>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</si>
  <si>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</si>
  <si>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</si>
  <si>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</si>
  <si>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</si>
  <si>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</si>
  <si>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</si>
  <si>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</si>
  <si>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</si>
  <si>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</si>
  <si>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</si>
  <si>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</si>
  <si>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</si>
  <si>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</si>
  <si>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</si>
  <si>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</si>
  <si>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</si>
  <si>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</si>
  <si>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</si>
  <si>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</si>
  <si>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</si>
  <si>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</si>
  <si>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</si>
  <si>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</si>
  <si>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</si>
  <si>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</si>
  <si>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</si>
  <si>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</si>
  <si>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</si>
  <si>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</si>
  <si>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</si>
  <si>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</si>
  <si>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</si>
  <si>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</si>
  <si>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</si>
  <si>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</si>
  <si>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</si>
  <si>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</si>
  <si>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</si>
  <si>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</si>
  <si>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</si>
  <si>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</si>
  <si>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</si>
  <si>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</si>
  <si>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</si>
  <si>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</si>
  <si>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</si>
  <si>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</si>
  <si>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</si>
  <si>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</si>
  <si>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</si>
  <si>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</si>
  <si>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</si>
  <si>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</si>
  <si>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</si>
  <si>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</si>
  <si>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</si>
  <si>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</si>
  <si>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</si>
  <si>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</si>
  <si>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</si>
  <si>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</si>
  <si>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</si>
  <si>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</si>
  <si>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</si>
  <si>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</si>
  <si>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</si>
  <si>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</si>
  <si>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</si>
  <si>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</si>
  <si>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</si>
  <si>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</si>
  <si>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</si>
  <si>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</si>
  <si>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</si>
  <si>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</si>
  <si>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</si>
  <si>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</si>
  <si>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</si>
  <si>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</si>
  <si>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</si>
  <si>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</si>
  <si>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</si>
  <si>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</si>
  <si>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</si>
  <si>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</si>
  <si>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</si>
  <si>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</si>
  <si>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</si>
  <si>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</si>
  <si>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</si>
  <si>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</si>
  <si>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</si>
  <si>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</si>
  <si>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</si>
  <si>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</si>
  <si>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</si>
  <si>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</si>
  <si>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</si>
  <si>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</si>
  <si>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</si>
  <si>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</si>
  <si>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</si>
  <si>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</si>
  <si>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</si>
  <si>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</si>
  <si>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</si>
  <si>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</si>
  <si>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</si>
  <si>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</si>
  <si>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</si>
  <si>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</si>
  <si>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</si>
  <si>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</si>
  <si>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</si>
  <si>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</si>
  <si>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</si>
  <si>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</si>
  <si>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</si>
  <si>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</si>
  <si>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</si>
  <si>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</si>
  <si>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</si>
  <si>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</si>
  <si>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</si>
  <si>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</si>
  <si>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</si>
  <si>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</si>
  <si>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</si>
  <si>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</si>
  <si>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</si>
  <si>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</si>
  <si>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</si>
  <si>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</si>
  <si>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</si>
  <si>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</si>
  <si>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</si>
  <si>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</si>
  <si>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</si>
  <si>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</si>
  <si>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</si>
  <si>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</si>
  <si>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</si>
  <si>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</si>
  <si>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</si>
  <si>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</si>
  <si>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</si>
  <si>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</si>
  <si>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</si>
  <si>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</si>
  <si>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</si>
  <si>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</si>
  <si>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</si>
  <si>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</si>
  <si>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</si>
  <si>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</si>
  <si>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</si>
  <si>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</si>
  <si>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</si>
  <si>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</si>
  <si>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</si>
  <si>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</si>
  <si>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</si>
  <si>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</si>
  <si>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</si>
  <si>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</si>
  <si>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</si>
  <si>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</si>
  <si>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</si>
  <si>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</si>
  <si>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</si>
  <si>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</si>
  <si>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</si>
  <si>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</si>
  <si>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</si>
  <si>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</si>
  <si>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</si>
  <si>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</si>
  <si>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</si>
  <si>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</si>
  <si>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</si>
  <si>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</si>
  <si>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</si>
  <si>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</si>
  <si>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</si>
  <si>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</si>
  <si>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</si>
  <si>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</si>
  <si>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</si>
  <si>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</si>
  <si>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</si>
  <si>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</si>
  <si>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</si>
  <si>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</si>
  <si>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</si>
  <si>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</si>
  <si>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</si>
  <si>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</si>
  <si>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</si>
  <si>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</si>
  <si>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</si>
  <si>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</si>
  <si>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</si>
  <si>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</si>
  <si>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</si>
  <si>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</si>
  <si>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</si>
  <si>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</si>
  <si>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</si>
  <si>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</si>
  <si>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</si>
  <si>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</si>
  <si>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</si>
  <si>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</si>
  <si>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</si>
  <si>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</si>
  <si>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</si>
  <si>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</si>
  <si>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</si>
  <si>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</si>
  <si>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</si>
  <si>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</si>
  <si>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</si>
  <si>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</si>
  <si>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</si>
  <si>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</si>
  <si>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</si>
  <si>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</si>
  <si>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</si>
  <si>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</si>
  <si>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</si>
  <si>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</si>
  <si>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</si>
  <si>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</si>
  <si>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</si>
  <si>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</si>
  <si>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</si>
  <si>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</si>
  <si>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</si>
  <si>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</si>
  <si>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</si>
  <si>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</si>
  <si>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</si>
  <si>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</si>
  <si>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</si>
  <si>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</si>
  <si>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</si>
  <si>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</si>
  <si>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</si>
  <si>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</si>
  <si>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</si>
  <si>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</si>
  <si>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</si>
  <si>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</si>
  <si>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</si>
  <si>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</si>
  <si>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</si>
  <si>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</si>
  <si>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</si>
  <si>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</si>
  <si>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</si>
  <si>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</si>
  <si>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</si>
  <si>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</si>
  <si>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</si>
  <si>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</si>
  <si>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</si>
  <si>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</si>
  <si>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</si>
  <si>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</si>
  <si>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</si>
  <si>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</si>
  <si>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</si>
  <si>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</si>
  <si>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</si>
  <si>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</si>
  <si>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</si>
  <si>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</si>
  <si>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</si>
  <si>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</si>
  <si>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</si>
  <si>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</si>
  <si>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</si>
  <si>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</si>
  <si>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</si>
  <si>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</si>
  <si>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</si>
  <si>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</si>
  <si>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</si>
  <si>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</si>
  <si>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</si>
  <si>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</si>
  <si>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</si>
  <si>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</si>
  <si>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</si>
  <si>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</si>
  <si>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</si>
  <si>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</si>
  <si>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</si>
  <si>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</si>
  <si>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</si>
  <si>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</si>
  <si>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</si>
  <si>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</si>
  <si>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</si>
  <si>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</si>
  <si>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</si>
  <si>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</si>
  <si>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</si>
  <si>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</si>
  <si>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</si>
  <si>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</si>
  <si>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</si>
  <si>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</si>
  <si>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</si>
  <si>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</si>
  <si>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</si>
  <si>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</si>
  <si>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</si>
  <si>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</si>
  <si>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</si>
  <si>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</si>
  <si>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</si>
  <si>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</si>
  <si>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</si>
  <si>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</si>
  <si>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</si>
  <si>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</si>
  <si>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</si>
  <si>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</si>
  <si>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</si>
  <si>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</si>
  <si>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</si>
  <si>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</si>
  <si>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</si>
  <si>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</si>
  <si>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</si>
  <si>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</si>
  <si>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</si>
  <si>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</si>
  <si>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</si>
  <si>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</si>
  <si>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</si>
  <si>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</si>
  <si>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</si>
  <si>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</si>
  <si>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</si>
  <si>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</si>
  <si>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</si>
  <si>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</si>
  <si>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</si>
  <si>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</si>
  <si>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</si>
  <si>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</si>
  <si>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</si>
  <si>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</si>
  <si>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</si>
  <si>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</si>
  <si>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</si>
  <si>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</si>
  <si>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</si>
  <si>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</si>
  <si>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</si>
  <si>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</si>
  <si>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</si>
  <si>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</si>
  <si>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</si>
  <si>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</si>
  <si>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</si>
  <si>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</si>
  <si>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</si>
  <si>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</si>
  <si>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</si>
  <si>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</si>
  <si>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</si>
  <si>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</si>
  <si>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</si>
  <si>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</si>
  <si>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</si>
  <si>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</si>
  <si>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</si>
  <si>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</si>
  <si>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</si>
  <si>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</si>
  <si>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</si>
  <si>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</si>
  <si>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</si>
  <si>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</si>
  <si>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</si>
  <si>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</si>
  <si>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</si>
  <si>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</si>
  <si>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</si>
  <si>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</si>
  <si>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</si>
  <si>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</si>
  <si>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</si>
  <si>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</si>
  <si>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</si>
  <si>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</si>
  <si>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</si>
  <si>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</si>
  <si>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</si>
  <si>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</si>
  <si>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</si>
  <si>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</si>
  <si>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</si>
  <si>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</si>
  <si>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</si>
  <si>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</si>
  <si>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</si>
  <si>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</si>
  <si>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</si>
  <si>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</si>
  <si>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</si>
  <si>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</si>
  <si>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</si>
  <si>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</si>
  <si>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</si>
  <si>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</si>
  <si>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</si>
  <si>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</si>
  <si>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</si>
  <si>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</si>
  <si>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</si>
  <si>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</si>
  <si>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</si>
  <si>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</si>
  <si>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</si>
  <si>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</si>
  <si>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</si>
  <si>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</si>
  <si>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</si>
  <si>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</si>
  <si>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</si>
  <si>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</si>
  <si>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</si>
  <si>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</si>
  <si>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</si>
  <si>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</si>
  <si>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</si>
  <si>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</si>
  <si>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</si>
  <si>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</si>
  <si>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</si>
  <si>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</si>
  <si>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</si>
  <si>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</si>
  <si>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</si>
  <si>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</si>
  <si>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</si>
  <si>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</si>
  <si>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</si>
  <si>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</si>
  <si>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</si>
  <si>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</si>
  <si>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</si>
  <si>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</si>
  <si>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</si>
  <si>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</si>
  <si>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</si>
  <si>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</si>
  <si>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</si>
  <si>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</si>
  <si>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</si>
  <si>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</si>
  <si>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</si>
  <si>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</si>
  <si>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</si>
  <si>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</si>
  <si>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</si>
  <si>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</si>
  <si>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</si>
  <si>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</si>
  <si>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</si>
  <si>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</si>
  <si>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</si>
  <si>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</si>
  <si>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</si>
  <si>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</si>
  <si>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</si>
  <si>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</si>
  <si>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</si>
  <si>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</si>
  <si>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</si>
  <si>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</si>
  <si>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</si>
  <si>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</si>
  <si>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</si>
  <si>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</si>
  <si>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</si>
  <si>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</si>
  <si>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</si>
  <si>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</si>
  <si>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</si>
  <si>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</si>
  <si>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</si>
  <si>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</si>
  <si>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</si>
  <si>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</si>
  <si>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</si>
  <si>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</si>
  <si>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</si>
  <si>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</si>
  <si>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</si>
  <si>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</si>
  <si>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</si>
  <si>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</si>
  <si>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</si>
  <si>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</si>
  <si>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</si>
  <si>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</si>
  <si>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</si>
  <si>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</si>
  <si>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</si>
  <si>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</si>
  <si>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</si>
  <si>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</si>
  <si>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</si>
  <si>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</si>
  <si>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</si>
  <si>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</si>
  <si>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</si>
  <si>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</si>
  <si>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</si>
  <si>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</si>
  <si>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</si>
  <si>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</si>
  <si>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</si>
  <si>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</si>
  <si>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</si>
  <si>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</si>
  <si>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</si>
  <si>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</si>
  <si>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</si>
  <si>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</si>
  <si>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</si>
  <si>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</si>
  <si>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</si>
  <si>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</si>
  <si>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</si>
  <si>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</si>
  <si>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</si>
  <si>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</si>
  <si>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</si>
  <si>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</si>
  <si>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</si>
  <si>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</si>
  <si>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</si>
  <si>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</si>
  <si>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</si>
  <si>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</si>
  <si>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</si>
  <si>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</si>
  <si>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</si>
  <si>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</si>
  <si>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</si>
  <si>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</si>
  <si>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</si>
  <si>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</si>
  <si>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</si>
  <si>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</si>
  <si>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</si>
  <si>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</si>
  <si>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</si>
  <si>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</si>
  <si>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</si>
  <si>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</si>
  <si>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</si>
  <si>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</si>
  <si>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</si>
  <si>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</si>
  <si>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</si>
  <si>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</si>
  <si>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</si>
  <si>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</si>
  <si>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</si>
  <si>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</si>
  <si>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</si>
  <si>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</si>
  <si>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</si>
  <si>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</si>
  <si>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</si>
  <si>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</si>
  <si>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</si>
  <si>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</si>
  <si>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</si>
  <si>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</si>
  <si>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</si>
  <si>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</si>
  <si>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</si>
  <si>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</si>
  <si>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</si>
  <si>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</si>
  <si>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</si>
  <si>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</si>
  <si>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</si>
  <si>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</si>
  <si>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</si>
  <si>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</si>
  <si>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</si>
  <si>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</si>
  <si>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</si>
  <si>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</si>
  <si>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</si>
  <si>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</si>
  <si>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</si>
  <si>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</si>
  <si>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</si>
  <si>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</si>
  <si>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</si>
  <si>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</si>
  <si>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</si>
  <si>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</si>
  <si>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</si>
  <si>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</si>
  <si>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</si>
  <si>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</si>
  <si>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</si>
  <si>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</si>
  <si>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</si>
  <si>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</si>
  <si>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</si>
  <si>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</si>
  <si>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</si>
  <si>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</si>
  <si>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</si>
  <si>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</si>
  <si>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</si>
  <si>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</si>
  <si>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</si>
  <si>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</si>
  <si>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</si>
  <si>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</si>
  <si>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</si>
  <si>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</si>
  <si>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</si>
  <si>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</si>
  <si>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</si>
  <si>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</si>
  <si>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</si>
  <si>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</si>
  <si>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</si>
  <si>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</si>
  <si>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</si>
  <si>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</si>
  <si>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</si>
  <si>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</si>
  <si>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</si>
  <si>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</si>
  <si>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</si>
  <si>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</si>
  <si>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</si>
  <si>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</si>
  <si>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</si>
  <si>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</si>
  <si>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</si>
  <si>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</si>
  <si>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</si>
  <si>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</si>
  <si>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</si>
  <si>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</si>
  <si>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</si>
  <si>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</si>
  <si>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</si>
  <si>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</si>
  <si>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</si>
  <si>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</si>
  <si>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</si>
  <si>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</si>
  <si>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</si>
  <si>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</si>
  <si>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</si>
  <si>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</si>
  <si>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</si>
  <si>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</si>
  <si>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</si>
  <si>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</si>
  <si>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</si>
  <si>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</si>
  <si>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</si>
  <si>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</si>
  <si>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</si>
  <si>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</si>
  <si>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</si>
  <si>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</si>
  <si>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</si>
  <si>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</si>
  <si>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</si>
  <si>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</si>
  <si>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</si>
  <si>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</si>
  <si>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</si>
  <si>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</si>
  <si>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</si>
  <si>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</si>
  <si>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</si>
  <si>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</si>
  <si>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</si>
  <si>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</si>
  <si>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</si>
  <si>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</si>
  <si>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</si>
  <si>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</si>
  <si>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</si>
  <si>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</si>
  <si>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</si>
  <si>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</si>
  <si>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</si>
  <si>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</si>
  <si>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</si>
  <si>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</si>
  <si>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</si>
  <si>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</si>
  <si>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</si>
  <si>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</si>
  <si>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</si>
  <si>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</si>
  <si>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</si>
  <si>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</si>
  <si>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</si>
  <si>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</si>
  <si>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</si>
  <si>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</si>
  <si>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</si>
  <si>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</si>
  <si>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</si>
  <si>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</si>
  <si>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</si>
  <si>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</si>
  <si>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</si>
  <si>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</si>
  <si>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</si>
  <si>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</si>
  <si>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</si>
  <si>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</si>
  <si>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</si>
  <si>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</si>
  <si>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</si>
  <si>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</si>
  <si>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</si>
  <si>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</si>
  <si>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</si>
  <si>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</si>
  <si>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</si>
  <si>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</si>
  <si>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</si>
  <si>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</si>
  <si>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</si>
  <si>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</si>
  <si>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</si>
  <si>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</si>
  <si>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</si>
  <si>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</si>
  <si>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</si>
  <si>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</si>
  <si>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</si>
  <si>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</si>
  <si>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</si>
  <si>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</si>
  <si>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</si>
  <si>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</si>
  <si>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</si>
  <si>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</si>
  <si>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</si>
  <si>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</si>
  <si>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</si>
  <si>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</si>
  <si>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</si>
  <si>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</si>
  <si>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</si>
  <si>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</si>
  <si>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</si>
  <si>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</si>
  <si>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</si>
  <si>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</si>
  <si>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</si>
  <si>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</si>
  <si>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</si>
  <si>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</si>
  <si>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</si>
  <si>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</si>
  <si>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</si>
  <si>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</si>
  <si>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</si>
  <si>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</si>
  <si>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</si>
  <si>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</si>
  <si>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</si>
  <si>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</si>
  <si>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</si>
  <si>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</si>
  <si>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</si>
  <si>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</si>
  <si>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</si>
  <si>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</si>
  <si>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</si>
  <si>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</si>
  <si>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</si>
  <si>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</si>
  <si>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</si>
  <si>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</si>
  <si>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</si>
  <si>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</si>
  <si>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</si>
  <si>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</si>
  <si>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</si>
  <si>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</si>
  <si>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</si>
  <si>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</si>
  <si>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</si>
  <si>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</si>
  <si>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</si>
  <si>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</si>
  <si>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</si>
  <si>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</si>
  <si>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</si>
  <si>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</si>
  <si>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</si>
  <si>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</si>
  <si>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</si>
  <si>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</si>
  <si>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</si>
  <si>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</si>
  <si>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</si>
  <si>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</si>
  <si>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</si>
  <si>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</si>
  <si>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</si>
  <si>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</si>
  <si>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</si>
  <si>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</si>
  <si>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</si>
  <si>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</si>
  <si>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</si>
  <si>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</si>
  <si>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</si>
  <si>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</si>
  <si>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</si>
  <si>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</si>
  <si>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</si>
  <si>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</si>
  <si>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</si>
  <si>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</si>
  <si>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</si>
  <si>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</si>
  <si>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</si>
  <si>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</si>
  <si>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</si>
  <si>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</si>
  <si>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</si>
  <si>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</si>
  <si>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</si>
  <si>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</si>
  <si>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</si>
  <si>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</si>
  <si>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</si>
  <si>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</si>
  <si>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</si>
  <si>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</si>
  <si>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</si>
  <si>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</si>
  <si>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</si>
  <si>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</si>
  <si>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</si>
  <si>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</si>
  <si>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</si>
  <si>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</si>
  <si>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</si>
  <si>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</si>
  <si>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</si>
  <si>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</si>
  <si>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</si>
  <si>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</si>
  <si>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</si>
  <si>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</si>
  <si>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</si>
  <si>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</si>
  <si>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</si>
  <si>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</si>
  <si>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</si>
  <si>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</si>
  <si>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</si>
  <si>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</si>
  <si>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</si>
  <si>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</si>
  <si>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</si>
  <si>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</si>
  <si>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</si>
  <si>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</si>
  <si>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</si>
  <si>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</si>
  <si>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</si>
  <si>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</si>
  <si>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</si>
  <si>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</si>
  <si>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</si>
  <si>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</si>
  <si>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</si>
  <si>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</si>
  <si>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</si>
  <si>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</si>
  <si>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</si>
  <si>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</si>
  <si>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</si>
  <si>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</si>
  <si>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</si>
  <si>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</si>
  <si>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</si>
  <si>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</si>
  <si>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</si>
  <si>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</si>
  <si>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</si>
  <si>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</si>
  <si>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</si>
  <si>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</si>
  <si>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</si>
  <si>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</si>
  <si>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</si>
  <si>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</si>
  <si>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</si>
  <si>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</si>
  <si>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</si>
  <si>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</si>
  <si>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</si>
  <si>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</si>
  <si>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</si>
  <si>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</si>
  <si>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</si>
  <si>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</si>
  <si>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</si>
  <si>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</si>
  <si>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</si>
  <si>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</si>
  <si>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</si>
  <si>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</si>
  <si>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</si>
  <si>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</si>
  <si>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</si>
  <si>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</si>
  <si>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</si>
  <si>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</si>
  <si>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</si>
  <si>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</si>
  <si>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</si>
  <si>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</si>
  <si>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</si>
  <si>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</si>
  <si>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</si>
  <si>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</si>
  <si>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</si>
  <si>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</si>
  <si>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</si>
  <si>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</si>
  <si>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</si>
  <si>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</si>
  <si>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</si>
  <si>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</si>
  <si>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</si>
  <si>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</si>
  <si>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</si>
  <si>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</si>
  <si>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</si>
  <si>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</si>
  <si>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</si>
  <si>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</si>
  <si>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</si>
  <si>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</si>
  <si>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</si>
  <si>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</si>
  <si>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</si>
  <si>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</si>
  <si>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</si>
  <si>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</si>
  <si>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</si>
  <si>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</si>
  <si>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</si>
  <si>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</si>
  <si>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</si>
  <si>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</si>
  <si>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</si>
  <si>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</si>
  <si>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</si>
  <si>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</si>
  <si>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</si>
  <si>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</si>
  <si>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</si>
  <si>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</si>
  <si>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</si>
  <si>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</si>
  <si>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</si>
  <si>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</si>
  <si>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</si>
  <si>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</si>
  <si>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</si>
  <si>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</si>
  <si>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</si>
  <si>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</si>
  <si>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</si>
  <si>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</si>
  <si>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</si>
  <si>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</si>
  <si>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</si>
  <si>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</si>
  <si>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</si>
  <si>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</si>
  <si>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</si>
  <si>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</si>
  <si>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</si>
  <si>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</si>
  <si>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</si>
  <si>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</si>
  <si>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</si>
  <si>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</si>
  <si>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</si>
  <si>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</si>
  <si>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</si>
  <si>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</si>
  <si>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</si>
  <si>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</si>
  <si>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</si>
  <si>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</si>
  <si>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</si>
  <si>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</si>
  <si>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</si>
  <si>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</si>
  <si>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</si>
  <si>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</si>
  <si>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</si>
  <si>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</si>
  <si>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</si>
  <si>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</si>
  <si>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</si>
  <si>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</si>
  <si>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</si>
  <si>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</si>
  <si>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</si>
  <si>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</si>
  <si>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</si>
  <si>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</si>
  <si>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</si>
  <si>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</si>
  <si>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</si>
  <si>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</si>
  <si>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</si>
  <si>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</si>
  <si>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</si>
  <si>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</si>
  <si>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</si>
  <si>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</si>
  <si>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</si>
  <si>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</si>
  <si>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</si>
  <si>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</si>
  <si>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</si>
  <si>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</si>
  <si>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</si>
  <si>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</si>
  <si>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</si>
  <si>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</si>
  <si>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</si>
  <si>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</si>
  <si>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</si>
  <si>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</si>
  <si>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</si>
  <si>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</si>
  <si>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</si>
  <si>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</si>
  <si>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</si>
  <si>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</si>
  <si>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</si>
  <si>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</si>
  <si>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</si>
  <si>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</si>
  <si>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</si>
  <si>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</si>
  <si>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</si>
  <si>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</si>
  <si>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</si>
  <si>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</si>
  <si>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</si>
  <si>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</si>
  <si>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</si>
  <si>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</si>
  <si>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</si>
  <si>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</si>
  <si>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</si>
  <si>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</si>
  <si>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</si>
  <si>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</si>
  <si>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</si>
  <si>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</si>
  <si>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</si>
  <si>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</si>
  <si>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</si>
  <si>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</si>
  <si>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</si>
  <si>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</si>
  <si>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</si>
  <si>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</si>
  <si>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</si>
  <si>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</si>
  <si>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</si>
  <si>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</si>
  <si>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</si>
  <si>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</si>
  <si>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</si>
  <si>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</si>
  <si>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</si>
  <si>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</si>
  <si>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</si>
  <si>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</si>
  <si>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</si>
  <si>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</si>
  <si>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</si>
  <si>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</si>
  <si>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</si>
  <si>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</si>
  <si>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</si>
  <si>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</si>
  <si>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</si>
  <si>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</si>
  <si>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</si>
  <si>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</si>
  <si>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</si>
  <si>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</si>
  <si>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</si>
  <si>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</si>
  <si>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</si>
  <si>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</si>
  <si>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</si>
  <si>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</si>
  <si>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</si>
  <si>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</si>
  <si>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</si>
  <si>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</si>
  <si>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</si>
  <si>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</si>
  <si>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</si>
  <si>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</si>
  <si>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</si>
  <si>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</si>
  <si>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</si>
  <si>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</si>
  <si>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</si>
  <si>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</si>
  <si>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</si>
  <si>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</si>
  <si>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</si>
  <si>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</si>
  <si>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</si>
  <si>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</si>
  <si>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</si>
  <si>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</si>
  <si>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</si>
  <si>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</si>
  <si>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</si>
  <si>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</si>
  <si>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</si>
  <si>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</si>
  <si>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</si>
  <si>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</si>
  <si>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</si>
  <si>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</si>
  <si>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</si>
  <si>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</si>
  <si>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</si>
  <si>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</si>
  <si>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</si>
  <si>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</si>
  <si>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</si>
  <si>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</si>
  <si>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</si>
  <si>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</si>
  <si>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</si>
  <si>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</si>
  <si>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</si>
  <si>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</si>
  <si>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</si>
  <si>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</si>
  <si>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</si>
  <si>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</si>
  <si>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</si>
  <si>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</si>
  <si>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</si>
  <si>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</si>
  <si>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</si>
  <si>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</si>
  <si>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</si>
  <si>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</si>
  <si>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</si>
  <si>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</si>
  <si>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</si>
  <si>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</si>
  <si>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</si>
  <si>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</si>
  <si>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</si>
  <si>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</si>
  <si>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</si>
  <si>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</si>
  <si>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</si>
  <si>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</si>
  <si>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</si>
  <si>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</si>
  <si>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</si>
  <si>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</si>
  <si>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</si>
  <si>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</si>
  <si>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</si>
  <si>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</si>
  <si>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</si>
  <si>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</si>
  <si>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</si>
  <si>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</si>
  <si>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</si>
  <si>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</si>
  <si>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</si>
  <si>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</si>
  <si>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</si>
  <si>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</si>
  <si>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</si>
  <si>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</si>
  <si>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</si>
  <si>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</si>
  <si>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</si>
  <si>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</si>
  <si>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</si>
  <si>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</si>
  <si>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</si>
  <si>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</si>
  <si>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</si>
  <si>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</si>
  <si>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</si>
  <si>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</si>
  <si>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</si>
  <si>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</si>
  <si>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</si>
  <si>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</si>
  <si>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</si>
  <si>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</si>
  <si>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</si>
  <si>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</si>
  <si>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</si>
  <si>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</si>
  <si>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</si>
  <si>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</si>
  <si>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</si>
  <si>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</si>
  <si>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</si>
  <si>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</si>
  <si>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</si>
  <si>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</si>
  <si>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</si>
  <si>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</si>
  <si>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</si>
  <si>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</si>
  <si>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</si>
  <si>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</si>
  <si>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</si>
  <si>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</si>
  <si>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</si>
  <si>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</si>
  <si>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</si>
  <si>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</si>
  <si>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</si>
  <si>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</si>
  <si>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</si>
  <si>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</si>
  <si>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</si>
  <si>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</si>
  <si>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</si>
  <si>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</si>
  <si>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</si>
  <si>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</si>
  <si>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</si>
  <si>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</si>
  <si>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</si>
  <si>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</si>
  <si>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</si>
  <si>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</si>
  <si>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</si>
  <si>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</si>
  <si>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</si>
  <si>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</si>
  <si>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</si>
  <si>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</si>
  <si>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</si>
  <si>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</si>
  <si>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</si>
  <si>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</si>
  <si>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</si>
  <si>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</si>
  <si>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</si>
  <si>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</si>
  <si>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</si>
  <si>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</si>
  <si>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</si>
  <si>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</si>
  <si>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</si>
  <si>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</si>
  <si>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</si>
  <si>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</si>
  <si>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</si>
  <si>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</si>
  <si>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</si>
  <si>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</si>
  <si>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</si>
  <si>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</si>
  <si>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</si>
  <si>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</si>
  <si>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</si>
  <si>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</si>
  <si>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</si>
  <si>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</si>
  <si>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</si>
  <si>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</si>
  <si>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</si>
  <si>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</si>
  <si>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</si>
  <si>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</si>
  <si>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</si>
  <si>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</si>
  <si>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</si>
  <si>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</si>
  <si>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</si>
  <si>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</si>
  <si>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</si>
  <si>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</si>
  <si>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</si>
  <si>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</si>
  <si>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</si>
  <si>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</si>
  <si>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</si>
  <si>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</si>
  <si>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</si>
  <si>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</si>
  <si>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</si>
  <si>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</si>
  <si>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</si>
  <si>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</si>
  <si>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</si>
  <si>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</si>
  <si>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</si>
  <si>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</si>
  <si>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</si>
  <si>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</si>
  <si>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</si>
  <si>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</si>
  <si>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</si>
  <si>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</si>
  <si>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</si>
  <si>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</si>
  <si>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</si>
  <si>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</si>
  <si>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</si>
  <si>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</si>
  <si>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</si>
  <si>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</si>
  <si>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</si>
  <si>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</si>
  <si>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</si>
  <si>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</si>
  <si>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</si>
  <si>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</si>
  <si>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</si>
  <si>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</si>
  <si>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</si>
  <si>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</si>
  <si>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</si>
  <si>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</si>
  <si>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</si>
  <si>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</si>
  <si>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</si>
  <si>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</si>
  <si>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</si>
  <si>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</si>
  <si>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</si>
  <si>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</si>
  <si>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</si>
  <si>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</si>
  <si>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</si>
  <si>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</si>
  <si>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</si>
  <si>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</si>
  <si>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</si>
  <si>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</si>
  <si>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</si>
  <si>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</si>
  <si>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</si>
  <si>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</si>
  <si>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</si>
  <si>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</si>
  <si>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</si>
  <si>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</si>
  <si>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</si>
  <si>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</si>
  <si>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</si>
  <si>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</si>
  <si>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</si>
  <si>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</si>
  <si>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</si>
  <si>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</si>
  <si>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</si>
  <si>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</si>
  <si>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</si>
  <si>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</si>
  <si>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</si>
  <si>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</si>
  <si>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</si>
  <si>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</si>
  <si>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</si>
  <si>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</si>
  <si>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</si>
  <si>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</si>
  <si>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</si>
  <si>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</si>
  <si>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</si>
  <si>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</si>
  <si>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</si>
  <si>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</si>
  <si>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</si>
  <si>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</si>
  <si>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</si>
  <si>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</si>
  <si>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</si>
  <si>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</si>
  <si>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</si>
  <si>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</si>
  <si>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</si>
  <si>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</si>
  <si>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</si>
  <si>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</si>
  <si>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</si>
  <si>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</si>
  <si>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</si>
  <si>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</si>
  <si>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</si>
  <si>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</si>
  <si>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</si>
  <si>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</si>
  <si>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</si>
  <si>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</si>
  <si>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</si>
  <si>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</si>
  <si>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</si>
  <si>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</si>
  <si>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</si>
  <si>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</si>
  <si>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</si>
  <si>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</si>
  <si>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</si>
  <si>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</si>
  <si>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</si>
  <si>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</si>
  <si>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</si>
  <si>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</si>
  <si>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</si>
  <si>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</si>
  <si>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</si>
  <si>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</si>
  <si>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</si>
  <si>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</si>
  <si>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</si>
  <si>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</si>
  <si>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</si>
  <si>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</si>
  <si>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</si>
  <si>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</si>
  <si>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</si>
  <si>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</si>
  <si>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</si>
  <si>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</si>
  <si>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</si>
  <si>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</si>
  <si>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</si>
  <si>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</si>
  <si>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</si>
  <si>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</si>
  <si>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</si>
  <si>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</si>
  <si>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</si>
  <si>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</si>
  <si>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</si>
  <si>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</si>
  <si>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</si>
  <si>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</si>
  <si>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</si>
  <si>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</si>
  <si>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</si>
  <si>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</si>
  <si>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</si>
  <si>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</si>
  <si>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</si>
  <si>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</si>
  <si>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</si>
  <si>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</si>
  <si>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</si>
  <si>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</si>
  <si>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</si>
  <si>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</si>
  <si>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</si>
  <si>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</si>
  <si>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</si>
  <si>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</si>
  <si>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</si>
  <si>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</si>
  <si>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</si>
  <si>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</si>
  <si>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</si>
  <si>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</si>
  <si>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</si>
  <si>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</si>
  <si>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</si>
  <si>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</si>
  <si>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</si>
  <si>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</si>
  <si>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</si>
  <si>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</si>
  <si>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</si>
  <si>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</si>
  <si>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</si>
  <si>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</si>
  <si>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</si>
  <si>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</si>
  <si>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</si>
  <si>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</si>
  <si>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</si>
  <si>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</si>
  <si>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</si>
  <si>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</si>
  <si>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</si>
  <si>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</si>
  <si>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</si>
  <si>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</si>
  <si>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</si>
  <si>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</si>
  <si>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</si>
  <si>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</si>
  <si>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</si>
  <si>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</si>
  <si>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</si>
  <si>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</si>
  <si>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</si>
  <si>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</si>
  <si>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</si>
  <si>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</si>
  <si>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</si>
  <si>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</si>
  <si>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</si>
  <si>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</si>
  <si>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</si>
  <si>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</si>
  <si>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</si>
  <si>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</si>
  <si>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</si>
  <si>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</si>
  <si>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</si>
  <si>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</si>
  <si>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</si>
  <si>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</si>
  <si>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</si>
  <si>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</si>
  <si>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</si>
  <si>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</si>
  <si>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</si>
  <si>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</si>
  <si>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</si>
  <si>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</si>
  <si>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</si>
  <si>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</si>
  <si>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</si>
  <si>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</si>
  <si>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</si>
  <si>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</si>
  <si>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</si>
  <si>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</si>
  <si>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</si>
  <si>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</si>
  <si>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</si>
  <si>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</si>
  <si>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</si>
  <si>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</si>
  <si>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</si>
  <si>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</si>
  <si>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</si>
  <si>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</si>
  <si>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</si>
  <si>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</si>
  <si>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</si>
  <si>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</si>
  <si>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</si>
  <si>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</si>
  <si>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</si>
  <si>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</si>
  <si>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</si>
  <si>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</si>
  <si>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</si>
  <si>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</si>
  <si>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</si>
  <si>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</si>
  <si>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</si>
  <si>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</si>
  <si>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</si>
  <si>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</si>
  <si>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</si>
  <si>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</si>
  <si>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</si>
  <si>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</si>
  <si>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</si>
  <si>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</si>
  <si>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</si>
  <si>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</si>
  <si>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</si>
  <si>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</si>
  <si>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</si>
  <si>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</si>
  <si>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</si>
  <si>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</si>
  <si>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</si>
  <si>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</si>
  <si>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</si>
  <si>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</si>
  <si>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</si>
  <si>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</si>
  <si>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</si>
  <si>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</si>
  <si>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</si>
  <si>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</si>
  <si>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</si>
  <si>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</si>
  <si>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</si>
  <si>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</si>
  <si>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</si>
  <si>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</si>
  <si>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</si>
  <si>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</si>
  <si>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</si>
  <si>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</si>
  <si>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</si>
  <si>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</si>
  <si>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</si>
  <si>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</si>
  <si>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</si>
  <si>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</si>
  <si>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</si>
  <si>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</si>
  <si>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</si>
  <si>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</si>
  <si>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</si>
  <si>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</si>
  <si>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</si>
  <si>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</si>
  <si>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</si>
  <si>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</si>
  <si>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</si>
  <si>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</si>
  <si>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</si>
  <si>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</si>
  <si>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</si>
  <si>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</si>
  <si>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</si>
  <si>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</si>
  <si>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</si>
  <si>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</si>
  <si>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</si>
  <si>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</si>
  <si>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</si>
  <si>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</si>
  <si>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</si>
  <si>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</si>
  <si>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</si>
  <si>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</si>
  <si>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</si>
  <si>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</si>
  <si>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</si>
  <si>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</si>
  <si>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</si>
  <si>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</si>
  <si>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</si>
  <si>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</si>
  <si>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</si>
  <si>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</si>
  <si>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</si>
  <si>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</si>
  <si>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</si>
  <si>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</si>
  <si>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</si>
  <si>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</si>
  <si>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</si>
  <si>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</si>
  <si>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</si>
  <si>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</si>
  <si>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</si>
  <si>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</si>
  <si>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</si>
  <si>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</si>
  <si>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</si>
  <si>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</si>
  <si>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</si>
  <si>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</si>
  <si>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</si>
  <si>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</si>
  <si>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</si>
  <si>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</si>
  <si>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</si>
  <si>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</si>
  <si>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</si>
  <si>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</si>
  <si>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</si>
  <si>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</si>
  <si>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</si>
  <si>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</si>
  <si>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</si>
  <si>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</si>
  <si>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</si>
  <si>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</si>
  <si>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</si>
  <si>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</si>
  <si>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</si>
  <si>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</si>
  <si>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</si>
  <si>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</si>
  <si>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</si>
  <si>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</si>
  <si>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</si>
  <si>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</si>
  <si>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</si>
  <si>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</si>
  <si>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</si>
  <si>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</si>
  <si>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</si>
  <si>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</si>
  <si>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</si>
  <si>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</si>
  <si>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</si>
  <si>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</si>
  <si>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</si>
  <si>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</si>
  <si>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</si>
  <si>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</si>
  <si>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</si>
  <si>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</si>
  <si>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</si>
  <si>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</si>
  <si>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</si>
  <si>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</si>
  <si>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</si>
  <si>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</si>
  <si>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</si>
  <si>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</si>
  <si>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</si>
  <si>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</si>
  <si>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</si>
  <si>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</si>
  <si>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</si>
  <si>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</si>
  <si>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</si>
  <si>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</si>
  <si>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</si>
  <si>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</si>
  <si>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</si>
  <si>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</si>
  <si>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</si>
  <si>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</si>
  <si>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</si>
  <si>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</si>
  <si>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</si>
  <si>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</si>
  <si>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</si>
  <si>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</si>
  <si>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</si>
  <si>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</si>
  <si>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</si>
  <si>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</si>
  <si>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</si>
  <si>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</si>
  <si>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</si>
  <si>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</si>
  <si>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</si>
  <si>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</si>
  <si>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</si>
  <si>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</si>
  <si>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</si>
  <si>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</si>
  <si>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</si>
  <si>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</si>
  <si>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</si>
  <si>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</si>
  <si>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</si>
  <si>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</si>
  <si>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</si>
  <si>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</si>
  <si>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</si>
  <si>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</si>
  <si>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</si>
  <si>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</si>
  <si>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</si>
  <si>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</si>
  <si>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</si>
  <si>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</si>
  <si>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</si>
  <si>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</si>
  <si>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</si>
  <si>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</si>
  <si>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</si>
  <si>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</si>
  <si>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</si>
  <si>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</si>
  <si>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</si>
  <si>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</si>
  <si>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</si>
  <si>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</si>
  <si>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</si>
  <si>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</si>
  <si>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</si>
  <si>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</si>
  <si>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</si>
  <si>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</si>
  <si>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</si>
  <si>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</si>
  <si>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</si>
  <si>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</si>
  <si>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</si>
  <si>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</si>
  <si>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</si>
  <si>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</si>
  <si>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</si>
  <si>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</si>
  <si>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</si>
  <si>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</si>
  <si>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</si>
  <si>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</si>
  <si>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</si>
  <si>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</si>
  <si>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</si>
  <si>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</si>
  <si>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</si>
  <si>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</si>
  <si>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</si>
  <si>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</si>
  <si>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</si>
  <si>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</si>
  <si>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</si>
  <si>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</si>
  <si>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</si>
  <si>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</si>
  <si>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</si>
  <si>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</si>
  <si>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</si>
  <si>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</si>
  <si>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</si>
  <si>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</si>
  <si>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</si>
  <si>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</si>
  <si>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</si>
  <si>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</si>
  <si>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</si>
  <si>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</si>
  <si>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</si>
  <si>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</si>
  <si>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</si>
  <si>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</si>
  <si>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</si>
  <si>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</si>
  <si>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</si>
  <si>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</si>
  <si>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</si>
  <si>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</si>
  <si>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</si>
  <si>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</si>
  <si>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</si>
  <si>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</si>
  <si>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</si>
  <si>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</si>
  <si>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</si>
  <si>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</si>
  <si>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</si>
  <si>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</si>
  <si>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</si>
  <si>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</si>
  <si>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</si>
  <si>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</si>
  <si>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</si>
  <si>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</si>
  <si>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</si>
  <si>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</si>
  <si>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</si>
  <si>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</si>
  <si>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</si>
  <si>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</si>
  <si>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</si>
  <si>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</si>
  <si>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</si>
  <si>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</si>
  <si>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</si>
  <si>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</si>
  <si>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</si>
  <si>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</si>
  <si>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</si>
  <si>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</si>
  <si>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</si>
  <si>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</si>
  <si>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</si>
  <si>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</si>
  <si>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</si>
  <si>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</si>
  <si>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</si>
  <si>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</si>
  <si>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</si>
  <si>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</si>
  <si>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</si>
  <si>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</si>
  <si>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</si>
  <si>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</si>
  <si>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</si>
  <si>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</si>
  <si>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</si>
  <si>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</si>
  <si>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</si>
  <si>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</si>
  <si>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</si>
  <si>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</si>
  <si>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</si>
  <si>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</si>
  <si>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</si>
  <si>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</si>
  <si>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</si>
  <si>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</si>
  <si>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</si>
  <si>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</si>
  <si>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</si>
  <si>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</si>
  <si>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</si>
  <si>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</si>
  <si>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</si>
  <si>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</si>
  <si>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</si>
  <si>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</si>
  <si>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</si>
  <si>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</si>
  <si>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</si>
  <si>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</si>
  <si>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</si>
  <si>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</si>
  <si>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</si>
  <si>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</si>
  <si>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</si>
  <si>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</si>
  <si>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</si>
  <si>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</si>
  <si>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</si>
  <si>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</si>
  <si>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</si>
  <si>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</si>
  <si>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</si>
  <si>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</si>
  <si>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</si>
  <si>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</si>
  <si>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</si>
  <si>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</si>
  <si>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</si>
  <si>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</si>
  <si>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</si>
  <si>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</si>
  <si>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</si>
  <si>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</si>
  <si>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</si>
  <si>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</si>
  <si>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</si>
  <si>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</si>
  <si>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</si>
  <si>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</si>
  <si>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</si>
  <si>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</si>
  <si>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</si>
  <si>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</si>
  <si>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</si>
  <si>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</si>
  <si>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</si>
  <si>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</si>
  <si>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</si>
  <si>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</si>
  <si>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</si>
  <si>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</si>
  <si>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</si>
  <si>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</si>
  <si>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</si>
  <si>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</si>
  <si>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</si>
  <si>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</si>
  <si>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</si>
  <si>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</si>
  <si>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</si>
  <si>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</si>
  <si>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</si>
  <si>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</si>
  <si>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</si>
  <si>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</si>
  <si>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</si>
  <si>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</si>
  <si>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</si>
  <si>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</si>
  <si>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</si>
  <si>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</si>
  <si>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</si>
  <si>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</si>
  <si>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</si>
  <si>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</si>
  <si>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</si>
  <si>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</si>
  <si>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</si>
  <si>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</si>
  <si>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</si>
  <si>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</si>
  <si>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</si>
  <si>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</si>
  <si>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</si>
  <si>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</si>
  <si>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</si>
  <si>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</si>
  <si>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</si>
  <si>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</si>
  <si>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</si>
  <si>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</si>
  <si>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</si>
  <si>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</si>
  <si>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</si>
  <si>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</si>
  <si>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</si>
  <si>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</si>
  <si>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</si>
  <si>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</si>
  <si>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</si>
  <si>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</si>
  <si>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</si>
  <si>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</si>
  <si>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</si>
  <si>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</si>
  <si>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</si>
  <si>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</si>
  <si>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</si>
  <si>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</si>
  <si>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</si>
  <si>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</si>
  <si>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</si>
  <si>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</si>
  <si>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</si>
  <si>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</si>
  <si>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</si>
  <si>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</si>
  <si>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</si>
  <si>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</si>
  <si>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</si>
  <si>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</si>
  <si>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</si>
  <si>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</si>
  <si>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</si>
  <si>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</si>
  <si>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</si>
  <si>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</si>
  <si>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</si>
  <si>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</si>
  <si>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</si>
  <si>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</si>
  <si>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</si>
  <si>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</si>
  <si>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</si>
  <si>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</si>
  <si>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</si>
  <si>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</si>
  <si>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</si>
  <si>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</si>
  <si>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</si>
  <si>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</si>
  <si>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</si>
  <si>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</si>
  <si>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</si>
  <si>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</si>
  <si>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</si>
  <si>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</si>
  <si>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</si>
  <si>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</si>
  <si>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</si>
  <si>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</si>
  <si>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</si>
  <si>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</si>
  <si>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</si>
  <si>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</si>
  <si>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</si>
  <si>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</si>
  <si>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</si>
  <si>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</si>
  <si>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</si>
  <si>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</si>
  <si>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</si>
  <si>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</si>
  <si>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</si>
  <si>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</si>
  <si>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</si>
  <si>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</si>
  <si>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</si>
  <si>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</si>
  <si>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</si>
  <si>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</si>
  <si>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</si>
  <si>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</si>
  <si>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</si>
  <si>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</si>
  <si>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</si>
  <si>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</si>
  <si>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</si>
  <si>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</si>
  <si>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</si>
  <si>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</si>
  <si>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</si>
  <si>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</si>
  <si>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</si>
  <si>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</si>
  <si>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</si>
  <si>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</si>
  <si>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</si>
  <si>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</si>
  <si>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</si>
  <si>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</si>
  <si>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</si>
  <si>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</si>
  <si>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</si>
  <si>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</si>
  <si>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</si>
  <si>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</si>
  <si>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</si>
  <si>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</si>
  <si>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</si>
  <si>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</si>
  <si>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</si>
  <si>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</si>
  <si>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</si>
  <si>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</si>
  <si>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</si>
  <si>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</si>
  <si>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</si>
  <si>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</si>
  <si>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</si>
  <si>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</si>
  <si>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</si>
  <si>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</si>
  <si>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</si>
  <si>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</si>
  <si>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</si>
  <si>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</si>
  <si>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</si>
  <si>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</si>
  <si>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</si>
  <si>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</si>
  <si>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</si>
  <si>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</si>
  <si>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</si>
  <si>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</si>
  <si>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</si>
  <si>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</si>
  <si>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</si>
  <si>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</si>
  <si>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</si>
  <si>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</si>
  <si>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</si>
  <si>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</si>
  <si>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</si>
  <si>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</si>
  <si>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</si>
  <si>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</si>
  <si>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</si>
  <si>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</si>
  <si>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</si>
  <si>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</si>
  <si>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</si>
  <si>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</si>
  <si>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</si>
  <si>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</si>
  <si>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</si>
  <si>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</si>
  <si>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</si>
  <si>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</si>
  <si>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</si>
  <si>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</si>
  <si>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</si>
  <si>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</si>
  <si>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</si>
  <si>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</si>
  <si>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</si>
  <si>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</si>
  <si>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</si>
  <si>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</si>
  <si>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</si>
  <si>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</si>
  <si>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</si>
  <si>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</si>
  <si>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</si>
  <si>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</si>
  <si>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</si>
  <si>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</si>
  <si>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</si>
  <si>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</si>
  <si>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</si>
  <si>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</si>
  <si>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</si>
  <si>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</si>
  <si>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</si>
  <si>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</si>
  <si>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</si>
  <si>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</si>
  <si>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</si>
  <si>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</si>
  <si>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</si>
  <si>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</si>
  <si>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</si>
  <si>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</si>
  <si>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</si>
  <si>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</si>
  <si>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</si>
  <si>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</si>
  <si>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</si>
  <si>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</si>
  <si>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</si>
  <si>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</si>
  <si>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</si>
  <si>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</si>
  <si>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</si>
  <si>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</si>
  <si>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</si>
  <si>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</si>
  <si>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</si>
  <si>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</si>
  <si>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</si>
  <si>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</si>
  <si>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</si>
  <si>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</si>
  <si>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</si>
  <si>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</si>
  <si>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</si>
  <si>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</si>
  <si>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</si>
  <si>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</si>
  <si>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</si>
  <si>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</si>
  <si>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</si>
  <si>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</si>
  <si>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</si>
  <si>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</si>
  <si>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</si>
  <si>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</si>
  <si>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</si>
  <si>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</si>
  <si>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</si>
  <si>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</si>
  <si>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</si>
  <si>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</si>
  <si>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</si>
  <si>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</si>
  <si>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</si>
  <si>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</si>
  <si>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</si>
  <si>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</si>
  <si>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</si>
  <si>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</si>
  <si>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</si>
  <si>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</si>
  <si>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</si>
  <si>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</si>
  <si>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</si>
  <si>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</si>
  <si>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</si>
  <si>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</si>
  <si>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</si>
  <si>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</si>
  <si>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</si>
  <si>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</si>
  <si>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</si>
  <si>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</si>
  <si>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</si>
  <si>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</si>
  <si>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</si>
  <si>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</si>
  <si>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</si>
  <si>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</si>
  <si>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</si>
  <si>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</si>
  <si>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</si>
  <si>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</si>
  <si>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</si>
  <si>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</si>
  <si>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</si>
  <si>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</si>
  <si>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</si>
  <si>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</si>
  <si>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</si>
  <si>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</si>
  <si>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</si>
  <si>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</si>
  <si>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</si>
  <si>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</si>
  <si>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</si>
  <si>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</si>
  <si>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</si>
  <si>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</si>
  <si>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</si>
  <si>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</si>
  <si>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</si>
  <si>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</si>
  <si>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</si>
  <si>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</si>
  <si>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</si>
  <si>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</si>
  <si>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</si>
  <si>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</si>
  <si>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</si>
  <si>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</si>
  <si>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</si>
  <si>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</si>
  <si>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</si>
  <si>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</si>
  <si>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</si>
  <si>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</si>
  <si>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</si>
  <si>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</si>
  <si>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</si>
  <si>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</si>
  <si>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</si>
  <si>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</si>
  <si>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</si>
  <si>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</si>
  <si>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</si>
  <si>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</si>
  <si>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</si>
  <si>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</si>
  <si>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</si>
  <si>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</si>
  <si>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</si>
  <si>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</si>
  <si>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</si>
  <si>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</si>
  <si>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</si>
  <si>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</si>
  <si>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</si>
  <si>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</si>
  <si>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</si>
  <si>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</si>
  <si>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</si>
  <si>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</si>
  <si>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</si>
  <si>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</si>
  <si>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</si>
  <si>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</si>
  <si>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</si>
  <si>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</si>
  <si>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</si>
  <si>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</si>
  <si>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</si>
  <si>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</si>
  <si>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</si>
  <si>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</si>
  <si>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</si>
  <si>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</si>
  <si>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</si>
  <si>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</si>
  <si>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</si>
  <si>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</si>
  <si>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</si>
  <si>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</si>
  <si>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</si>
  <si>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</si>
  <si>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</si>
  <si>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</si>
  <si>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</si>
  <si>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</si>
  <si>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</si>
  <si>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</si>
  <si>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</si>
  <si>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</si>
  <si>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</si>
  <si>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</si>
  <si>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</si>
  <si>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</si>
  <si>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</si>
  <si>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</si>
  <si>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</si>
  <si>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</si>
  <si>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</si>
  <si>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</si>
  <si>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</si>
  <si>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</si>
  <si>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</si>
  <si>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</si>
  <si>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</si>
  <si>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</si>
  <si>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</si>
  <si>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</si>
  <si>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</si>
  <si>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</si>
  <si>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</si>
  <si>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</si>
  <si>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</si>
  <si>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</si>
  <si>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</si>
  <si>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</si>
  <si>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</si>
  <si>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</si>
  <si>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</si>
  <si>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</si>
  <si>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</si>
  <si>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</si>
  <si>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</si>
  <si>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</si>
  <si>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</si>
  <si>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</si>
  <si>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</si>
  <si>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</si>
  <si>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</si>
  <si>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</si>
  <si>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</si>
  <si>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</si>
  <si>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</si>
  <si>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</si>
  <si>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</si>
  <si>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</si>
  <si>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</si>
  <si>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</si>
  <si>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</si>
  <si>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</si>
  <si>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</si>
  <si>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</si>
  <si>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</si>
  <si>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</si>
  <si>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</si>
  <si>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</si>
  <si>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</si>
  <si>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</si>
  <si>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</si>
  <si>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</si>
  <si>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</si>
  <si>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</si>
  <si>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</si>
  <si>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</si>
  <si>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</si>
  <si>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</si>
  <si>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</si>
  <si>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</si>
  <si>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</si>
  <si>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</si>
  <si>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</si>
  <si>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</si>
  <si>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</si>
  <si>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</si>
  <si>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</si>
  <si>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</si>
  <si>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</si>
  <si>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</si>
  <si>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</si>
  <si>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</si>
  <si>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</si>
  <si>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</si>
  <si>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</si>
  <si>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</si>
  <si>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</si>
  <si>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</si>
  <si>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</si>
  <si>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</si>
  <si>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</si>
  <si>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</si>
  <si>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</si>
  <si>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</si>
  <si>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</si>
  <si>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</si>
  <si>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</si>
  <si>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</si>
  <si>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</si>
  <si>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</si>
  <si>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</si>
  <si>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</si>
  <si>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</si>
  <si>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</si>
  <si>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</si>
  <si>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</si>
  <si>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</si>
  <si>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</si>
  <si>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</si>
  <si>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</si>
  <si>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</si>
  <si>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</si>
  <si>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</si>
  <si>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</si>
  <si>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</si>
  <si>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</si>
  <si>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</si>
  <si>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</si>
  <si>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</si>
  <si>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</si>
  <si>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</si>
  <si>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</si>
  <si>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</si>
  <si>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</si>
  <si>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</si>
  <si>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</si>
  <si>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</si>
  <si>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</si>
  <si>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</si>
  <si>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</si>
  <si>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</si>
  <si>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</si>
  <si>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</si>
  <si>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</si>
  <si>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</si>
  <si>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</si>
  <si>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</si>
  <si>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</si>
  <si>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</si>
  <si>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</si>
  <si>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</si>
  <si>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</si>
  <si>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</si>
  <si>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</si>
  <si>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</si>
  <si>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</si>
  <si>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</si>
  <si>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</si>
  <si>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</si>
  <si>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</si>
  <si>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</si>
  <si>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</si>
  <si>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</si>
  <si>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</si>
  <si>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</si>
  <si>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</si>
  <si>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</si>
  <si>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</si>
  <si>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</si>
  <si>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</si>
  <si>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</si>
  <si>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</si>
  <si>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</si>
  <si>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</si>
  <si>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</si>
  <si>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</si>
  <si>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</si>
  <si>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</si>
  <si>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</si>
  <si>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</si>
  <si>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</si>
  <si>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</si>
  <si>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</si>
  <si>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</si>
  <si>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</si>
  <si>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</si>
  <si>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</si>
  <si>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</si>
  <si>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</si>
  <si>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</si>
  <si>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</si>
  <si>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</si>
  <si>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</si>
  <si>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</si>
  <si>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</si>
  <si>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</si>
  <si>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</si>
  <si>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</si>
  <si>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</si>
  <si>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</si>
  <si>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</si>
  <si>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</si>
  <si>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</si>
  <si>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</si>
  <si>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</si>
  <si>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</si>
  <si>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</si>
  <si>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</si>
  <si>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</si>
  <si>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</si>
  <si>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</si>
  <si>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</si>
  <si>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</si>
  <si>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</si>
  <si>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</si>
  <si>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</si>
  <si>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</si>
  <si>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</si>
  <si>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</si>
  <si>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</si>
  <si>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</si>
  <si>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</si>
  <si>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</si>
  <si>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</si>
  <si>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</si>
  <si>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</si>
  <si>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</si>
  <si>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</si>
  <si>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</si>
  <si>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r>
      <t>21-1#</t>
    </r>
    <r>
      <rPr>
        <sz val="10"/>
        <color indexed="8"/>
        <rFont val="宋体"/>
        <family val="3"/>
        <charset val="134"/>
      </rPr>
      <t>住宅楼</t>
    </r>
    <phoneticPr fontId="3" type="noConversion"/>
  </si>
  <si>
    <t>是</t>
  </si>
  <si>
    <t>地上</t>
  </si>
  <si>
    <t>地下</t>
  </si>
  <si>
    <r>
      <t>21-2#住宅楼</t>
    </r>
    <r>
      <rPr>
        <sz val="10"/>
        <color indexed="8"/>
        <rFont val="宋体"/>
        <family val="3"/>
        <charset val="134"/>
      </rPr>
      <t/>
    </r>
  </si>
  <si>
    <r>
      <t>21-3#住宅楼</t>
    </r>
    <r>
      <rPr>
        <sz val="10"/>
        <color indexed="8"/>
        <rFont val="宋体"/>
        <family val="3"/>
        <charset val="134"/>
      </rPr>
      <t/>
    </r>
  </si>
  <si>
    <r>
      <t>21-4#住宅楼</t>
    </r>
    <r>
      <rPr>
        <sz val="10"/>
        <color indexed="8"/>
        <rFont val="宋体"/>
        <family val="3"/>
        <charset val="134"/>
      </rPr>
      <t/>
    </r>
  </si>
  <si>
    <r>
      <t>21-5#住宅楼</t>
    </r>
    <r>
      <rPr>
        <sz val="10"/>
        <color indexed="8"/>
        <rFont val="宋体"/>
        <family val="3"/>
        <charset val="134"/>
      </rPr>
      <t/>
    </r>
  </si>
  <si>
    <r>
      <t>21-6#住宅楼</t>
    </r>
    <r>
      <rPr>
        <sz val="10"/>
        <color indexed="8"/>
        <rFont val="宋体"/>
        <family val="3"/>
        <charset val="134"/>
      </rPr>
      <t/>
    </r>
  </si>
  <si>
    <r>
      <t>21-7#住宅楼</t>
    </r>
    <r>
      <rPr>
        <sz val="10"/>
        <color indexed="8"/>
        <rFont val="宋体"/>
        <family val="3"/>
        <charset val="134"/>
      </rPr>
      <t/>
    </r>
  </si>
  <si>
    <r>
      <t>21-8#</t>
    </r>
    <r>
      <rPr>
        <sz val="11"/>
        <color indexed="8"/>
        <rFont val="宋体"/>
        <family val="3"/>
        <charset val="134"/>
      </rPr>
      <t>配套楼</t>
    </r>
    <phoneticPr fontId="3" type="noConversion"/>
  </si>
  <si>
    <r>
      <t>21-10#</t>
    </r>
    <r>
      <rPr>
        <sz val="11"/>
        <color indexed="8"/>
        <rFont val="宋体"/>
        <family val="3"/>
        <charset val="134"/>
      </rPr>
      <t>配套楼</t>
    </r>
    <phoneticPr fontId="3" type="noConversion"/>
  </si>
  <si>
    <r>
      <t>21-11#</t>
    </r>
    <r>
      <rPr>
        <sz val="11"/>
        <color indexed="8"/>
        <rFont val="宋体"/>
        <family val="3"/>
        <charset val="134"/>
      </rPr>
      <t>配套楼</t>
    </r>
    <phoneticPr fontId="3" type="noConversion"/>
  </si>
  <si>
    <r>
      <t>21-</t>
    </r>
    <r>
      <rPr>
        <sz val="11"/>
        <color indexed="8"/>
        <rFont val="宋体"/>
        <family val="3"/>
        <charset val="134"/>
      </rPr>
      <t>地下车库</t>
    </r>
    <phoneticPr fontId="3" type="noConversion"/>
  </si>
  <si>
    <r>
      <t>21-9#</t>
    </r>
    <r>
      <rPr>
        <sz val="11"/>
        <color indexed="8"/>
        <rFont val="宋体"/>
        <family val="3"/>
        <charset val="134"/>
      </rPr>
      <t>配套楼</t>
    </r>
    <phoneticPr fontId="3" type="noConversion"/>
  </si>
  <si>
    <t>不在本次申报范围内</t>
    <phoneticPr fontId="3" type="noConversion"/>
  </si>
  <si>
    <t>地下车库连通通道</t>
    <phoneticPr fontId="3" type="noConversion"/>
  </si>
  <si>
    <t>地下一体化连廊空间</t>
    <phoneticPr fontId="3" type="noConversion"/>
  </si>
  <si>
    <t>否</t>
  </si>
  <si>
    <t>住宅</t>
    <phoneticPr fontId="7" type="noConversion"/>
  </si>
  <si>
    <t>商业</t>
    <phoneticPr fontId="7" type="noConversion"/>
  </si>
  <si>
    <t>地下车库</t>
  </si>
  <si>
    <t>地下车库</t>
    <phoneticPr fontId="7" type="noConversion"/>
  </si>
  <si>
    <t>地下仓储</t>
  </si>
  <si>
    <t>地下仓储</t>
    <phoneticPr fontId="7" type="noConversion"/>
  </si>
  <si>
    <t>工程进度</t>
  </si>
  <si>
    <t>土地比较法-住宅、综合</t>
  </si>
  <si>
    <t>假设开发法</t>
  </si>
  <si>
    <t>含税</t>
  </si>
  <si>
    <t>拿地价</t>
    <phoneticPr fontId="8" type="noConversion"/>
  </si>
  <si>
    <t>成交总价</t>
    <phoneticPr fontId="243" type="noConversion"/>
  </si>
  <si>
    <t>土地单价</t>
    <phoneticPr fontId="243" type="noConversion"/>
  </si>
  <si>
    <t>每亩单价</t>
    <phoneticPr fontId="243" type="noConversion"/>
  </si>
  <si>
    <t>楼面单价</t>
    <phoneticPr fontId="243" type="noConversion"/>
  </si>
  <si>
    <t>溢价率</t>
    <phoneticPr fontId="243" type="noConversion"/>
  </si>
  <si>
    <t>可售楼面单价</t>
    <phoneticPr fontId="243" type="noConversion"/>
  </si>
  <si>
    <t>北京市大兴区西红门镇DX04-0102-6038地块R2二类居住用地</t>
    <phoneticPr fontId="243" type="noConversion"/>
  </si>
  <si>
    <t>京土储挂(兴)[2025]035号</t>
  </si>
  <si>
    <t>住宅用地</t>
  </si>
  <si>
    <t>R2二类居住用地</t>
  </si>
  <si>
    <t>挂牌</t>
  </si>
  <si>
    <t>中建壹品投资发展有限公司 、武汉联投置业有限公司</t>
  </si>
  <si>
    <t>北京市大兴区大兴经济开发区DX00-0302-0021、DX00-0302-0022地块R2二类居住用地</t>
    <phoneticPr fontId="243" type="noConversion"/>
  </si>
  <si>
    <t>京土储挂(兴)[2024]055号</t>
  </si>
  <si>
    <t>0021:2.5,0022:2.246</t>
  </si>
  <si>
    <t>北京大兴发展集地开发有限公司</t>
  </si>
  <si>
    <t>北京经济技术开发区亦庄新城0202街区 YZ00-0202-X24R2、X24B1、X24G1-1、X24G1-2地块R2二类居住用地、B1商业用地、G1公园绿地</t>
    <phoneticPr fontId="243" type="noConversion"/>
  </si>
  <si>
    <t>京土储挂(开)[2024]054号</t>
  </si>
  <si>
    <t>综合用地(含住宅)</t>
  </si>
  <si>
    <t>R2二类居住用地、B1商业用地、G1公园绿地</t>
  </si>
  <si>
    <t>≤2.5</t>
  </si>
  <si>
    <t>北京招晨房地产开发有限公司</t>
  </si>
  <si>
    <t>北京市大兴区西红门镇1号地土地一级开发项目DX04-0102-6030、6029地块R2二类居住用地、A334托幼用地</t>
    <phoneticPr fontId="243" type="noConversion"/>
  </si>
  <si>
    <t>京土储挂(兴)[2024]033号</t>
  </si>
  <si>
    <t>R2二类居住用地、A334托幼用地</t>
  </si>
  <si>
    <t>r2:2.5,a33:0.8</t>
  </si>
  <si>
    <t>北京兴创置地房地产开发有限公司</t>
  </si>
  <si>
    <t>北京市大兴区大兴新城核心区DX00-0101-051、052地块、黄村七街DX00-0201-0248、0255地块R2二类居住用地、S4社会停车场用地、A334托幼用地</t>
    <phoneticPr fontId="243" type="noConversion"/>
  </si>
  <si>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</si>
  <si>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</si>
  <si>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</si>
  <si>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phoneticPr fontId="243" type="noConversion"/>
  </si>
  <si>
    <t>京土储挂(兴)[2024]023号</t>
  </si>
  <si>
    <t>R2 二类居住用地、B4综合性商业金融服务业用地、A334 托幼用地</t>
  </si>
  <si>
    <t>0033:2.8,0003:1.6,0007:0.8,0011:1.7</t>
  </si>
  <si>
    <t>北京市大兴城镇建设综合开发集团有限公司 、北京大兴发展集地开发有限公司</t>
  </si>
  <si>
    <t>京土储挂(兴)[2024]004号</t>
  </si>
  <si>
    <t>住宅 其他商业服务设施</t>
  </si>
  <si>
    <t>中建壹品投资发展有限公司</t>
  </si>
  <si>
    <t>北京经济技术开发区亦庄新城0503街区YZ00-0503-B19R1、B19A1、B19A2、B25B1地块R2二类居住用地、A4体育用地、A33基础教育用地、B1S3商业用地混合基础设施用地</t>
    <phoneticPr fontId="243" type="noConversion"/>
  </si>
  <si>
    <t>京土储挂(开)[2023]075号</t>
  </si>
  <si>
    <t>R2二类居住用地、A4体育用地、A33基础教育用地、B1S3商业用地混合基础设施用地</t>
  </si>
  <si>
    <t>b19r1:≤2.5,b19a1:≤0.6,b19a2:≤0.8,b25b1:≤2.4</t>
  </si>
  <si>
    <t>华润置地开发(北京)有限公司</t>
  </si>
  <si>
    <t>京土储挂(兴临空)〔2023〕064号</t>
  </si>
  <si>
    <t>住宅 办公</t>
  </si>
  <si>
    <t>北京新航城控股有限公司 、中建科技集团有限公司</t>
  </si>
  <si>
    <t>京土储挂(兴)[2023]059号</t>
  </si>
  <si>
    <t>城镇住宅-普通商品住房用地</t>
  </si>
  <si>
    <t>北京诺德兴创置业有限公司</t>
  </si>
  <si>
    <t>京土储挂(兴临空)〔2023〕060号</t>
  </si>
  <si>
    <t>北京新航城控股有限公司</t>
  </si>
  <si>
    <t>北京市大兴区大兴新城西片区一期A 组团土地一级开发项目DX00-0407-0007 地块R2二类居住用地</t>
    <phoneticPr fontId="243" type="noConversion"/>
  </si>
  <si>
    <t>京土储挂(兴)[2023]057号</t>
  </si>
  <si>
    <t>北京市大兴城镇建设综合开发集团有限公司 、北京兴业恒盛投资管理有限公司</t>
  </si>
  <si>
    <t>京土储挂(兴)[2023]037号</t>
  </si>
  <si>
    <t>6018、6019、6026容积率2、6022容积率0.8</t>
  </si>
  <si>
    <t>湖州中石房地产开发有限公司</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</si>
  <si>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</si>
  <si>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</si>
  <si>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</si>
  <si>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</si>
  <si>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phoneticPr fontId="243" type="noConversion"/>
  </si>
  <si>
    <t>京土储挂(兴)[2023]022号</t>
  </si>
  <si>
    <t>中建三局城市投资运营有限公司 、北京市大兴城镇建设综合开发集团有限公司</t>
  </si>
  <si>
    <t>京土储挂(开)[2023]019号</t>
  </si>
  <si>
    <t>中皋置业有限公司</t>
  </si>
  <si>
    <t>京土储挂(开)[2023]009号</t>
  </si>
  <si>
    <t>招商局地产(北京)有限公司</t>
  </si>
  <si>
    <t>京土储挂(兴)[2023]008号</t>
  </si>
  <si>
    <t>dx04-0102-6005容积率2.5、dx04-0102-6007容积率0.8</t>
  </si>
  <si>
    <t>华润置地开发(北京)有限公司 、中铁置业集团北京有限公司</t>
  </si>
  <si>
    <t>较差</t>
  </si>
  <si>
    <t>楼面地价</t>
  </si>
  <si>
    <t>总价</t>
  </si>
  <si>
    <t>情况3</t>
  </si>
  <si>
    <t>正常</t>
  </si>
  <si>
    <t>自行开发建设</t>
  </si>
  <si>
    <t>非个人房产</t>
  </si>
  <si>
    <t>企业提供（需剥离进项税，在右侧录入）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</si>
</sst>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0" fontId="128"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14" fontId="0" fillId="0" borderId="0" xfId="0" applyNumberFormat="1">
      <alignment vertical="center"/>
    </xf>
    <xf numFmtId="0" fontId="0" fillId="23" borderId="0" xfId="0" applyFill="1">
      <alignment vertical="center"/>
    </xf>
    <xf numFmtId="14" fontId="0" fillId="23" borderId="0" xfId="0" applyNumberFormat="1" applyFill="1">
      <alignment vertical="center"/>
    </xf>
    <xf numFmtId="0" fontId="0" fillId="5" borderId="0" xfId="0" applyFill="1">
      <alignment vertical="center"/>
    </xf>
    <xf numFmtId="14" fontId="0" fillId="5" borderId="0" xfId="0" applyNumberFormat="1" applyFill="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2" xfId="0" applyFont="1" applyFill="1" applyBorder="1" applyAlignment="1" applyProtection="1">
      <alignment horizontal="left"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213472</xdr:colOff>
      <xdr:row>25</xdr:row>
      <xdr:rowOff>76200</xdr:rowOff>
    </xdr:from>
    <xdr:to>
      <xdr:col>9</xdr:col>
      <xdr:colOff>690843</xdr:colOff>
      <xdr:row>45</xdr:row>
      <xdr:rowOff>49266</xdr:rowOff>
    </xdr:to>
    <xdr:pic>
      <xdr:nvPicPr>
        <xdr:cNvPr id="6" name="图片 5"/>
        <xdr:cNvPicPr>
          <a:picLocks noChangeAspect="1"/>
        </xdr:cNvPicPr>
      </xdr:nvPicPr>
      <xdr:blipFill>
        <a:blip xmlns:r="http://schemas.openxmlformats.org/officeDocument/2006/relationships" r:embed="rId1"/>
        <a:stretch>
          <a:fillRect/>
        </a:stretch>
      </xdr:blipFill>
      <xdr:spPr>
        <a:xfrm>
          <a:off x="213472" y="4362450"/>
          <a:ext cx="10230971" cy="3402066"/>
        </a:xfrm>
        <a:prstGeom prst="rect">
          <a:avLst/>
        </a:prstGeom>
      </xdr:spPr>
    </xdr:pic>
    <xdr:clientData/>
  </xdr:twoCellAnchor>
  <xdr:twoCellAnchor editAs="oneCell">
    <xdr:from>
      <xdr:col>0</xdr:col>
      <xdr:colOff>179855</xdr:colOff>
      <xdr:row>47</xdr:row>
      <xdr:rowOff>170329</xdr:rowOff>
    </xdr:from>
    <xdr:to>
      <xdr:col>10</xdr:col>
      <xdr:colOff>379880</xdr:colOff>
      <xdr:row>70</xdr:row>
      <xdr:rowOff>27454</xdr:rowOff>
    </xdr:to>
    <xdr:pic>
      <xdr:nvPicPr>
        <xdr:cNvPr id="7" name="图片 6"/>
        <xdr:cNvPicPr>
          <a:picLocks noChangeAspect="1"/>
        </xdr:cNvPicPr>
      </xdr:nvPicPr>
      <xdr:blipFill>
        <a:blip xmlns:r="http://schemas.openxmlformats.org/officeDocument/2006/relationships" r:embed="rId2"/>
        <a:stretch>
          <a:fillRect/>
        </a:stretch>
      </xdr:blipFill>
      <xdr:spPr>
        <a:xfrm>
          <a:off x="179855" y="8228479"/>
          <a:ext cx="10858500" cy="3800475"/>
        </a:xfrm>
        <a:prstGeom prst="rect">
          <a:avLst/>
        </a:prstGeom>
      </xdr:spPr>
    </xdr:pic>
    <xdr:clientData/>
  </xdr:twoCellAnchor>
  <xdr:twoCellAnchor editAs="oneCell">
    <xdr:from>
      <xdr:col>0</xdr:col>
      <xdr:colOff>240366</xdr:colOff>
      <xdr:row>73</xdr:row>
      <xdr:rowOff>124384</xdr:rowOff>
    </xdr:from>
    <xdr:to>
      <xdr:col>10</xdr:col>
      <xdr:colOff>430866</xdr:colOff>
      <xdr:row>95</xdr:row>
      <xdr:rowOff>124384</xdr:rowOff>
    </xdr:to>
    <xdr:pic>
      <xdr:nvPicPr>
        <xdr:cNvPr id="8" name="图片 7"/>
        <xdr:cNvPicPr>
          <a:picLocks noChangeAspect="1"/>
        </xdr:cNvPicPr>
      </xdr:nvPicPr>
      <xdr:blipFill>
        <a:blip xmlns:r="http://schemas.openxmlformats.org/officeDocument/2006/relationships" r:embed="rId3"/>
        <a:stretch>
          <a:fillRect/>
        </a:stretch>
      </xdr:blipFill>
      <xdr:spPr>
        <a:xfrm>
          <a:off x="240366" y="12640234"/>
          <a:ext cx="10848975" cy="3771900"/>
        </a:xfrm>
        <a:prstGeom prst="rect">
          <a:avLst/>
        </a:prstGeom>
      </xdr:spPr>
    </xdr:pic>
    <xdr:clientData/>
  </xdr:twoCellAnchor>
  <xdr:twoCellAnchor editAs="oneCell">
    <xdr:from>
      <xdr:col>0</xdr:col>
      <xdr:colOff>266700</xdr:colOff>
      <xdr:row>98</xdr:row>
      <xdr:rowOff>68915</xdr:rowOff>
    </xdr:from>
    <xdr:to>
      <xdr:col>10</xdr:col>
      <xdr:colOff>504825</xdr:colOff>
      <xdr:row>120</xdr:row>
      <xdr:rowOff>97490</xdr:rowOff>
    </xdr:to>
    <xdr:pic>
      <xdr:nvPicPr>
        <xdr:cNvPr id="9" name="图片 8"/>
        <xdr:cNvPicPr>
          <a:picLocks noChangeAspect="1"/>
        </xdr:cNvPicPr>
      </xdr:nvPicPr>
      <xdr:blipFill>
        <a:blip xmlns:r="http://schemas.openxmlformats.org/officeDocument/2006/relationships" r:embed="rId4"/>
        <a:stretch>
          <a:fillRect/>
        </a:stretch>
      </xdr:blipFill>
      <xdr:spPr>
        <a:xfrm>
          <a:off x="266700" y="16871015"/>
          <a:ext cx="10896600" cy="3800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22303;&#22320;0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假设开发法"/>
      <sheetName val="收益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69251.909999999989</v>
          </cell>
          <cell r="C14">
            <v>20320.47</v>
          </cell>
          <cell r="D14">
            <v>103403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估价对象为北京市房地产，为所有。根据《国有土地使用证》[]，估价对象（分摊）出让国有建设用地使用权面积为28389.67平方米，建筑面积为95404.21平方米。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估价对象为北京市房地产,属开发建设的，该项目尚在开发建设中。根据《国有土地使用证》[]，估价对象（分摊）出让国有建设用地使用权面积为28389.67平方米，规划建筑面积为95404.21平方米。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2026年3月6日</v>
      </c>
    </row>
    <row r="13" spans="1:2" s="843" customFormat="1">
      <c r="A13" s="841" t="s">
        <v>523</v>
      </c>
      <c r="B13" s="842"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本次评估采用的主估价方法为比较法和假设开发法。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139930</v>
      </c>
    </row>
    <row r="21" spans="1:2" s="843" customFormat="1">
      <c r="A21" s="841" t="s">
        <v>531</v>
      </c>
      <c r="B21" s="842">
        <f ca="1">'预评函-2'!D7</f>
        <v>14667</v>
      </c>
    </row>
    <row r="22" spans="1:2" s="843" customFormat="1">
      <c r="A22" s="841" t="s">
        <v>532</v>
      </c>
      <c r="B22" s="842" t="str">
        <f ca="1">'预评函-2'!D6</f>
        <v>壹拾叁亿玖仟玖佰叁拾万元整</v>
      </c>
    </row>
    <row r="23" spans="1:2" s="843" customFormat="1">
      <c r="A23" s="841" t="s">
        <v>583</v>
      </c>
      <c r="B23" s="842" t="str">
        <f>'预评函-2'!B8</f>
        <v>2.估价师知悉的法定优先受偿款</v>
      </c>
    </row>
    <row r="24" spans="1:2" s="843" customFormat="1">
      <c r="A24" s="841" t="s">
        <v>589</v>
      </c>
      <c r="B24" s="842">
        <f>'预评函-2'!D8</f>
        <v>2026</v>
      </c>
    </row>
    <row r="25" spans="1:2" s="843" customFormat="1">
      <c r="A25" s="841" t="s">
        <v>533</v>
      </c>
      <c r="B25" s="842" t="str">
        <f>'预评函-2'!D9</f>
        <v>贰仟零贰拾陆万元整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2026</v>
      </c>
    </row>
    <row r="29" spans="1:2" s="843" customFormat="1">
      <c r="A29" s="841" t="s">
        <v>587</v>
      </c>
      <c r="B29" s="842" t="str">
        <f>'预评函-2'!B13</f>
        <v>3.房地产抵押价值</v>
      </c>
    </row>
    <row r="30" spans="1:2" s="843" customFormat="1">
      <c r="A30" s="841" t="s">
        <v>588</v>
      </c>
      <c r="B30" s="842">
        <f ca="1">'预评函-2'!D13</f>
        <v>137904</v>
      </c>
    </row>
    <row r="31" spans="1:2" s="843" customFormat="1">
      <c r="A31" s="841" t="s">
        <v>570</v>
      </c>
      <c r="B31" s="842">
        <f ca="1">'预评函-2'!D15</f>
        <v>14455</v>
      </c>
    </row>
    <row r="32" spans="1:2" s="843" customFormat="1">
      <c r="A32" s="841" t="s">
        <v>537</v>
      </c>
      <c r="B32" s="842" t="str">
        <f ca="1">'预评函-2'!D14</f>
        <v>壹拾叁亿柒仟玖佰零肆万元整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137834</v>
      </c>
    </row>
    <row r="39" spans="1:2" s="843" customFormat="1">
      <c r="A39" s="841" t="s">
        <v>539</v>
      </c>
      <c r="B39" s="842">
        <f ca="1">'预评函-2'!D21</f>
        <v>14447</v>
      </c>
    </row>
    <row r="40" spans="1:2" s="843" customFormat="1">
      <c r="A40" s="841" t="s">
        <v>540</v>
      </c>
      <c r="B40" s="842" t="str">
        <f ca="1">'预评函-2'!D20</f>
        <v>壹拾叁亿柒仟捌佰叁拾肆万元整</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95404.21</v>
      </c>
    </row>
    <row r="44" spans="1:2" s="843" customFormat="1">
      <c r="A44" s="841" t="s">
        <v>569</v>
      </c>
      <c r="B44" s="842" t="str">
        <f>'预评函-3'!C2</f>
        <v>(分摊)土地面积</v>
      </c>
    </row>
    <row r="45" spans="1:2" s="843" customFormat="1">
      <c r="A45" s="841" t="s">
        <v>541</v>
      </c>
      <c r="B45" s="842">
        <f>'预评函-3'!C4</f>
        <v>28389.67</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故，本次评估估价师知悉的法定优先受偿款为人民币2026万元整。</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6"/>
      <c r="B54" s="1160" t="s">
        <v>379</v>
      </c>
      <c r="C54" s="1157" t="s">
        <v>577</v>
      </c>
    </row>
    <row r="55" spans="1:4">
      <c r="A55" s="4676"/>
      <c r="B55" s="1160" t="s">
        <v>380</v>
      </c>
      <c r="C55" s="1157" t="s">
        <v>578</v>
      </c>
    </row>
    <row r="56" spans="1:4">
      <c r="A56" s="4676"/>
      <c r="B56" s="1160" t="s">
        <v>381</v>
      </c>
      <c r="C56" s="1157" t="s">
        <v>582</v>
      </c>
    </row>
    <row r="57" spans="1:4">
      <c r="A57" s="467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zoomScaleNormal="100" workbookViewId="0">
      <selection activeCell="R11" sqref="R11"/>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677" t="s">
        <v>2468</v>
      </c>
      <c r="J2" s="4678"/>
      <c r="K2" s="4678"/>
      <c r="L2" s="4678"/>
      <c r="M2" s="4678"/>
      <c r="N2" s="4678"/>
      <c r="O2" s="4678"/>
      <c r="P2" s="4678"/>
      <c r="Q2" s="4678"/>
      <c r="R2" s="4679"/>
    </row>
    <row r="3" spans="1:19">
      <c r="A3" s="2384" t="s">
        <v>2389</v>
      </c>
      <c r="B3" s="2385">
        <f>项目基本情况!D3</f>
        <v>46087</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3">
        <v>80</v>
      </c>
      <c r="K4" s="4333">
        <v>70</v>
      </c>
      <c r="L4" s="4333">
        <v>20</v>
      </c>
      <c r="M4" s="4333">
        <v>30</v>
      </c>
      <c r="N4" s="3779">
        <v>45</v>
      </c>
      <c r="O4" s="3779">
        <v>60</v>
      </c>
      <c r="P4" s="3779">
        <v>50</v>
      </c>
      <c r="Q4" s="3779">
        <v>20</v>
      </c>
      <c r="R4" s="4334">
        <v>375</v>
      </c>
    </row>
    <row r="5" spans="1:19">
      <c r="A5" s="3778">
        <v>40</v>
      </c>
      <c r="B5" s="2385">
        <v>46375</v>
      </c>
      <c r="C5" s="3779">
        <f>ROUNDDOWN(MIN((B5-B3)/365,A5),2)</f>
        <v>0.78</v>
      </c>
      <c r="D5" s="3780">
        <f>IF(ISERROR(ROUND(POWER(1+E5,A5-C5)*(POWER(1+E5,C5)-1)/(POWER(1+E5,A5)-1),3)),0,ROUND(POWER(1+E5,A5-C5)*(POWER(1+E5,C5)-1)/(POWER(1+E5,A5)-1),4))</f>
        <v>3.8100000000000002E-2</v>
      </c>
      <c r="E5" s="3781">
        <v>0.04</v>
      </c>
      <c r="F5" s="2383"/>
      <c r="I5" s="3758" t="s">
        <v>2470</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10.79</v>
      </c>
      <c r="D6" s="3780">
        <f>IF(ISERROR(ROUND(POWER(1+E6,A6-C6)*(POWER(1+E6,C6)-1)/(POWER(1+E6,A6)-1),3)),0,ROUND(POWER(1+E6,A6-C6)*(POWER(1+E6,C6)-1)/(POWER(1+E6,A6)-1),4))</f>
        <v>0.40150000000000002</v>
      </c>
      <c r="E6" s="3781">
        <v>0.04</v>
      </c>
      <c r="F6" s="2383"/>
      <c r="I6" s="3760" t="s">
        <v>2471</v>
      </c>
      <c r="J6" s="4335">
        <v>60</v>
      </c>
      <c r="K6" s="4335">
        <v>50</v>
      </c>
      <c r="L6" s="4335">
        <v>10</v>
      </c>
      <c r="M6" s="4335">
        <v>20</v>
      </c>
      <c r="N6" s="4336">
        <v>35</v>
      </c>
      <c r="O6" s="4336">
        <v>40</v>
      </c>
      <c r="P6" s="4336">
        <v>30</v>
      </c>
      <c r="Q6" s="4336">
        <v>10</v>
      </c>
      <c r="R6" s="4337">
        <v>255</v>
      </c>
    </row>
    <row r="7" spans="1:19">
      <c r="A7" s="3778">
        <v>70</v>
      </c>
      <c r="B7" s="2385">
        <v>57333</v>
      </c>
      <c r="C7" s="3779">
        <f>ROUNDDOWN(MIN((B7-B3)/365,A7),2)</f>
        <v>30.81</v>
      </c>
      <c r="D7" s="3780">
        <f>IF(ISERROR(ROUND(POWER(1+E7,A7-C7)*(POWER(1+E7,C7)-1)/(POWER(1+E7,A7)-1),3)),0,ROUND(POWER(1+E7,A7-C7)*(POWER(1+E7,C7)-1)/(POWER(1+E7,A7)-1),4))</f>
        <v>0.74950000000000006</v>
      </c>
      <c r="E7" s="3781">
        <v>0.04</v>
      </c>
      <c r="F7" s="2383"/>
      <c r="I7" s="3761" t="s">
        <v>3668</v>
      </c>
      <c r="J7" s="3762" t="s">
        <v>3670</v>
      </c>
      <c r="K7" s="3763">
        <v>2.5</v>
      </c>
      <c r="L7" s="3764"/>
      <c r="M7" s="3757"/>
      <c r="N7" s="2378"/>
      <c r="O7" s="2378"/>
      <c r="P7" s="2378"/>
      <c r="Q7" s="2378"/>
      <c r="R7" s="2379"/>
    </row>
    <row r="8" spans="1:19" ht="14.25" thickBot="1">
      <c r="A8" s="2381"/>
      <c r="B8" s="2382"/>
      <c r="C8" s="2382"/>
      <c r="D8" s="2382"/>
      <c r="E8" s="2382"/>
      <c r="F8" s="2383"/>
      <c r="I8" s="4677" t="s">
        <v>3669</v>
      </c>
      <c r="J8" s="4678"/>
      <c r="K8" s="4678"/>
      <c r="L8" s="4678"/>
      <c r="M8" s="4678"/>
      <c r="N8" s="4678"/>
      <c r="O8" s="4678"/>
      <c r="P8" s="4678"/>
      <c r="Q8" s="4678"/>
      <c r="R8" s="4679"/>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682" t="s">
        <v>3872</v>
      </c>
    </row>
    <row r="10" spans="1:19">
      <c r="A10" s="2384" t="s">
        <v>2396</v>
      </c>
      <c r="B10" s="2386"/>
      <c r="C10" s="2386"/>
      <c r="D10" s="2386" t="s">
        <v>2394</v>
      </c>
      <c r="E10" s="2386"/>
      <c r="F10" s="2387" t="s">
        <v>2393</v>
      </c>
      <c r="I10" s="3758" t="s">
        <v>2469</v>
      </c>
      <c r="J10" s="4333">
        <f>ROUND(J4/$K$7,0)</f>
        <v>32</v>
      </c>
      <c r="K10" s="4333">
        <f t="shared" ref="K10:Q12" si="0">ROUND(K4/$K$7,0)</f>
        <v>28</v>
      </c>
      <c r="L10" s="4333">
        <f t="shared" si="0"/>
        <v>8</v>
      </c>
      <c r="M10" s="4333">
        <f t="shared" si="0"/>
        <v>12</v>
      </c>
      <c r="N10" s="4333">
        <f t="shared" si="0"/>
        <v>18</v>
      </c>
      <c r="O10" s="4333">
        <f t="shared" si="0"/>
        <v>24</v>
      </c>
      <c r="P10" s="4333">
        <f t="shared" si="0"/>
        <v>20</v>
      </c>
      <c r="Q10" s="4333">
        <f t="shared" si="0"/>
        <v>8</v>
      </c>
      <c r="R10" s="4338">
        <f>SUM(J10:Q10)</f>
        <v>150</v>
      </c>
      <c r="S10" s="4683"/>
    </row>
    <row r="11" spans="1:19">
      <c r="A11" s="3784" t="s">
        <v>2397</v>
      </c>
      <c r="B11" s="3782">
        <v>70</v>
      </c>
      <c r="C11" s="3785" t="s">
        <v>2398</v>
      </c>
      <c r="D11" s="3781">
        <v>4.4999999999999998E-2</v>
      </c>
      <c r="E11" s="3785" t="s">
        <v>2399</v>
      </c>
      <c r="F11" s="3783">
        <f>ROUND(1-(1/(POWER(1+D11,B11))),4)</f>
        <v>0.95409999999999995</v>
      </c>
      <c r="I11" s="3758" t="s">
        <v>2470</v>
      </c>
      <c r="J11" s="4333">
        <f>ROUND(J5/$K$7,0)</f>
        <v>28</v>
      </c>
      <c r="K11" s="4333">
        <f t="shared" si="0"/>
        <v>24</v>
      </c>
      <c r="L11" s="4333">
        <f t="shared" si="0"/>
        <v>6</v>
      </c>
      <c r="M11" s="4333">
        <f t="shared" si="0"/>
        <v>10</v>
      </c>
      <c r="N11" s="4333">
        <f t="shared" si="0"/>
        <v>16</v>
      </c>
      <c r="O11" s="4333">
        <f t="shared" si="0"/>
        <v>20</v>
      </c>
      <c r="P11" s="4333">
        <f t="shared" si="0"/>
        <v>16</v>
      </c>
      <c r="Q11" s="4333">
        <f t="shared" si="0"/>
        <v>6</v>
      </c>
      <c r="R11" s="4338">
        <f t="shared" ref="R11:R12" si="1">SUM(J11:Q11)</f>
        <v>126</v>
      </c>
      <c r="S11" s="4683"/>
    </row>
    <row r="12" spans="1:19" ht="14.25" thickBot="1">
      <c r="A12" s="3784" t="s">
        <v>2400</v>
      </c>
      <c r="B12" s="3782">
        <v>40</v>
      </c>
      <c r="C12" s="3785" t="s">
        <v>2401</v>
      </c>
      <c r="D12" s="3781">
        <v>4.4999999999999998E-2</v>
      </c>
      <c r="E12" s="3785" t="s">
        <v>2402</v>
      </c>
      <c r="F12" s="3783">
        <f>ROUND(1-(1/(POWER(1+D12,B12))),4)</f>
        <v>0.82809999999999995</v>
      </c>
      <c r="I12" s="3765" t="s">
        <v>2471</v>
      </c>
      <c r="J12" s="4333">
        <f>ROUND(J6/$K$7,0)</f>
        <v>24</v>
      </c>
      <c r="K12" s="4333">
        <f t="shared" si="0"/>
        <v>20</v>
      </c>
      <c r="L12" s="4333">
        <f t="shared" si="0"/>
        <v>4</v>
      </c>
      <c r="M12" s="4333">
        <f t="shared" si="0"/>
        <v>8</v>
      </c>
      <c r="N12" s="4333">
        <f t="shared" si="0"/>
        <v>14</v>
      </c>
      <c r="O12" s="4333">
        <f t="shared" si="0"/>
        <v>16</v>
      </c>
      <c r="P12" s="4333">
        <f t="shared" si="0"/>
        <v>12</v>
      </c>
      <c r="Q12" s="4333">
        <f t="shared" si="0"/>
        <v>4</v>
      </c>
      <c r="R12" s="4338">
        <f t="shared" si="1"/>
        <v>102</v>
      </c>
      <c r="S12" s="4683"/>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683"/>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683"/>
    </row>
    <row r="15" spans="1:19">
      <c r="A15" s="3784" t="s">
        <v>2405</v>
      </c>
      <c r="B15" s="3788">
        <f>ROUND(B14*F12/F11,2)</f>
        <v>4339.6899999999996</v>
      </c>
      <c r="C15" s="3780">
        <f>ROUND(F12/F11,4)</f>
        <v>0.8679</v>
      </c>
      <c r="D15" s="2382"/>
      <c r="E15" s="2382"/>
      <c r="F15" s="2383"/>
      <c r="I15" s="3758" t="s">
        <v>2469</v>
      </c>
      <c r="J15" s="4333">
        <f>ROUND(J10*$L$13,0)</f>
        <v>30</v>
      </c>
      <c r="K15" s="4333">
        <f t="shared" ref="K15:Q15" si="2">ROUND(K10*$L$13,0)</f>
        <v>26</v>
      </c>
      <c r="L15" s="4333">
        <f t="shared" si="2"/>
        <v>7</v>
      </c>
      <c r="M15" s="4333">
        <f t="shared" si="2"/>
        <v>11</v>
      </c>
      <c r="N15" s="4333">
        <f t="shared" si="2"/>
        <v>17</v>
      </c>
      <c r="O15" s="4333">
        <f t="shared" si="2"/>
        <v>22</v>
      </c>
      <c r="P15" s="4333">
        <f t="shared" si="2"/>
        <v>19</v>
      </c>
      <c r="Q15" s="4333">
        <f t="shared" si="2"/>
        <v>7</v>
      </c>
      <c r="R15" s="4339">
        <f>SUM(J15:Q15)</f>
        <v>139</v>
      </c>
      <c r="S15" s="4683"/>
    </row>
    <row r="16" spans="1:19">
      <c r="A16" s="2384" t="s">
        <v>2406</v>
      </c>
      <c r="B16" s="2834"/>
      <c r="C16" s="2834"/>
      <c r="D16" s="2382"/>
      <c r="E16" s="2382"/>
      <c r="F16" s="2383"/>
      <c r="I16" s="3758" t="s">
        <v>2470</v>
      </c>
      <c r="J16" s="4333">
        <f t="shared" ref="J16:Q16" si="3">ROUND(J11*$L$13,0)</f>
        <v>26</v>
      </c>
      <c r="K16" s="4333">
        <f t="shared" si="3"/>
        <v>22</v>
      </c>
      <c r="L16" s="4333">
        <f t="shared" si="3"/>
        <v>6</v>
      </c>
      <c r="M16" s="4333">
        <f t="shared" si="3"/>
        <v>9</v>
      </c>
      <c r="N16" s="4333">
        <f t="shared" si="3"/>
        <v>15</v>
      </c>
      <c r="O16" s="4333">
        <f t="shared" si="3"/>
        <v>19</v>
      </c>
      <c r="P16" s="4333">
        <f t="shared" si="3"/>
        <v>15</v>
      </c>
      <c r="Q16" s="4333">
        <f t="shared" si="3"/>
        <v>6</v>
      </c>
      <c r="R16" s="4339">
        <f t="shared" ref="R16:R17" si="4">SUM(J16:Q16)</f>
        <v>118</v>
      </c>
      <c r="S16" s="4683"/>
    </row>
    <row r="17" spans="1:19" ht="14.25" thickBot="1">
      <c r="A17" s="3784" t="s">
        <v>2405</v>
      </c>
      <c r="B17" s="3789">
        <v>4810</v>
      </c>
      <c r="C17" s="3787"/>
      <c r="D17" s="2382"/>
      <c r="E17" s="2382"/>
      <c r="F17" s="2383"/>
      <c r="I17" s="3760" t="s">
        <v>2471</v>
      </c>
      <c r="J17" s="4333">
        <f t="shared" ref="J17:Q17" si="5">ROUND(J12*$L$13,0)</f>
        <v>22</v>
      </c>
      <c r="K17" s="4333">
        <f t="shared" si="5"/>
        <v>19</v>
      </c>
      <c r="L17" s="4333">
        <f t="shared" si="5"/>
        <v>4</v>
      </c>
      <c r="M17" s="4333">
        <f t="shared" si="5"/>
        <v>7</v>
      </c>
      <c r="N17" s="4333">
        <f t="shared" si="5"/>
        <v>13</v>
      </c>
      <c r="O17" s="4333">
        <f t="shared" si="5"/>
        <v>15</v>
      </c>
      <c r="P17" s="4333">
        <f t="shared" si="5"/>
        <v>11</v>
      </c>
      <c r="Q17" s="4333">
        <f t="shared" si="5"/>
        <v>4</v>
      </c>
      <c r="R17" s="4339">
        <f t="shared" si="4"/>
        <v>95</v>
      </c>
      <c r="S17" s="4684"/>
    </row>
    <row r="18" spans="1:19" ht="14.25" thickBot="1">
      <c r="A18" s="3790" t="s">
        <v>2404</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4.2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3348</v>
      </c>
      <c r="B49" s="4331"/>
      <c r="C49" s="4331"/>
      <c r="D49" s="4331"/>
      <c r="E49" s="4331"/>
      <c r="I49" s="4680" t="s">
        <v>3980</v>
      </c>
      <c r="J49" s="4680"/>
      <c r="K49" s="4680"/>
      <c r="L49" s="4680"/>
      <c r="M49" s="4680"/>
      <c r="N49" s="2388"/>
      <c r="O49" s="2388"/>
    </row>
    <row r="50" spans="1:16" ht="14.25">
      <c r="A50" s="2847" t="s">
        <v>3349</v>
      </c>
      <c r="B50" s="2851" t="s">
        <v>3350</v>
      </c>
      <c r="C50" s="2854" t="s">
        <v>3351</v>
      </c>
      <c r="D50" s="2855" t="s">
        <v>3359</v>
      </c>
      <c r="E50" s="2856" t="s">
        <v>3358</v>
      </c>
      <c r="F50" s="2857" t="s">
        <v>3365</v>
      </c>
      <c r="I50" s="4469" t="s">
        <v>3360</v>
      </c>
      <c r="J50" s="4470" t="s">
        <v>3361</v>
      </c>
      <c r="K50" s="4470" t="s">
        <v>3362</v>
      </c>
      <c r="L50" s="4470" t="s">
        <v>3363</v>
      </c>
      <c r="M50" s="4471" t="s">
        <v>3364</v>
      </c>
      <c r="N50" s="4478" t="s">
        <v>3976</v>
      </c>
      <c r="O50" s="4471" t="s">
        <v>3977</v>
      </c>
    </row>
    <row r="51" spans="1:16" ht="15">
      <c r="A51" s="2849" t="s">
        <v>3825</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3352</v>
      </c>
      <c r="B52" s="2840">
        <v>5508</v>
      </c>
      <c r="C52" s="2860"/>
      <c r="D52" s="2842">
        <v>3000</v>
      </c>
      <c r="E52" s="2863">
        <f>D52*B52</f>
        <v>16524000</v>
      </c>
      <c r="F52" s="2858"/>
      <c r="G52" s="2839" t="s">
        <v>3826</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3978</v>
      </c>
    </row>
    <row r="53" spans="1:16" ht="15" thickBot="1">
      <c r="A53" s="2848" t="s">
        <v>3353</v>
      </c>
      <c r="B53" s="2840">
        <v>4485</v>
      </c>
      <c r="C53" s="2860"/>
      <c r="D53" s="2842">
        <v>4500</v>
      </c>
      <c r="E53" s="2863">
        <f>D53*B53</f>
        <v>20182500</v>
      </c>
      <c r="F53" s="2858"/>
      <c r="G53" s="2839" t="s">
        <v>3827</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3979</v>
      </c>
    </row>
    <row r="54" spans="1:16" ht="15">
      <c r="A54" s="2849" t="s">
        <v>3354</v>
      </c>
      <c r="B54" s="2852">
        <f>B51</f>
        <v>9993</v>
      </c>
      <c r="C54" s="2852">
        <f>E54/B54</f>
        <v>1283.8637045932153</v>
      </c>
      <c r="D54" s="4293"/>
      <c r="E54" s="2864">
        <f>E55+E56</f>
        <v>12829650</v>
      </c>
      <c r="F54" s="4292">
        <f>E54/$E$62</f>
        <v>0.15779328102775064</v>
      </c>
      <c r="G54" s="2839"/>
      <c r="H54" s="2839"/>
    </row>
    <row r="55" spans="1:16" ht="15">
      <c r="A55" s="2848" t="s">
        <v>3823</v>
      </c>
      <c r="B55" s="4291">
        <f>B52</f>
        <v>5508</v>
      </c>
      <c r="C55" s="2852"/>
      <c r="D55" s="4294">
        <v>1800</v>
      </c>
      <c r="E55" s="2863">
        <f>D55*B55</f>
        <v>9914400</v>
      </c>
      <c r="F55" s="2858"/>
      <c r="G55" s="2839" t="s">
        <v>3828</v>
      </c>
      <c r="H55" s="2839"/>
    </row>
    <row r="56" spans="1:16" ht="15">
      <c r="A56" s="2848" t="s">
        <v>3824</v>
      </c>
      <c r="B56" s="4291">
        <f>B53</f>
        <v>4485</v>
      </c>
      <c r="C56" s="2852"/>
      <c r="D56" s="4294">
        <v>650</v>
      </c>
      <c r="E56" s="2863">
        <f>D56*B56</f>
        <v>2915250</v>
      </c>
      <c r="F56" s="2858"/>
      <c r="G56" s="2839" t="s">
        <v>3829</v>
      </c>
      <c r="H56" s="2839"/>
    </row>
    <row r="57" spans="1:16" ht="15">
      <c r="A57" s="4290" t="s">
        <v>3822</v>
      </c>
      <c r="B57" s="2852">
        <f>B51</f>
        <v>9993</v>
      </c>
      <c r="C57" s="2852">
        <f>E57/B57</f>
        <v>2704.7433203242272</v>
      </c>
      <c r="D57" s="4293"/>
      <c r="E57" s="2864">
        <f>E58+E59</f>
        <v>27028500</v>
      </c>
      <c r="F57" s="2858">
        <f>E57/$E$62</f>
        <v>0.33242650393881035</v>
      </c>
      <c r="G57" s="2839"/>
      <c r="H57" s="2839"/>
      <c r="I57" s="4681" t="s">
        <v>3366</v>
      </c>
      <c r="J57" s="4681"/>
      <c r="K57" s="4681"/>
      <c r="L57" s="4681"/>
      <c r="M57" s="4681"/>
      <c r="N57" s="4468"/>
    </row>
    <row r="58" spans="1:16" ht="14.25">
      <c r="A58" s="2848" t="s">
        <v>3823</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3824</v>
      </c>
      <c r="B59" s="4291">
        <f>B53</f>
        <v>4485</v>
      </c>
      <c r="C59" s="4309">
        <v>500</v>
      </c>
      <c r="D59" s="4310"/>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3356</v>
      </c>
      <c r="B60" s="2841">
        <f>B51*0.07</f>
        <v>699.5100000000001</v>
      </c>
      <c r="C60" s="2852">
        <f>E60/B51</f>
        <v>315.00000000000006</v>
      </c>
      <c r="D60" s="4296">
        <f>D53</f>
        <v>4500</v>
      </c>
      <c r="E60" s="2864">
        <f>D60*B60</f>
        <v>3147795.0000000005</v>
      </c>
      <c r="F60" s="2858">
        <f>E60/$E$62</f>
        <v>3.8715078045990996E-2</v>
      </c>
      <c r="G60" s="4312">
        <f>B60/(B62+B60)</f>
        <v>6.5420560747663559E-2</v>
      </c>
      <c r="H60" s="4311" t="s">
        <v>3839</v>
      </c>
    </row>
    <row r="61" spans="1:16" ht="15">
      <c r="A61" s="2849" t="s">
        <v>3355</v>
      </c>
      <c r="B61" s="4295">
        <f>B51</f>
        <v>9993</v>
      </c>
      <c r="C61" s="2852">
        <f>E61/B61</f>
        <v>159.53656559591715</v>
      </c>
      <c r="D61" s="2843">
        <v>0.02</v>
      </c>
      <c r="E61" s="2864">
        <f>(E51+E54+E57+E60)*D61</f>
        <v>1594248.9000000001</v>
      </c>
      <c r="F61" s="2858">
        <f>E61/$E$62</f>
        <v>1.9607843137254902E-2</v>
      </c>
      <c r="G61" s="2839" t="s">
        <v>3830</v>
      </c>
    </row>
    <row r="62" spans="1:16" ht="15.75" thickBot="1">
      <c r="A62" s="2850" t="s">
        <v>3357</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3831</v>
      </c>
      <c r="B66" s="4302"/>
      <c r="C66" s="4302"/>
      <c r="D66" s="4303"/>
    </row>
    <row r="67" spans="1:4">
      <c r="A67" s="4304" t="s">
        <v>3834</v>
      </c>
      <c r="B67" s="4300"/>
      <c r="C67" s="4300"/>
      <c r="D67" s="4307" t="s">
        <v>3836</v>
      </c>
    </row>
    <row r="68" spans="1:4">
      <c r="A68" s="4304" t="s">
        <v>3835</v>
      </c>
      <c r="B68" s="4300"/>
      <c r="C68" s="4300"/>
      <c r="D68" s="4307" t="s">
        <v>3837</v>
      </c>
    </row>
    <row r="69" spans="1:4" ht="14.25" thickBot="1">
      <c r="A69" s="4305" t="s">
        <v>3832</v>
      </c>
      <c r="B69" s="4306"/>
      <c r="C69" s="4306"/>
      <c r="D69" s="4308"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zoomScaleSheetLayoutView="110" workbookViewId="0">
      <selection activeCell="I37" sqref="I37"/>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685" t="str">
        <f>IF(B10="北京市","北京市",C10)&amp;F10&amp;IF(结果表!G1="在建","出让国有建设用地使用权及在建建筑物",IF(结果表!G1="土地","出让国有建设用地使用权",))&amp;B9&amp;"预评估"</f>
        <v>北京市房地产抵押价值预评估</v>
      </c>
      <c r="C1" s="4686"/>
      <c r="D1" s="4686"/>
      <c r="E1" s="4686"/>
      <c r="F1" s="4686"/>
      <c r="G1" s="4686"/>
      <c r="H1" s="4686"/>
      <c r="I1" s="4687"/>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46087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4064</v>
      </c>
      <c r="C8" s="1882"/>
      <c r="D8" s="4688" t="s">
        <v>2080</v>
      </c>
      <c r="E8" s="1883" t="s">
        <v>4065</v>
      </c>
      <c r="F8" s="1884"/>
      <c r="G8" s="2096"/>
      <c r="H8" s="2096"/>
      <c r="I8" s="2096"/>
      <c r="J8" s="1926"/>
      <c r="K8" s="2049"/>
      <c r="L8" s="2048"/>
      <c r="M8" s="2048"/>
      <c r="N8" s="1926"/>
      <c r="O8" s="1937"/>
      <c r="P8" s="1926"/>
      <c r="Q8" s="1926"/>
      <c r="R8" s="1926"/>
    </row>
    <row r="9" spans="1:30" ht="13.5" thickBot="1">
      <c r="A9" s="1885" t="s">
        <v>2081</v>
      </c>
      <c r="B9" s="1886" t="s">
        <v>4065</v>
      </c>
      <c r="C9" s="1887"/>
      <c r="D9" s="4689"/>
      <c r="E9" s="1886" t="s">
        <v>581</v>
      </c>
      <c r="F9" s="1888"/>
      <c r="G9" s="2098"/>
      <c r="H9" s="2098"/>
      <c r="I9" s="2098"/>
      <c r="J9" s="1926"/>
      <c r="K9" s="2051"/>
      <c r="L9" s="2048"/>
      <c r="M9" s="2048"/>
      <c r="N9" s="1926"/>
      <c r="O9" s="1937"/>
      <c r="P9" s="1926"/>
      <c r="Q9" s="1926"/>
      <c r="R9" s="1926"/>
    </row>
    <row r="10" spans="1:30" ht="13.5" thickTop="1">
      <c r="A10" s="1889" t="s">
        <v>2082</v>
      </c>
      <c r="B10" s="3674" t="s">
        <v>4066</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4067</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71261</v>
      </c>
      <c r="D13" s="579">
        <v>60304</v>
      </c>
      <c r="E13" s="579"/>
      <c r="F13" s="579">
        <v>63956</v>
      </c>
      <c r="G13" s="579">
        <f>F13</f>
        <v>63956</v>
      </c>
      <c r="H13" s="579"/>
      <c r="I13" s="579"/>
      <c r="J13" s="2415"/>
      <c r="K13" s="2048"/>
      <c r="L13" s="2048"/>
      <c r="M13" s="1926"/>
      <c r="N13" s="1937"/>
      <c r="O13" s="1926"/>
      <c r="P13" s="1926"/>
      <c r="Q13" s="1926"/>
      <c r="AD13" s="1334"/>
    </row>
    <row r="14" spans="1:30">
      <c r="A14" s="756"/>
      <c r="B14" s="1897" t="s">
        <v>2094</v>
      </c>
      <c r="C14" s="1898">
        <v>70</v>
      </c>
      <c r="D14" s="1898">
        <v>40</v>
      </c>
      <c r="E14" s="1898"/>
      <c r="F14" s="1898">
        <v>50</v>
      </c>
      <c r="G14" s="1898">
        <v>50</v>
      </c>
      <c r="H14" s="1898"/>
      <c r="I14" s="1898"/>
      <c r="J14" s="2416"/>
      <c r="K14" s="2048"/>
      <c r="L14" s="2048"/>
      <c r="M14" s="1926"/>
      <c r="N14" s="1937"/>
      <c r="O14" s="1926"/>
      <c r="P14" s="1926"/>
      <c r="Q14" s="1926"/>
      <c r="AD14" s="1334"/>
    </row>
    <row r="15" spans="1:30">
      <c r="A15" s="207"/>
      <c r="B15" s="1899" t="s">
        <v>2095</v>
      </c>
      <c r="C15" s="3902">
        <f>IF(A13="出让",IF(C13="","",ROUNDDOWN(MIN((C13-$D$3)/365,C14),2)),C14)</f>
        <v>68.959999999999994</v>
      </c>
      <c r="D15" s="3902">
        <f>IF(A13="出让",IF(D13="","",ROUNDDOWN(MIN((D13-$D$3)/365,D14),2)),D14)</f>
        <v>38.950000000000003</v>
      </c>
      <c r="E15" s="3902" t="str">
        <f>IF(A13="出让",IF(E13="","",ROUNDDOWN(MIN((E13-$D$3)/365,E14),2)),E14)</f>
        <v/>
      </c>
      <c r="F15" s="3902">
        <f>IF(A13="出让",IF(F13="","",ROUNDDOWN(MIN((F13-$D$3)/365,F14),2)),F14)</f>
        <v>48.95</v>
      </c>
      <c r="G15" s="3902">
        <f>IF(A13="出让",IF(G13="","",ROUNDDOWN(MIN((G13-$D$3)/365,G14),2)),G14)</f>
        <v>48.95</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2096</v>
      </c>
      <c r="B16" s="4695"/>
      <c r="C16" s="4696"/>
      <c r="D16" s="4697"/>
      <c r="E16" s="1902" t="s">
        <v>2097</v>
      </c>
      <c r="F16" s="4698"/>
      <c r="G16" s="4699"/>
      <c r="H16" s="4699"/>
      <c r="I16" s="4700"/>
      <c r="J16" s="1926"/>
      <c r="K16" s="2052"/>
      <c r="L16" s="1938"/>
      <c r="M16" s="1938"/>
      <c r="N16" s="1996"/>
      <c r="O16" s="1938"/>
      <c r="P16" s="1996"/>
      <c r="Q16" s="1926"/>
      <c r="R16" s="1926"/>
    </row>
    <row r="17" spans="1:28">
      <c r="A17" s="201" t="s">
        <v>2098</v>
      </c>
      <c r="B17" s="190" t="s">
        <v>2099</v>
      </c>
      <c r="C17" s="9">
        <f>'数据-汇总表'!E3</f>
        <v>95404.21</v>
      </c>
      <c r="D17" s="1818" t="s">
        <v>2100</v>
      </c>
      <c r="E17" s="4701" t="s">
        <v>2101</v>
      </c>
      <c r="F17" s="4702"/>
      <c r="G17" s="4702"/>
      <c r="H17" s="4702"/>
      <c r="I17" s="4703"/>
      <c r="J17" s="1926"/>
      <c r="K17" s="2053"/>
      <c r="L17" s="1938"/>
      <c r="M17" s="1938"/>
      <c r="N17" s="1996"/>
      <c r="O17" s="1938"/>
      <c r="P17" s="1996"/>
      <c r="Q17" s="1926"/>
      <c r="R17" s="1926"/>
      <c r="S17" s="1926"/>
      <c r="T17" s="1926"/>
      <c r="U17" s="1926"/>
      <c r="V17" s="1926"/>
    </row>
    <row r="18" spans="1:28" ht="24.75" thickBot="1">
      <c r="A18" s="1903" t="s">
        <v>2102</v>
      </c>
      <c r="B18" s="765" t="s">
        <v>2103</v>
      </c>
      <c r="C18" s="2833">
        <f>'数据-汇总表'!D3</f>
        <v>28389.67</v>
      </c>
      <c r="D18" s="767" t="s">
        <v>2104</v>
      </c>
      <c r="E18" s="4704" t="s">
        <v>2105</v>
      </c>
      <c r="F18" s="4705"/>
      <c r="G18" s="4705"/>
      <c r="H18" s="4705"/>
      <c r="I18" s="4706"/>
      <c r="J18" s="1926"/>
      <c r="K18" s="2053"/>
      <c r="L18" s="1938"/>
      <c r="M18" s="1938"/>
      <c r="N18" s="1996"/>
      <c r="O18" s="1938"/>
      <c r="P18" s="1996"/>
      <c r="Q18" s="1926"/>
      <c r="R18" s="1926"/>
      <c r="S18" s="1926"/>
      <c r="T18" s="1926"/>
      <c r="U18" s="1926"/>
      <c r="V18" s="1926"/>
    </row>
    <row r="19" spans="1:28" ht="37.5" thickTop="1" thickBot="1">
      <c r="A19" s="214" t="s">
        <v>1039</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691" t="s">
        <v>2109</v>
      </c>
      <c r="C20" s="4692"/>
      <c r="D20" s="4693" t="s">
        <v>2110</v>
      </c>
      <c r="E20" s="4694"/>
      <c r="F20" s="2082" t="s">
        <v>1040</v>
      </c>
      <c r="G20" s="2097"/>
      <c r="H20" s="2097"/>
      <c r="I20" s="2097"/>
      <c r="J20" s="1926"/>
      <c r="K20" s="4690"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2112</v>
      </c>
      <c r="C21" s="2069" t="s">
        <v>1041</v>
      </c>
      <c r="D21" s="1173" t="s">
        <v>2113</v>
      </c>
      <c r="E21" s="2070" t="s">
        <v>1041</v>
      </c>
      <c r="F21" s="2083"/>
      <c r="G21" s="2097"/>
      <c r="H21" s="2097"/>
      <c r="I21" s="2097"/>
      <c r="J21" s="1926"/>
      <c r="K21" s="4690"/>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2114</v>
      </c>
      <c r="C22" s="2069" t="s">
        <v>1042</v>
      </c>
      <c r="D22" s="2096"/>
      <c r="E22" s="2096"/>
      <c r="F22" s="2096"/>
      <c r="G22" s="2097"/>
      <c r="H22" s="2097"/>
      <c r="I22" s="2097"/>
      <c r="J22" s="1926"/>
      <c r="K22" s="4690"/>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08"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08"/>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08"/>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09"/>
      <c r="B30" s="190" t="s">
        <v>2121</v>
      </c>
      <c r="C30" s="4710"/>
      <c r="D30" s="4711"/>
      <c r="E30" s="2097"/>
      <c r="F30" s="2097"/>
      <c r="G30" s="2097"/>
      <c r="H30" s="2097"/>
      <c r="I30" s="2097"/>
      <c r="J30" s="1926"/>
      <c r="K30" s="2051"/>
      <c r="L30" s="2048"/>
      <c r="M30" s="2048"/>
      <c r="N30" s="1926"/>
      <c r="O30" s="1937"/>
      <c r="P30" s="1926"/>
      <c r="Q30" s="1926"/>
      <c r="R30" s="1926"/>
      <c r="S30" s="1926"/>
      <c r="T30" s="1926"/>
      <c r="U30" s="1926"/>
      <c r="V30" s="1926"/>
    </row>
    <row r="31" spans="1:28">
      <c r="A31" s="4712"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07" t="s">
        <v>2131</v>
      </c>
      <c r="T34" s="1915" t="str">
        <f>NUMBERSTRING(7-K34,1)&amp;"通"</f>
        <v>七通</v>
      </c>
      <c r="U34" s="1926"/>
      <c r="V34" s="1926"/>
    </row>
    <row r="35" spans="1:30">
      <c r="A35" s="1916"/>
      <c r="B35" s="4707" t="s">
        <v>2132</v>
      </c>
      <c r="C35" s="4707"/>
      <c r="D35" s="4707"/>
      <c r="E35" s="470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7"/>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t="s">
        <v>27</v>
      </c>
      <c r="C37" s="1918"/>
      <c r="D37" s="1918" t="s">
        <v>27</v>
      </c>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2134</v>
      </c>
      <c r="B38" s="1919" t="s">
        <v>2890</v>
      </c>
      <c r="C38" s="1919"/>
      <c r="D38" s="1919" t="s">
        <v>2890</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C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hidden="1" customWidth="1"/>
    <col min="20" max="21" width="10.75" style="1178" hidden="1" customWidth="1"/>
    <col min="22" max="22" width="10.875" style="1178" hidden="1" customWidth="1"/>
    <col min="23" max="27" width="10.75" style="1178" hidden="1" customWidth="1"/>
    <col min="28" max="28" width="10.875" style="1178" hidden="1" customWidth="1"/>
    <col min="29" max="29" width="11" style="1178" bestFit="1" customWidth="1"/>
    <col min="30" max="30" width="10" style="1178" bestFit="1" customWidth="1"/>
    <col min="31" max="31" width="9.75" style="1178" customWidth="1"/>
    <col min="32" max="41" width="9.5" style="1178" customWidth="1"/>
    <col min="42" max="45" width="9.5" style="1178" hidden="1" customWidth="1"/>
    <col min="46"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v>28389.67</v>
      </c>
      <c r="B3" s="1677">
        <f>IF(C3="否",G5-AT5,G5)</f>
        <v>95404.21</v>
      </c>
      <c r="C3" s="1185" t="s">
        <v>4086</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103363.51000000001</v>
      </c>
      <c r="H5" s="3902">
        <f t="shared" ref="H5:AT5" si="0">SUM(H13:H656)</f>
        <v>81536.89</v>
      </c>
      <c r="I5" s="3902">
        <f t="shared" si="0"/>
        <v>61695.28</v>
      </c>
      <c r="J5" s="3902">
        <f t="shared" si="0"/>
        <v>0</v>
      </c>
      <c r="K5" s="3902">
        <f t="shared" si="0"/>
        <v>1136.82</v>
      </c>
      <c r="L5" s="3902">
        <f t="shared" si="0"/>
        <v>0</v>
      </c>
      <c r="M5" s="3902">
        <f t="shared" si="0"/>
        <v>3037.08</v>
      </c>
      <c r="N5" s="3902">
        <f t="shared" si="0"/>
        <v>0</v>
      </c>
      <c r="O5" s="3902">
        <f t="shared" si="0"/>
        <v>4488.0200000000004</v>
      </c>
      <c r="P5" s="3902">
        <f t="shared" si="0"/>
        <v>0</v>
      </c>
      <c r="Q5" s="3902">
        <f t="shared" si="0"/>
        <v>11179.69</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13867.32</v>
      </c>
      <c r="AD5" s="3902">
        <f t="shared" si="0"/>
        <v>354.2</v>
      </c>
      <c r="AE5" s="3902">
        <f t="shared" si="0"/>
        <v>0</v>
      </c>
      <c r="AF5" s="3902">
        <f t="shared" si="0"/>
        <v>1835.2800000000002</v>
      </c>
      <c r="AG5" s="3902">
        <f t="shared" si="0"/>
        <v>0</v>
      </c>
      <c r="AH5" s="3902">
        <f t="shared" si="0"/>
        <v>102.81</v>
      </c>
      <c r="AI5" s="3902">
        <f t="shared" si="0"/>
        <v>0</v>
      </c>
      <c r="AJ5" s="3902">
        <f t="shared" si="0"/>
        <v>0</v>
      </c>
      <c r="AK5" s="3902">
        <f t="shared" si="0"/>
        <v>0</v>
      </c>
      <c r="AL5" s="3902">
        <f t="shared" si="0"/>
        <v>1799.1399999999999</v>
      </c>
      <c r="AM5" s="3902">
        <f t="shared" si="0"/>
        <v>0</v>
      </c>
      <c r="AN5" s="3902">
        <f t="shared" si="0"/>
        <v>9775.89</v>
      </c>
      <c r="AO5" s="3902">
        <f t="shared" si="0"/>
        <v>0</v>
      </c>
      <c r="AP5" s="3902">
        <f t="shared" si="0"/>
        <v>0</v>
      </c>
      <c r="AQ5" s="3902">
        <f t="shared" si="0"/>
        <v>0</v>
      </c>
      <c r="AR5" s="3902">
        <f t="shared" si="0"/>
        <v>0</v>
      </c>
      <c r="AS5" s="3902">
        <f t="shared" si="0"/>
        <v>0</v>
      </c>
      <c r="AT5" s="3902">
        <f t="shared" si="0"/>
        <v>7959.2999999999993</v>
      </c>
      <c r="AU5" s="4109"/>
      <c r="AV5" s="4106" t="s">
        <v>1054</v>
      </c>
      <c r="AW5" s="4107"/>
      <c r="AX5" s="4107"/>
      <c r="AY5" s="471" t="s">
        <v>2</v>
      </c>
      <c r="AZ5" s="472">
        <f t="shared" ref="AZ5:BT5" si="1">SUM(AZ13:AZ656)</f>
        <v>95404.21</v>
      </c>
      <c r="BA5" s="472">
        <f t="shared" si="1"/>
        <v>81536.89</v>
      </c>
      <c r="BB5" s="472">
        <f t="shared" si="1"/>
        <v>61695.28</v>
      </c>
      <c r="BC5" s="472">
        <f t="shared" si="1"/>
        <v>1136.82</v>
      </c>
      <c r="BD5" s="472">
        <f t="shared" si="1"/>
        <v>3037.08</v>
      </c>
      <c r="BE5" s="472">
        <f t="shared" si="1"/>
        <v>4488.0200000000004</v>
      </c>
      <c r="BF5" s="472">
        <f t="shared" si="1"/>
        <v>11179.69</v>
      </c>
      <c r="BG5" s="472">
        <f t="shared" si="1"/>
        <v>0</v>
      </c>
      <c r="BH5" s="472">
        <f t="shared" si="1"/>
        <v>0</v>
      </c>
      <c r="BI5" s="472">
        <f t="shared" si="1"/>
        <v>0</v>
      </c>
      <c r="BJ5" s="472">
        <f t="shared" si="1"/>
        <v>0</v>
      </c>
      <c r="BK5" s="472">
        <f t="shared" si="1"/>
        <v>0</v>
      </c>
      <c r="BL5" s="472">
        <f t="shared" si="1"/>
        <v>13867.32</v>
      </c>
      <c r="BM5" s="472">
        <f t="shared" si="1"/>
        <v>354.2</v>
      </c>
      <c r="BN5" s="472">
        <f t="shared" si="1"/>
        <v>1835.2800000000002</v>
      </c>
      <c r="BO5" s="472">
        <f t="shared" si="1"/>
        <v>102.81</v>
      </c>
      <c r="BP5" s="472">
        <f t="shared" si="1"/>
        <v>0</v>
      </c>
      <c r="BQ5" s="472">
        <f t="shared" si="1"/>
        <v>1799.1399999999999</v>
      </c>
      <c r="BR5" s="472">
        <f t="shared" si="1"/>
        <v>9775.89</v>
      </c>
      <c r="BS5" s="472">
        <f t="shared" si="1"/>
        <v>0</v>
      </c>
      <c r="BT5" s="4110">
        <f t="shared" si="1"/>
        <v>0</v>
      </c>
    </row>
    <row r="6" spans="1:72" s="4111" customFormat="1" ht="12.75">
      <c r="A6" s="4106" t="s">
        <v>1055</v>
      </c>
      <c r="B6" s="4107"/>
      <c r="C6" s="4107"/>
      <c r="D6" s="4108"/>
      <c r="E6" s="3902">
        <f>H6+AC6+AT6</f>
        <v>28389.67</v>
      </c>
      <c r="F6" s="3902" t="s">
        <v>0</v>
      </c>
      <c r="G6" s="3902" t="s">
        <v>1</v>
      </c>
      <c r="H6" s="4097">
        <f>SUMIF(I$12:AB$12,"总值",I6:AB6)</f>
        <v>24263.14</v>
      </c>
      <c r="I6" s="3902">
        <f t="shared" ref="I6:AB6" si="2">ROUND($A$3*I5/$B$3,2)</f>
        <v>18358.82</v>
      </c>
      <c r="J6" s="3902">
        <f t="shared" si="2"/>
        <v>0</v>
      </c>
      <c r="K6" s="3902">
        <f t="shared" si="2"/>
        <v>338.29</v>
      </c>
      <c r="L6" s="3902">
        <f t="shared" si="2"/>
        <v>0</v>
      </c>
      <c r="M6" s="3902">
        <f t="shared" si="2"/>
        <v>903.75</v>
      </c>
      <c r="N6" s="3902">
        <f t="shared" si="2"/>
        <v>0</v>
      </c>
      <c r="O6" s="3902">
        <f t="shared" si="2"/>
        <v>1335.51</v>
      </c>
      <c r="P6" s="3902">
        <f t="shared" si="2"/>
        <v>0</v>
      </c>
      <c r="Q6" s="3902">
        <f t="shared" si="2"/>
        <v>3326.77</v>
      </c>
      <c r="R6" s="3902">
        <f t="shared" si="2"/>
        <v>0</v>
      </c>
      <c r="S6" s="3902">
        <f t="shared" si="2"/>
        <v>0</v>
      </c>
      <c r="T6" s="3902">
        <f t="shared" si="2"/>
        <v>0</v>
      </c>
      <c r="U6" s="3902">
        <f t="shared" si="2"/>
        <v>0</v>
      </c>
      <c r="V6" s="3902">
        <f t="shared" si="2"/>
        <v>0</v>
      </c>
      <c r="W6" s="3902">
        <f t="shared" si="2"/>
        <v>0</v>
      </c>
      <c r="X6" s="3902">
        <f t="shared" si="2"/>
        <v>0</v>
      </c>
      <c r="Y6" s="3902">
        <f t="shared" si="2"/>
        <v>0</v>
      </c>
      <c r="Z6" s="3902">
        <f t="shared" si="2"/>
        <v>0</v>
      </c>
      <c r="AA6" s="3902">
        <f t="shared" si="2"/>
        <v>0</v>
      </c>
      <c r="AB6" s="3902">
        <f t="shared" si="2"/>
        <v>0</v>
      </c>
      <c r="AC6" s="4097">
        <f>SUMIF(AD$12:AS$12,"总值",AD6:AS6)</f>
        <v>4126.53</v>
      </c>
      <c r="AD6" s="3902">
        <f t="shared" ref="AD6:AS6" si="3">ROUND($A$3*AD5/$B$3,2)</f>
        <v>105.4</v>
      </c>
      <c r="AE6" s="3902">
        <f t="shared" si="3"/>
        <v>0</v>
      </c>
      <c r="AF6" s="3902">
        <f t="shared" si="3"/>
        <v>546.13</v>
      </c>
      <c r="AG6" s="3902">
        <f t="shared" si="3"/>
        <v>0</v>
      </c>
      <c r="AH6" s="3902">
        <f t="shared" si="3"/>
        <v>30.59</v>
      </c>
      <c r="AI6" s="3902">
        <f t="shared" si="3"/>
        <v>0</v>
      </c>
      <c r="AJ6" s="3902">
        <f t="shared" si="3"/>
        <v>0</v>
      </c>
      <c r="AK6" s="3902">
        <f t="shared" si="3"/>
        <v>0</v>
      </c>
      <c r="AL6" s="3902">
        <f t="shared" si="3"/>
        <v>535.37</v>
      </c>
      <c r="AM6" s="3902">
        <f t="shared" si="3"/>
        <v>0</v>
      </c>
      <c r="AN6" s="3902">
        <f t="shared" si="3"/>
        <v>2909.04</v>
      </c>
      <c r="AO6" s="3902">
        <f t="shared" si="3"/>
        <v>0</v>
      </c>
      <c r="AP6" s="3902">
        <f t="shared" si="3"/>
        <v>0</v>
      </c>
      <c r="AQ6" s="3902">
        <f t="shared" si="3"/>
        <v>0</v>
      </c>
      <c r="AR6" s="3902">
        <f t="shared" si="3"/>
        <v>0</v>
      </c>
      <c r="AS6" s="3902">
        <f t="shared" si="3"/>
        <v>0</v>
      </c>
      <c r="AT6" s="4097">
        <f>IF(C3="是",ROUND($A$3*AT5/$B$3,2),0)</f>
        <v>0</v>
      </c>
      <c r="AU6" s="4109"/>
      <c r="AV6" s="4106" t="s">
        <v>1055</v>
      </c>
      <c r="AW6" s="4107"/>
      <c r="AX6" s="4107"/>
      <c r="AY6" s="4112">
        <f>IF(AY3&gt;0,AY3,ROUND($A$3*AZ5/$B$3,2))</f>
        <v>28389.67</v>
      </c>
      <c r="AZ6" s="3902" t="s">
        <v>2</v>
      </c>
      <c r="BA6" s="3902">
        <f>ROUND($AY$6*BA5/$AZ$5,2)</f>
        <v>24263.14</v>
      </c>
      <c r="BB6" s="3902">
        <f>ROUND($AY$6*BB5/$AZ$5,2)</f>
        <v>18358.82</v>
      </c>
      <c r="BC6" s="3902">
        <f t="shared" ref="BC6:BH6" si="4">ROUND($AY$6*BC5/$AZ$5,2)</f>
        <v>338.29</v>
      </c>
      <c r="BD6" s="3902">
        <f t="shared" si="4"/>
        <v>903.75</v>
      </c>
      <c r="BE6" s="3902">
        <f t="shared" si="4"/>
        <v>1335.51</v>
      </c>
      <c r="BF6" s="3902">
        <f t="shared" si="4"/>
        <v>3326.77</v>
      </c>
      <c r="BG6" s="3902">
        <f t="shared" si="4"/>
        <v>0</v>
      </c>
      <c r="BH6" s="3902">
        <f t="shared" si="4"/>
        <v>0</v>
      </c>
      <c r="BI6" s="3902">
        <f t="shared" ref="BI6:BT6" si="5">ROUND($AY$6*BI5/$AZ$5,2)</f>
        <v>0</v>
      </c>
      <c r="BJ6" s="3902">
        <f t="shared" si="5"/>
        <v>0</v>
      </c>
      <c r="BK6" s="3902">
        <f t="shared" si="5"/>
        <v>0</v>
      </c>
      <c r="BL6" s="3902">
        <f t="shared" si="5"/>
        <v>4126.53</v>
      </c>
      <c r="BM6" s="3902">
        <f t="shared" si="5"/>
        <v>105.4</v>
      </c>
      <c r="BN6" s="3902">
        <f t="shared" si="5"/>
        <v>546.13</v>
      </c>
      <c r="BO6" s="3902">
        <f t="shared" si="5"/>
        <v>30.59</v>
      </c>
      <c r="BP6" s="3902">
        <f t="shared" si="5"/>
        <v>0</v>
      </c>
      <c r="BQ6" s="3902">
        <f t="shared" si="5"/>
        <v>535.37</v>
      </c>
      <c r="BR6" s="3902">
        <f t="shared" si="5"/>
        <v>2909.04</v>
      </c>
      <c r="BS6" s="3902">
        <f t="shared" si="5"/>
        <v>0</v>
      </c>
      <c r="BT6" s="4113">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4070</v>
      </c>
      <c r="J9" s="557"/>
      <c r="K9" s="1204" t="s">
        <v>4071</v>
      </c>
      <c r="L9" s="557"/>
      <c r="M9" s="1204" t="s">
        <v>4071</v>
      </c>
      <c r="N9" s="557"/>
      <c r="O9" s="1204" t="s">
        <v>4070</v>
      </c>
      <c r="P9" s="557"/>
      <c r="Q9" s="1204" t="s">
        <v>4071</v>
      </c>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3271</v>
      </c>
      <c r="J10" s="557"/>
      <c r="K10" s="1210" t="s">
        <v>3220</v>
      </c>
      <c r="L10" s="557"/>
      <c r="M10" s="1210" t="s">
        <v>660</v>
      </c>
      <c r="N10" s="557"/>
      <c r="O10" s="1210" t="s">
        <v>660</v>
      </c>
      <c r="P10" s="557"/>
      <c r="Q10" s="1210" t="s">
        <v>3219</v>
      </c>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t="str">
        <f>K9</f>
        <v>地下</v>
      </c>
      <c r="BD10" s="17" t="str">
        <f>M9</f>
        <v>地下</v>
      </c>
      <c r="BE10" s="17" t="str">
        <f>O9</f>
        <v>地上</v>
      </c>
      <c r="BF10" s="17" t="str">
        <f>Q9</f>
        <v>地下</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住宅</v>
      </c>
      <c r="BC11" s="1200" t="str">
        <f>K10</f>
        <v>仓储</v>
      </c>
      <c r="BD11" s="1200" t="str">
        <f>M10</f>
        <v>商业</v>
      </c>
      <c r="BE11" s="1200" t="str">
        <f>O10</f>
        <v>商业</v>
      </c>
      <c r="BF11" s="1200" t="str">
        <f>Q10</f>
        <v>车库</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t="s">
        <v>4068</v>
      </c>
      <c r="D13" s="1226" t="s">
        <v>4069</v>
      </c>
      <c r="E13" s="3902">
        <f>IF($C$3="是",ROUND($A$3*G13/$B$3,2),ROUND($A$3*(G13-AT13)/$B$3,2))</f>
        <v>3043.3</v>
      </c>
      <c r="F13" s="612"/>
      <c r="G13" s="4096">
        <f>H13+AC13+AT13</f>
        <v>10227.079999999998</v>
      </c>
      <c r="H13" s="4097">
        <f>SUMIF(I$12:AB$12,"总值",I13:AB13)</f>
        <v>9107.7099999999991</v>
      </c>
      <c r="I13" s="4098">
        <v>8786.5</v>
      </c>
      <c r="J13" s="4098"/>
      <c r="K13" s="4098">
        <v>144.05000000000001</v>
      </c>
      <c r="L13" s="4098"/>
      <c r="M13" s="4098">
        <v>177.16</v>
      </c>
      <c r="N13" s="4098"/>
      <c r="O13" s="4098"/>
      <c r="P13" s="4098"/>
      <c r="Q13" s="4098"/>
      <c r="R13" s="4098"/>
      <c r="S13" s="4098"/>
      <c r="T13" s="4098"/>
      <c r="U13" s="4098"/>
      <c r="V13" s="4098"/>
      <c r="W13" s="4098"/>
      <c r="X13" s="4098"/>
      <c r="Y13" s="4098"/>
      <c r="Z13" s="4098"/>
      <c r="AA13" s="4098"/>
      <c r="AB13" s="4098"/>
      <c r="AC13" s="3902">
        <f>SUMIF(AD$12:AS$12,"总值",AD13:AS13)</f>
        <v>1119.3699999999999</v>
      </c>
      <c r="AD13" s="4099">
        <v>85.91</v>
      </c>
      <c r="AE13" s="4099"/>
      <c r="AF13" s="4099"/>
      <c r="AG13" s="4099"/>
      <c r="AH13" s="4099"/>
      <c r="AI13" s="4099"/>
      <c r="AJ13" s="4099"/>
      <c r="AK13" s="4099"/>
      <c r="AL13" s="4099">
        <v>346.41</v>
      </c>
      <c r="AM13" s="4099"/>
      <c r="AN13" s="4099">
        <v>687.05</v>
      </c>
      <c r="AO13" s="4099"/>
      <c r="AP13" s="4099"/>
      <c r="AQ13" s="4099"/>
      <c r="AR13" s="4099"/>
      <c r="AS13" s="4099"/>
      <c r="AT13" s="4100"/>
      <c r="AU13" s="1227"/>
      <c r="AV13" s="6">
        <f t="shared" ref="AV13:AX17" si="6">A13</f>
        <v>0</v>
      </c>
      <c r="AW13" s="6">
        <f t="shared" si="6"/>
        <v>0</v>
      </c>
      <c r="AX13" s="6" t="str">
        <f t="shared" si="6"/>
        <v>21-1#住宅楼</v>
      </c>
      <c r="AY13" s="957">
        <f>ROUND($AY$6*AZ13/$AZ$5,2)</f>
        <v>3043.3</v>
      </c>
      <c r="AZ13" s="9">
        <f>BA13+BL13</f>
        <v>10227.079999999998</v>
      </c>
      <c r="BA13" s="9">
        <f>SUM(BB13:BK13)</f>
        <v>9107.7099999999991</v>
      </c>
      <c r="BB13" s="9">
        <f>IF($D13="是",I13-J13,0)</f>
        <v>8786.5</v>
      </c>
      <c r="BC13" s="9">
        <f>IF($D13="是",K13-L13,0)</f>
        <v>144.05000000000001</v>
      </c>
      <c r="BD13" s="9">
        <f>IF($D13="是",M13-N13,0)</f>
        <v>177.16</v>
      </c>
      <c r="BE13" s="9">
        <f>IF($D13="是",O13-P13,0)</f>
        <v>0</v>
      </c>
      <c r="BF13" s="9">
        <f>IF($D13="是",Q13-R13,0)</f>
        <v>0</v>
      </c>
      <c r="BG13" s="9">
        <f>IF($D13="是",S13-T13,0)</f>
        <v>0</v>
      </c>
      <c r="BH13" s="9">
        <f>IF($D13="是",U13-V13,0)</f>
        <v>0</v>
      </c>
      <c r="BI13" s="9">
        <f>IF($D13="是",W13-X13,0)</f>
        <v>0</v>
      </c>
      <c r="BJ13" s="9">
        <f>IF($D13="是",Y13-Z13,0)</f>
        <v>0</v>
      </c>
      <c r="BK13" s="9">
        <f>IF($D13="是",AA13-AB13,0)</f>
        <v>0</v>
      </c>
      <c r="BL13" s="9">
        <f>SUM(BM13:BT13)</f>
        <v>1119.3699999999999</v>
      </c>
      <c r="BM13" s="9">
        <f>IF($D13="是",AD13-AE13,0)</f>
        <v>85.91</v>
      </c>
      <c r="BN13" s="9">
        <f>IF($D13="是",AF13-AG13,0)</f>
        <v>0</v>
      </c>
      <c r="BO13" s="9">
        <f>IF($D13="是",AH13-AI13,0)</f>
        <v>0</v>
      </c>
      <c r="BP13" s="9">
        <f>IF($D13="是",AJ13-AK13,0)</f>
        <v>0</v>
      </c>
      <c r="BQ13" s="9">
        <f>IF($D13="是",AL13-AM13,0)</f>
        <v>346.41</v>
      </c>
      <c r="BR13" s="9">
        <f>IF($D13="是",AN13-AO13,0)</f>
        <v>687.05</v>
      </c>
      <c r="BS13" s="9">
        <f>IF($D13="是",AP13-AQ13,0)</f>
        <v>0</v>
      </c>
      <c r="BT13" s="10">
        <f>IF($D13="是",AR13-AS13,0)</f>
        <v>0</v>
      </c>
    </row>
    <row r="14" spans="1:72" s="1184" customFormat="1" ht="12.75">
      <c r="A14" s="732"/>
      <c r="B14" s="732"/>
      <c r="C14" s="4099" t="s">
        <v>4072</v>
      </c>
      <c r="D14" s="1226" t="s">
        <v>4069</v>
      </c>
      <c r="E14" s="3902">
        <f>IF($C$3="是",ROUND($A$3*G14/$B$3,2),ROUND($A$3*(G14-AT14)/$B$3,2))</f>
        <v>4806.92</v>
      </c>
      <c r="F14" s="612"/>
      <c r="G14" s="4096">
        <f>H14+AC14+AT14</f>
        <v>16153.769999999999</v>
      </c>
      <c r="H14" s="4097">
        <f>SUMIF(I$12:AB$12,"总值",I14:AB14)</f>
        <v>13640.789999999999</v>
      </c>
      <c r="I14" s="4098">
        <v>13469.81</v>
      </c>
      <c r="J14" s="4098"/>
      <c r="K14" s="4098">
        <v>170.98</v>
      </c>
      <c r="L14" s="4098"/>
      <c r="M14" s="4098"/>
      <c r="N14" s="4098"/>
      <c r="O14" s="4098"/>
      <c r="P14" s="4098"/>
      <c r="Q14" s="4098"/>
      <c r="R14" s="4098"/>
      <c r="S14" s="4098"/>
      <c r="T14" s="4098"/>
      <c r="U14" s="4098"/>
      <c r="V14" s="4098"/>
      <c r="W14" s="4098"/>
      <c r="X14" s="4098"/>
      <c r="Y14" s="4098"/>
      <c r="Z14" s="4098"/>
      <c r="AA14" s="4098"/>
      <c r="AB14" s="4098"/>
      <c r="AC14" s="3902">
        <f>SUMIF(AD$12:AS$12,"总值",AD14:AS14)</f>
        <v>2512.98</v>
      </c>
      <c r="AD14" s="4099"/>
      <c r="AE14" s="4099"/>
      <c r="AF14" s="4099">
        <v>397.15</v>
      </c>
      <c r="AG14" s="4099"/>
      <c r="AH14" s="4099"/>
      <c r="AI14" s="4099"/>
      <c r="AJ14" s="4099"/>
      <c r="AK14" s="4099"/>
      <c r="AL14" s="4099">
        <f>49.24+662.85</f>
        <v>712.09</v>
      </c>
      <c r="AM14" s="4099"/>
      <c r="AN14" s="4099">
        <v>1403.74</v>
      </c>
      <c r="AO14" s="4099"/>
      <c r="AP14" s="4099"/>
      <c r="AQ14" s="4099"/>
      <c r="AR14" s="4099"/>
      <c r="AS14" s="4099"/>
      <c r="AT14" s="4100"/>
      <c r="AU14" s="1227"/>
      <c r="AV14" s="6">
        <f t="shared" si="6"/>
        <v>0</v>
      </c>
      <c r="AW14" s="6">
        <f t="shared" si="6"/>
        <v>0</v>
      </c>
      <c r="AX14" s="6" t="str">
        <f t="shared" si="6"/>
        <v>21-2#住宅楼</v>
      </c>
      <c r="AY14" s="957">
        <f>ROUND($AY$6*AZ14/$AZ$5,2)</f>
        <v>4806.92</v>
      </c>
      <c r="AZ14" s="9">
        <f>BA14+BL14</f>
        <v>16153.769999999999</v>
      </c>
      <c r="BA14" s="9">
        <f>SUM(BB14:BK14)</f>
        <v>13640.789999999999</v>
      </c>
      <c r="BB14" s="9">
        <f>IF($D14="是",I14-J14,0)</f>
        <v>13469.81</v>
      </c>
      <c r="BC14" s="9">
        <f>IF($D14="是",K14-L14,0)</f>
        <v>170.98</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2512.98</v>
      </c>
      <c r="BM14" s="9">
        <f>IF($D14="是",AD14-AE14,0)</f>
        <v>0</v>
      </c>
      <c r="BN14" s="9">
        <f>IF($D14="是",AF14-AG14,0)</f>
        <v>397.15</v>
      </c>
      <c r="BO14" s="9">
        <f>IF($D14="是",AH14-AI14,0)</f>
        <v>0</v>
      </c>
      <c r="BP14" s="9">
        <f>IF($D14="是",AJ14-AK14,0)</f>
        <v>0</v>
      </c>
      <c r="BQ14" s="9">
        <f>IF($D14="是",AL14-AM14,0)</f>
        <v>712.09</v>
      </c>
      <c r="BR14" s="9">
        <f>IF($D14="是",AN14-AO14,0)</f>
        <v>1403.74</v>
      </c>
      <c r="BS14" s="9">
        <f>IF($D14="是",AP14-AQ14,0)</f>
        <v>0</v>
      </c>
      <c r="BT14" s="10">
        <f>IF($D14="是",AR14-AS14,0)</f>
        <v>0</v>
      </c>
    </row>
    <row r="15" spans="1:72" s="1184" customFormat="1" ht="12.75">
      <c r="A15" s="732"/>
      <c r="B15" s="732"/>
      <c r="C15" s="4099" t="s">
        <v>4073</v>
      </c>
      <c r="D15" s="1226" t="s">
        <v>4069</v>
      </c>
      <c r="E15" s="3902">
        <f>IF($C$3="是",ROUND($A$3*G15/$B$3,2),ROUND($A$3*(G15-AT15)/$B$3,2))</f>
        <v>3395.64</v>
      </c>
      <c r="F15" s="612"/>
      <c r="G15" s="4096">
        <f>H15+AC15+AT15</f>
        <v>11411.15</v>
      </c>
      <c r="H15" s="4097">
        <f>SUMIF(I$12:AB$12,"总值",I15:AB15)</f>
        <v>10569.35</v>
      </c>
      <c r="I15" s="4098">
        <v>10456.790000000001</v>
      </c>
      <c r="J15" s="4098"/>
      <c r="K15" s="4098">
        <v>112.56</v>
      </c>
      <c r="L15" s="4098"/>
      <c r="M15" s="4098"/>
      <c r="N15" s="4098"/>
      <c r="O15" s="4098"/>
      <c r="P15" s="4098"/>
      <c r="Q15" s="4098"/>
      <c r="R15" s="4098"/>
      <c r="S15" s="4098"/>
      <c r="T15" s="4098"/>
      <c r="U15" s="4098"/>
      <c r="V15" s="4098"/>
      <c r="W15" s="4098"/>
      <c r="X15" s="4098"/>
      <c r="Y15" s="4098"/>
      <c r="Z15" s="4098"/>
      <c r="AA15" s="4098"/>
      <c r="AB15" s="4098"/>
      <c r="AC15" s="3902">
        <f>SUMIF(AD$12:AS$12,"总值",AD15:AS15)</f>
        <v>841.8</v>
      </c>
      <c r="AD15" s="4099"/>
      <c r="AE15" s="4099"/>
      <c r="AF15" s="4099"/>
      <c r="AG15" s="4099"/>
      <c r="AH15" s="4099"/>
      <c r="AI15" s="4099"/>
      <c r="AJ15" s="4099"/>
      <c r="AK15" s="4099"/>
      <c r="AL15" s="4099"/>
      <c r="AM15" s="4099"/>
      <c r="AN15" s="4099">
        <v>841.8</v>
      </c>
      <c r="AO15" s="4099"/>
      <c r="AP15" s="4099"/>
      <c r="AQ15" s="4099"/>
      <c r="AR15" s="4099"/>
      <c r="AS15" s="4099"/>
      <c r="AT15" s="4100"/>
      <c r="AU15" s="1227"/>
      <c r="AV15" s="6">
        <f t="shared" si="6"/>
        <v>0</v>
      </c>
      <c r="AW15" s="6">
        <f t="shared" si="6"/>
        <v>0</v>
      </c>
      <c r="AX15" s="6" t="str">
        <f t="shared" si="6"/>
        <v>21-3#住宅楼</v>
      </c>
      <c r="AY15" s="957">
        <f>ROUND($AY$6*AZ15/$AZ$5,2)</f>
        <v>3395.64</v>
      </c>
      <c r="AZ15" s="9">
        <f>BA15+BL15</f>
        <v>11411.15</v>
      </c>
      <c r="BA15" s="9">
        <f>SUM(BB15:BK15)</f>
        <v>10569.35</v>
      </c>
      <c r="BB15" s="9">
        <f>IF($D15="是",I15-J15,0)</f>
        <v>10456.790000000001</v>
      </c>
      <c r="BC15" s="9">
        <f>IF($D15="是",K15-L15,0)</f>
        <v>112.56</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841.8</v>
      </c>
      <c r="BM15" s="9">
        <f>IF($D15="是",AD15-AE15,0)</f>
        <v>0</v>
      </c>
      <c r="BN15" s="9">
        <f>IF($D15="是",AF15-AG15,0)</f>
        <v>0</v>
      </c>
      <c r="BO15" s="9">
        <f>IF($D15="是",AH15-AI15,0)</f>
        <v>0</v>
      </c>
      <c r="BP15" s="9">
        <f>IF($D15="是",AJ15-AK15,0)</f>
        <v>0</v>
      </c>
      <c r="BQ15" s="9">
        <f>IF($D15="是",AL15-AM15,0)</f>
        <v>0</v>
      </c>
      <c r="BR15" s="9">
        <f>IF($D15="是",AN15-AO15,0)</f>
        <v>841.8</v>
      </c>
      <c r="BS15" s="9">
        <f>IF($D15="是",AP15-AQ15,0)</f>
        <v>0</v>
      </c>
      <c r="BT15" s="10">
        <f>IF($D15="是",AR15-AS15,0)</f>
        <v>0</v>
      </c>
    </row>
    <row r="16" spans="1:72" s="1184" customFormat="1" ht="12.75">
      <c r="A16" s="732"/>
      <c r="B16" s="732"/>
      <c r="C16" s="4099" t="s">
        <v>4074</v>
      </c>
      <c r="D16" s="1226" t="s">
        <v>4069</v>
      </c>
      <c r="E16" s="3902">
        <f>IF($C$3="是",ROUND($A$3*G16/$B$3,2),ROUND($A$3*(G16-AT16)/$B$3,2))</f>
        <v>2633.57</v>
      </c>
      <c r="F16" s="612"/>
      <c r="G16" s="4096">
        <f>H16+AC16+AT16</f>
        <v>8850.19</v>
      </c>
      <c r="H16" s="4097">
        <f>SUMIF(I$12:AB$12,"总值",I16:AB16)</f>
        <v>8061.43</v>
      </c>
      <c r="I16" s="4098">
        <v>7874.1</v>
      </c>
      <c r="J16" s="4098"/>
      <c r="K16" s="4098">
        <v>187.33</v>
      </c>
      <c r="L16" s="4098"/>
      <c r="M16" s="4098"/>
      <c r="N16" s="4098"/>
      <c r="O16" s="4098"/>
      <c r="P16" s="4098"/>
      <c r="Q16" s="4098"/>
      <c r="R16" s="4098"/>
      <c r="S16" s="4098"/>
      <c r="T16" s="4098"/>
      <c r="U16" s="4098"/>
      <c r="V16" s="4098"/>
      <c r="W16" s="4098"/>
      <c r="X16" s="4098"/>
      <c r="Y16" s="4098"/>
      <c r="Z16" s="4098"/>
      <c r="AA16" s="4098"/>
      <c r="AB16" s="4098"/>
      <c r="AC16" s="3902">
        <f>SUMIF(AD$12:AS$12,"总值",AD16:AS16)</f>
        <v>788.76</v>
      </c>
      <c r="AD16" s="4099"/>
      <c r="AE16" s="4099"/>
      <c r="AF16" s="4099"/>
      <c r="AG16" s="4099"/>
      <c r="AH16" s="4099"/>
      <c r="AI16" s="4099"/>
      <c r="AJ16" s="4099"/>
      <c r="AK16" s="4099"/>
      <c r="AL16" s="4099"/>
      <c r="AM16" s="4099"/>
      <c r="AN16" s="4099">
        <v>788.76</v>
      </c>
      <c r="AO16" s="4099"/>
      <c r="AP16" s="4099"/>
      <c r="AQ16" s="4099"/>
      <c r="AR16" s="4099"/>
      <c r="AS16" s="4099"/>
      <c r="AT16" s="4100"/>
      <c r="AU16" s="1227"/>
      <c r="AV16" s="6">
        <f t="shared" si="6"/>
        <v>0</v>
      </c>
      <c r="AW16" s="6">
        <f t="shared" si="6"/>
        <v>0</v>
      </c>
      <c r="AX16" s="6" t="str">
        <f t="shared" si="6"/>
        <v>21-4#住宅楼</v>
      </c>
      <c r="AY16" s="957">
        <f>ROUND($AY$6*AZ16/$AZ$5,2)</f>
        <v>2633.57</v>
      </c>
      <c r="AZ16" s="9">
        <f>BA16+BL16</f>
        <v>8850.19</v>
      </c>
      <c r="BA16" s="9">
        <f>SUM(BB16:BK16)</f>
        <v>8061.43</v>
      </c>
      <c r="BB16" s="9">
        <f>IF($D16="是",I16-J16,0)</f>
        <v>7874.1</v>
      </c>
      <c r="BC16" s="9">
        <f>IF($D16="是",K16-L16,0)</f>
        <v>187.33</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788.76</v>
      </c>
      <c r="BM16" s="9">
        <f>IF($D16="是",AD16-AE16,0)</f>
        <v>0</v>
      </c>
      <c r="BN16" s="9">
        <f>IF($D16="是",AF16-AG16,0)</f>
        <v>0</v>
      </c>
      <c r="BO16" s="9">
        <f>IF($D16="是",AH16-AI16,0)</f>
        <v>0</v>
      </c>
      <c r="BP16" s="9">
        <f>IF($D16="是",AJ16-AK16,0)</f>
        <v>0</v>
      </c>
      <c r="BQ16" s="9">
        <f>IF($D16="是",AL16-AM16,0)</f>
        <v>0</v>
      </c>
      <c r="BR16" s="9">
        <f>IF($D16="是",AN16-AO16,0)</f>
        <v>788.76</v>
      </c>
      <c r="BS16" s="9">
        <f>IF($D16="是",AP16-AQ16,0)</f>
        <v>0</v>
      </c>
      <c r="BT16" s="10">
        <f>IF($D16="是",AR16-AS16,0)</f>
        <v>0</v>
      </c>
    </row>
    <row r="17" spans="1:72" s="1184" customFormat="1" ht="12.75">
      <c r="A17" s="732"/>
      <c r="B17" s="732"/>
      <c r="C17" s="4099" t="s">
        <v>4075</v>
      </c>
      <c r="D17" s="1226" t="s">
        <v>4069</v>
      </c>
      <c r="E17" s="3902">
        <f>IF($C$3="是",ROUND($A$3*G17/$B$3,2),ROUND($A$3*(G17-AT17)/$B$3,2))</f>
        <v>1622.6</v>
      </c>
      <c r="F17" s="612"/>
      <c r="G17" s="4096">
        <f>H17+AC17+AT17</f>
        <v>5452.8</v>
      </c>
      <c r="H17" s="4097">
        <f>SUMIF(I$12:AB$12,"总值",I17:AB17)</f>
        <v>4698.6900000000005</v>
      </c>
      <c r="I17" s="4098">
        <v>4448.3500000000004</v>
      </c>
      <c r="J17" s="4098"/>
      <c r="K17" s="4098">
        <v>250.34</v>
      </c>
      <c r="L17" s="4098"/>
      <c r="M17" s="4098"/>
      <c r="N17" s="4098"/>
      <c r="O17" s="4098"/>
      <c r="P17" s="4098"/>
      <c r="Q17" s="4098"/>
      <c r="R17" s="4098"/>
      <c r="S17" s="4098"/>
      <c r="T17" s="4098"/>
      <c r="U17" s="4098"/>
      <c r="V17" s="4098"/>
      <c r="W17" s="4098"/>
      <c r="X17" s="4098"/>
      <c r="Y17" s="4098"/>
      <c r="Z17" s="4098"/>
      <c r="AA17" s="4098"/>
      <c r="AB17" s="4098"/>
      <c r="AC17" s="3902">
        <f>SUMIF(AD$12:AS$12,"总值",AD17:AS17)</f>
        <v>754.11</v>
      </c>
      <c r="AD17" s="4099">
        <f>30.3+166.81</f>
        <v>197.11</v>
      </c>
      <c r="AE17" s="4099"/>
      <c r="AF17" s="4099"/>
      <c r="AG17" s="4099"/>
      <c r="AH17" s="4099">
        <v>102.81</v>
      </c>
      <c r="AI17" s="4099"/>
      <c r="AJ17" s="4099"/>
      <c r="AK17" s="4099"/>
      <c r="AL17" s="4099"/>
      <c r="AM17" s="4099"/>
      <c r="AN17" s="4099">
        <v>454.19</v>
      </c>
      <c r="AO17" s="4099"/>
      <c r="AP17" s="4099"/>
      <c r="AQ17" s="4099"/>
      <c r="AR17" s="4099"/>
      <c r="AS17" s="4099"/>
      <c r="AT17" s="4100"/>
      <c r="AU17" s="1227"/>
      <c r="AV17" s="6">
        <f t="shared" si="6"/>
        <v>0</v>
      </c>
      <c r="AW17" s="6">
        <f t="shared" si="6"/>
        <v>0</v>
      </c>
      <c r="AX17" s="6" t="str">
        <f t="shared" si="6"/>
        <v>21-5#住宅楼</v>
      </c>
      <c r="AY17" s="957">
        <f>ROUND($AY$6*AZ17/$AZ$5,2)</f>
        <v>1622.6</v>
      </c>
      <c r="AZ17" s="9">
        <f>BA17+BL17</f>
        <v>5452.8</v>
      </c>
      <c r="BA17" s="9">
        <f>SUM(BB17:BK17)</f>
        <v>4698.6900000000005</v>
      </c>
      <c r="BB17" s="9">
        <f>IF($D17="是",I17-J17,0)</f>
        <v>4448.3500000000004</v>
      </c>
      <c r="BC17" s="9">
        <f>IF($D17="是",K17-L17,0)</f>
        <v>250.34</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754.11</v>
      </c>
      <c r="BM17" s="9">
        <f>IF($D17="是",AD17-AE17,0)</f>
        <v>197.11</v>
      </c>
      <c r="BN17" s="9">
        <f>IF($D17="是",AF17-AG17,0)</f>
        <v>0</v>
      </c>
      <c r="BO17" s="9">
        <f>IF($D17="是",AH17-AI17,0)</f>
        <v>102.81</v>
      </c>
      <c r="BP17" s="9">
        <f>IF($D17="是",AJ17-AK17,0)</f>
        <v>0</v>
      </c>
      <c r="BQ17" s="9">
        <f>IF($D17="是",AL17-AM17,0)</f>
        <v>0</v>
      </c>
      <c r="BR17" s="9">
        <f>IF($D17="是",AN17-AO17,0)</f>
        <v>454.19</v>
      </c>
      <c r="BS17" s="9">
        <f>IF($D17="是",AP17-AQ17,0)</f>
        <v>0</v>
      </c>
      <c r="BT17" s="10">
        <f>IF($D17="是",AR17-AS17,0)</f>
        <v>0</v>
      </c>
    </row>
    <row r="18" spans="1:72" ht="28.5">
      <c r="A18" s="5"/>
      <c r="B18" s="20"/>
      <c r="C18" s="4099" t="s">
        <v>4076</v>
      </c>
      <c r="D18" s="1226" t="s">
        <v>4069</v>
      </c>
      <c r="E18" s="402">
        <f t="shared" ref="E18:E112" si="7">IF($C$3="是",ROUND($A$3*G18/$B$3,2),ROUND($A$3*(G18-AT18)/$B$3,2))</f>
        <v>3380.66</v>
      </c>
      <c r="F18" s="326"/>
      <c r="G18" s="4101">
        <f t="shared" ref="G18:G109" si="8">H18+AC18+AT18</f>
        <v>11360.78</v>
      </c>
      <c r="H18" s="4102">
        <f t="shared" ref="H18:H109" si="9">SUMIF(I$12:AB$12,"总值",I18:AB18)</f>
        <v>10557.300000000001</v>
      </c>
      <c r="I18" s="4103">
        <v>10456.790000000001</v>
      </c>
      <c r="J18" s="4103"/>
      <c r="K18" s="4103">
        <v>100.51</v>
      </c>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803.48</v>
      </c>
      <c r="AD18" s="4104"/>
      <c r="AE18" s="4104"/>
      <c r="AF18" s="4104"/>
      <c r="AG18" s="4104"/>
      <c r="AH18" s="4104"/>
      <c r="AI18" s="4104"/>
      <c r="AJ18" s="4104"/>
      <c r="AK18" s="4104"/>
      <c r="AL18" s="4104"/>
      <c r="AM18" s="4104"/>
      <c r="AN18" s="4104">
        <v>803.48</v>
      </c>
      <c r="AO18" s="4104"/>
      <c r="AP18" s="4104"/>
      <c r="AQ18" s="4104"/>
      <c r="AR18" s="4104"/>
      <c r="AS18" s="4104"/>
      <c r="AT18" s="4105"/>
      <c r="AU18" s="1229"/>
      <c r="AV18" s="952">
        <f t="shared" ref="AV18:AV112" si="11">A18</f>
        <v>0</v>
      </c>
      <c r="AW18" s="952">
        <f t="shared" ref="AW18:AW112" si="12">B18</f>
        <v>0</v>
      </c>
      <c r="AX18" s="952" t="str">
        <f t="shared" ref="AX18:AX112" si="13">C18</f>
        <v>21-6#住宅楼</v>
      </c>
      <c r="AY18" s="22">
        <f t="shared" ref="AY18:AY109" si="14">ROUND($AY$6*AZ18/$AZ$5,2)</f>
        <v>3380.66</v>
      </c>
      <c r="AZ18" s="21">
        <f t="shared" ref="AZ18:AZ109" si="15">BA18+BL18</f>
        <v>11360.78</v>
      </c>
      <c r="BA18" s="21">
        <f t="shared" ref="BA18:BA109" si="16">SUM(BB18:BK18)</f>
        <v>10557.300000000001</v>
      </c>
      <c r="BB18" s="21">
        <f t="shared" ref="BB18:BB109" si="17">IF($D18="是",I18-J18,0)</f>
        <v>10456.790000000001</v>
      </c>
      <c r="BC18" s="21">
        <f t="shared" ref="BC18:BC109" si="18">IF($D18="是",K18-L18,0)</f>
        <v>100.51</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803.48</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803.48</v>
      </c>
      <c r="BS18" s="21">
        <f t="shared" ref="BS18:BS109" si="34">IF($D18="是",AP18-AQ18,0)</f>
        <v>0</v>
      </c>
      <c r="BT18" s="23">
        <f t="shared" ref="BT18:BT109" si="35">IF($D18="是",AR18-AS18,0)</f>
        <v>0</v>
      </c>
    </row>
    <row r="19" spans="1:72" ht="28.5">
      <c r="A19" s="5"/>
      <c r="B19" s="20"/>
      <c r="C19" s="4099" t="s">
        <v>4077</v>
      </c>
      <c r="D19" s="1226" t="s">
        <v>4069</v>
      </c>
      <c r="E19" s="402">
        <f t="shared" si="7"/>
        <v>2063.3200000000002</v>
      </c>
      <c r="F19" s="326"/>
      <c r="G19" s="4101">
        <f t="shared" si="8"/>
        <v>6933.83</v>
      </c>
      <c r="H19" s="4102">
        <f t="shared" si="9"/>
        <v>6373.99</v>
      </c>
      <c r="I19" s="4103">
        <v>6202.94</v>
      </c>
      <c r="J19" s="4103"/>
      <c r="K19" s="4103">
        <v>171.05</v>
      </c>
      <c r="L19" s="4103"/>
      <c r="M19" s="4103"/>
      <c r="N19" s="4103"/>
      <c r="O19" s="4103"/>
      <c r="P19" s="4103"/>
      <c r="Q19" s="4103"/>
      <c r="R19" s="4103"/>
      <c r="S19" s="4103"/>
      <c r="T19" s="4103"/>
      <c r="U19" s="4103"/>
      <c r="V19" s="4103"/>
      <c r="W19" s="4103"/>
      <c r="X19" s="4103"/>
      <c r="Y19" s="4103"/>
      <c r="Z19" s="4103"/>
      <c r="AA19" s="4103"/>
      <c r="AB19" s="4103"/>
      <c r="AC19" s="402">
        <f t="shared" si="10"/>
        <v>559.84</v>
      </c>
      <c r="AD19" s="4104"/>
      <c r="AE19" s="4104"/>
      <c r="AF19" s="4104"/>
      <c r="AG19" s="4104"/>
      <c r="AH19" s="4104"/>
      <c r="AI19" s="4104"/>
      <c r="AJ19" s="4104"/>
      <c r="AK19" s="4104"/>
      <c r="AL19" s="4104"/>
      <c r="AM19" s="4104"/>
      <c r="AN19" s="4104">
        <v>559.84</v>
      </c>
      <c r="AO19" s="4104"/>
      <c r="AP19" s="4104"/>
      <c r="AQ19" s="4104"/>
      <c r="AR19" s="4104"/>
      <c r="AS19" s="4104"/>
      <c r="AT19" s="4105"/>
      <c r="AU19" s="1229"/>
      <c r="AV19" s="952">
        <f t="shared" si="11"/>
        <v>0</v>
      </c>
      <c r="AW19" s="952">
        <f t="shared" si="12"/>
        <v>0</v>
      </c>
      <c r="AX19" s="952" t="str">
        <f t="shared" si="13"/>
        <v>21-7#住宅楼</v>
      </c>
      <c r="AY19" s="22">
        <f t="shared" si="14"/>
        <v>2063.3200000000002</v>
      </c>
      <c r="AZ19" s="21">
        <f t="shared" si="15"/>
        <v>6933.83</v>
      </c>
      <c r="BA19" s="21">
        <f t="shared" si="16"/>
        <v>6373.99</v>
      </c>
      <c r="BB19" s="21">
        <f t="shared" si="17"/>
        <v>6202.94</v>
      </c>
      <c r="BC19" s="21">
        <f t="shared" si="18"/>
        <v>171.05</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559.84</v>
      </c>
      <c r="BM19" s="21">
        <f t="shared" si="28"/>
        <v>0</v>
      </c>
      <c r="BN19" s="21">
        <f t="shared" si="29"/>
        <v>0</v>
      </c>
      <c r="BO19" s="21">
        <f t="shared" si="30"/>
        <v>0</v>
      </c>
      <c r="BP19" s="21">
        <f t="shared" si="31"/>
        <v>0</v>
      </c>
      <c r="BQ19" s="21">
        <f t="shared" si="32"/>
        <v>0</v>
      </c>
      <c r="BR19" s="21">
        <f t="shared" si="33"/>
        <v>559.84</v>
      </c>
      <c r="BS19" s="21">
        <f t="shared" si="34"/>
        <v>0</v>
      </c>
      <c r="BT19" s="23">
        <f t="shared" si="35"/>
        <v>0</v>
      </c>
    </row>
    <row r="20" spans="1:72" ht="28.5">
      <c r="A20" s="5"/>
      <c r="B20" s="20"/>
      <c r="C20" s="20" t="s">
        <v>4078</v>
      </c>
      <c r="D20" s="1228" t="s">
        <v>4069</v>
      </c>
      <c r="E20" s="402">
        <f t="shared" si="7"/>
        <v>1063.49</v>
      </c>
      <c r="F20" s="326"/>
      <c r="G20" s="4101">
        <f t="shared" si="8"/>
        <v>3573.87</v>
      </c>
      <c r="H20" s="4102">
        <f t="shared" si="9"/>
        <v>3502.69</v>
      </c>
      <c r="I20" s="4103"/>
      <c r="J20" s="4103"/>
      <c r="K20" s="4103"/>
      <c r="L20" s="4103"/>
      <c r="M20" s="4103">
        <v>1747.05</v>
      </c>
      <c r="N20" s="4103"/>
      <c r="O20" s="4103">
        <v>1755.64</v>
      </c>
      <c r="P20" s="4103"/>
      <c r="Q20" s="4103"/>
      <c r="R20" s="4103"/>
      <c r="S20" s="4103"/>
      <c r="T20" s="4103"/>
      <c r="U20" s="4103"/>
      <c r="V20" s="4103"/>
      <c r="W20" s="4103"/>
      <c r="X20" s="4103"/>
      <c r="Y20" s="4103"/>
      <c r="Z20" s="4103"/>
      <c r="AA20" s="4103"/>
      <c r="AB20" s="4103"/>
      <c r="AC20" s="402">
        <f t="shared" si="10"/>
        <v>71.180000000000007</v>
      </c>
      <c r="AD20" s="4104">
        <v>71.180000000000007</v>
      </c>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t="str">
        <f t="shared" si="13"/>
        <v>21-8#配套楼</v>
      </c>
      <c r="AY20" s="22">
        <f t="shared" si="14"/>
        <v>1063.49</v>
      </c>
      <c r="AZ20" s="21">
        <f t="shared" si="15"/>
        <v>3573.87</v>
      </c>
      <c r="BA20" s="21">
        <f t="shared" si="16"/>
        <v>3502.69</v>
      </c>
      <c r="BB20" s="21">
        <f t="shared" si="17"/>
        <v>0</v>
      </c>
      <c r="BC20" s="21">
        <f t="shared" si="18"/>
        <v>0</v>
      </c>
      <c r="BD20" s="21">
        <f t="shared" si="19"/>
        <v>1747.05</v>
      </c>
      <c r="BE20" s="21">
        <f t="shared" si="20"/>
        <v>1755.64</v>
      </c>
      <c r="BF20" s="21">
        <f t="shared" si="21"/>
        <v>0</v>
      </c>
      <c r="BG20" s="21">
        <f t="shared" si="22"/>
        <v>0</v>
      </c>
      <c r="BH20" s="21">
        <f t="shared" si="23"/>
        <v>0</v>
      </c>
      <c r="BI20" s="21">
        <f t="shared" si="24"/>
        <v>0</v>
      </c>
      <c r="BJ20" s="21">
        <f t="shared" si="25"/>
        <v>0</v>
      </c>
      <c r="BK20" s="21">
        <f t="shared" si="26"/>
        <v>0</v>
      </c>
      <c r="BL20" s="21">
        <f t="shared" si="27"/>
        <v>71.180000000000007</v>
      </c>
      <c r="BM20" s="21">
        <f t="shared" si="28"/>
        <v>71.180000000000007</v>
      </c>
      <c r="BN20" s="21">
        <f t="shared" si="29"/>
        <v>0</v>
      </c>
      <c r="BO20" s="21">
        <f t="shared" si="30"/>
        <v>0</v>
      </c>
      <c r="BP20" s="21">
        <f t="shared" si="31"/>
        <v>0</v>
      </c>
      <c r="BQ20" s="21">
        <f t="shared" si="32"/>
        <v>0</v>
      </c>
      <c r="BR20" s="21">
        <f t="shared" si="33"/>
        <v>0</v>
      </c>
      <c r="BS20" s="21">
        <f t="shared" si="34"/>
        <v>0</v>
      </c>
      <c r="BT20" s="23">
        <f t="shared" si="35"/>
        <v>0</v>
      </c>
    </row>
    <row r="21" spans="1:72" ht="28.5">
      <c r="A21" s="5"/>
      <c r="B21" s="20"/>
      <c r="C21" s="20" t="s">
        <v>4079</v>
      </c>
      <c r="D21" s="1228" t="s">
        <v>4069</v>
      </c>
      <c r="E21" s="402">
        <f t="shared" si="7"/>
        <v>64.28</v>
      </c>
      <c r="F21" s="326"/>
      <c r="G21" s="4101">
        <f t="shared" si="8"/>
        <v>216</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216</v>
      </c>
      <c r="AD21" s="4104"/>
      <c r="AE21" s="4104"/>
      <c r="AF21" s="4104"/>
      <c r="AG21" s="4104"/>
      <c r="AH21" s="4104"/>
      <c r="AI21" s="4104"/>
      <c r="AJ21" s="4104"/>
      <c r="AK21" s="4104"/>
      <c r="AL21" s="4104">
        <f>174.24+41.76</f>
        <v>216</v>
      </c>
      <c r="AM21" s="4104"/>
      <c r="AN21" s="4104"/>
      <c r="AO21" s="4104"/>
      <c r="AP21" s="4104"/>
      <c r="AQ21" s="4104"/>
      <c r="AR21" s="4104"/>
      <c r="AS21" s="4104"/>
      <c r="AT21" s="4105"/>
      <c r="AU21" s="1229"/>
      <c r="AV21" s="952">
        <f t="shared" si="11"/>
        <v>0</v>
      </c>
      <c r="AW21" s="952">
        <f t="shared" si="12"/>
        <v>0</v>
      </c>
      <c r="AX21" s="952" t="str">
        <f t="shared" si="13"/>
        <v>21-10#配套楼</v>
      </c>
      <c r="AY21" s="22">
        <f t="shared" si="14"/>
        <v>64.28</v>
      </c>
      <c r="AZ21" s="21">
        <f t="shared" si="15"/>
        <v>216</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216</v>
      </c>
      <c r="BM21" s="21">
        <f t="shared" si="28"/>
        <v>0</v>
      </c>
      <c r="BN21" s="21">
        <f t="shared" si="29"/>
        <v>0</v>
      </c>
      <c r="BO21" s="21">
        <f t="shared" si="30"/>
        <v>0</v>
      </c>
      <c r="BP21" s="21">
        <f t="shared" si="31"/>
        <v>0</v>
      </c>
      <c r="BQ21" s="21">
        <f t="shared" si="32"/>
        <v>216</v>
      </c>
      <c r="BR21" s="21">
        <f t="shared" si="33"/>
        <v>0</v>
      </c>
      <c r="BS21" s="21">
        <f t="shared" si="34"/>
        <v>0</v>
      </c>
      <c r="BT21" s="23">
        <f t="shared" si="35"/>
        <v>0</v>
      </c>
    </row>
    <row r="22" spans="1:72" ht="28.5">
      <c r="A22" s="5"/>
      <c r="B22" s="20"/>
      <c r="C22" s="20" t="s">
        <v>4080</v>
      </c>
      <c r="D22" s="1228" t="s">
        <v>4069</v>
      </c>
      <c r="E22" s="402">
        <f t="shared" si="7"/>
        <v>145.49</v>
      </c>
      <c r="F22" s="326"/>
      <c r="G22" s="4101">
        <f t="shared" si="8"/>
        <v>488.90999999999997</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488.90999999999997</v>
      </c>
      <c r="AD22" s="4104"/>
      <c r="AE22" s="4104"/>
      <c r="AF22" s="4104"/>
      <c r="AG22" s="4104"/>
      <c r="AH22" s="4104"/>
      <c r="AI22" s="4104"/>
      <c r="AJ22" s="4104"/>
      <c r="AK22" s="4104"/>
      <c r="AL22" s="4104">
        <f>473.65+15.26</f>
        <v>488.90999999999997</v>
      </c>
      <c r="AM22" s="4104"/>
      <c r="AN22" s="4104"/>
      <c r="AO22" s="4104"/>
      <c r="AP22" s="4104"/>
      <c r="AQ22" s="4104"/>
      <c r="AR22" s="4104"/>
      <c r="AS22" s="4104"/>
      <c r="AT22" s="4105"/>
      <c r="AU22" s="1229"/>
      <c r="AV22" s="952">
        <f t="shared" si="11"/>
        <v>0</v>
      </c>
      <c r="AW22" s="952">
        <f t="shared" si="12"/>
        <v>0</v>
      </c>
      <c r="AX22" s="952" t="str">
        <f t="shared" si="13"/>
        <v>21-11#配套楼</v>
      </c>
      <c r="AY22" s="22">
        <f t="shared" si="14"/>
        <v>145.49</v>
      </c>
      <c r="AZ22" s="21">
        <f t="shared" si="15"/>
        <v>488.90999999999997</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488.90999999999997</v>
      </c>
      <c r="BM22" s="21">
        <f t="shared" si="28"/>
        <v>0</v>
      </c>
      <c r="BN22" s="21">
        <f t="shared" si="29"/>
        <v>0</v>
      </c>
      <c r="BO22" s="21">
        <f t="shared" si="30"/>
        <v>0</v>
      </c>
      <c r="BP22" s="21">
        <f t="shared" si="31"/>
        <v>0</v>
      </c>
      <c r="BQ22" s="21">
        <f t="shared" si="32"/>
        <v>488.90999999999997</v>
      </c>
      <c r="BR22" s="21">
        <f t="shared" si="33"/>
        <v>0</v>
      </c>
      <c r="BS22" s="21">
        <f t="shared" si="34"/>
        <v>0</v>
      </c>
      <c r="BT22" s="23">
        <f t="shared" si="35"/>
        <v>0</v>
      </c>
    </row>
    <row r="23" spans="1:72" ht="28.5">
      <c r="A23" s="5"/>
      <c r="B23" s="20"/>
      <c r="C23" s="20" t="s">
        <v>4081</v>
      </c>
      <c r="D23" s="1228" t="s">
        <v>4069</v>
      </c>
      <c r="E23" s="402">
        <f t="shared" si="7"/>
        <v>4323.16</v>
      </c>
      <c r="F23" s="326"/>
      <c r="G23" s="4101">
        <f t="shared" si="8"/>
        <v>22487.39</v>
      </c>
      <c r="H23" s="4102">
        <f t="shared" si="9"/>
        <v>11179.69</v>
      </c>
      <c r="I23" s="4103"/>
      <c r="J23" s="4103"/>
      <c r="K23" s="4103"/>
      <c r="L23" s="4103"/>
      <c r="M23" s="4103"/>
      <c r="N23" s="4103"/>
      <c r="O23" s="4103"/>
      <c r="P23" s="4103"/>
      <c r="Q23" s="4103">
        <v>11179.69</v>
      </c>
      <c r="R23" s="4103"/>
      <c r="S23" s="4103"/>
      <c r="T23" s="4103"/>
      <c r="U23" s="4103"/>
      <c r="V23" s="4103"/>
      <c r="W23" s="4103"/>
      <c r="X23" s="4103"/>
      <c r="Y23" s="4103"/>
      <c r="Z23" s="4103"/>
      <c r="AA23" s="4103"/>
      <c r="AB23" s="4103"/>
      <c r="AC23" s="402">
        <f t="shared" si="10"/>
        <v>3348.4</v>
      </c>
      <c r="AD23" s="4104"/>
      <c r="AE23" s="4104"/>
      <c r="AF23" s="4104">
        <f>322.22+831.94+283.97</f>
        <v>1438.13</v>
      </c>
      <c r="AG23" s="4104"/>
      <c r="AH23" s="4104"/>
      <c r="AI23" s="4104"/>
      <c r="AJ23" s="4104"/>
      <c r="AK23" s="4104"/>
      <c r="AL23" s="4104">
        <v>35.729999999999997</v>
      </c>
      <c r="AM23" s="4104"/>
      <c r="AN23" s="4104">
        <v>1874.54</v>
      </c>
      <c r="AO23" s="4104"/>
      <c r="AP23" s="4104"/>
      <c r="AQ23" s="4104"/>
      <c r="AR23" s="4104"/>
      <c r="AS23" s="4104"/>
      <c r="AT23" s="4105">
        <f>140.98+7818.32</f>
        <v>7959.2999999999993</v>
      </c>
      <c r="AU23" s="1229"/>
      <c r="AV23" s="952">
        <f t="shared" si="11"/>
        <v>0</v>
      </c>
      <c r="AW23" s="952">
        <f t="shared" si="12"/>
        <v>0</v>
      </c>
      <c r="AX23" s="952" t="str">
        <f t="shared" si="13"/>
        <v>21-地下车库</v>
      </c>
      <c r="AY23" s="22">
        <f t="shared" si="14"/>
        <v>4323.16</v>
      </c>
      <c r="AZ23" s="21">
        <f t="shared" si="15"/>
        <v>14528.09</v>
      </c>
      <c r="BA23" s="21">
        <f t="shared" si="16"/>
        <v>11179.69</v>
      </c>
      <c r="BB23" s="21">
        <f t="shared" si="17"/>
        <v>0</v>
      </c>
      <c r="BC23" s="21">
        <f t="shared" si="18"/>
        <v>0</v>
      </c>
      <c r="BD23" s="21">
        <f t="shared" si="19"/>
        <v>0</v>
      </c>
      <c r="BE23" s="21">
        <f t="shared" si="20"/>
        <v>0</v>
      </c>
      <c r="BF23" s="21">
        <f t="shared" si="21"/>
        <v>11179.69</v>
      </c>
      <c r="BG23" s="21">
        <f t="shared" si="22"/>
        <v>0</v>
      </c>
      <c r="BH23" s="21">
        <f t="shared" si="23"/>
        <v>0</v>
      </c>
      <c r="BI23" s="21">
        <f t="shared" si="24"/>
        <v>0</v>
      </c>
      <c r="BJ23" s="21">
        <f t="shared" si="25"/>
        <v>0</v>
      </c>
      <c r="BK23" s="21">
        <f t="shared" si="26"/>
        <v>0</v>
      </c>
      <c r="BL23" s="21">
        <f t="shared" si="27"/>
        <v>3348.4</v>
      </c>
      <c r="BM23" s="21">
        <f t="shared" si="28"/>
        <v>0</v>
      </c>
      <c r="BN23" s="21">
        <f t="shared" si="29"/>
        <v>1438.13</v>
      </c>
      <c r="BO23" s="21">
        <f t="shared" si="30"/>
        <v>0</v>
      </c>
      <c r="BP23" s="21">
        <f t="shared" si="31"/>
        <v>0</v>
      </c>
      <c r="BQ23" s="21">
        <f t="shared" si="32"/>
        <v>35.729999999999997</v>
      </c>
      <c r="BR23" s="21">
        <f t="shared" si="33"/>
        <v>1874.54</v>
      </c>
      <c r="BS23" s="21">
        <f t="shared" si="34"/>
        <v>0</v>
      </c>
      <c r="BT23" s="23">
        <f t="shared" si="35"/>
        <v>0</v>
      </c>
    </row>
    <row r="24" spans="1:72" ht="42.75">
      <c r="A24" s="4628" t="s">
        <v>4083</v>
      </c>
      <c r="B24" s="20"/>
      <c r="C24" s="20" t="s">
        <v>4082</v>
      </c>
      <c r="D24" s="1228" t="s">
        <v>4069</v>
      </c>
      <c r="E24" s="402">
        <f t="shared" si="7"/>
        <v>1174.17</v>
      </c>
      <c r="F24" s="326"/>
      <c r="G24" s="4101">
        <f t="shared" si="8"/>
        <v>3945.83</v>
      </c>
      <c r="H24" s="4102">
        <f t="shared" si="9"/>
        <v>3845.25</v>
      </c>
      <c r="I24" s="4103"/>
      <c r="J24" s="4103"/>
      <c r="K24" s="4103"/>
      <c r="L24" s="4103"/>
      <c r="M24" s="4103">
        <v>1112.8699999999999</v>
      </c>
      <c r="N24" s="4103"/>
      <c r="O24" s="4103">
        <v>2732.38</v>
      </c>
      <c r="P24" s="4103"/>
      <c r="Q24" s="4103"/>
      <c r="R24" s="4103"/>
      <c r="S24" s="4103"/>
      <c r="T24" s="4103"/>
      <c r="U24" s="4103"/>
      <c r="V24" s="4103"/>
      <c r="W24" s="4103"/>
      <c r="X24" s="4103"/>
      <c r="Y24" s="4103"/>
      <c r="Z24" s="4103"/>
      <c r="AA24" s="4103"/>
      <c r="AB24" s="4103"/>
      <c r="AC24" s="402">
        <f t="shared" si="10"/>
        <v>100.58</v>
      </c>
      <c r="AD24" s="4104"/>
      <c r="AE24" s="4104"/>
      <c r="AF24" s="4104"/>
      <c r="AG24" s="4104"/>
      <c r="AH24" s="4104"/>
      <c r="AI24" s="4104"/>
      <c r="AJ24" s="4104"/>
      <c r="AK24" s="4104"/>
      <c r="AL24" s="4104"/>
      <c r="AM24" s="4104"/>
      <c r="AN24" s="4104">
        <v>100.58</v>
      </c>
      <c r="AO24" s="4104"/>
      <c r="AP24" s="4104"/>
      <c r="AQ24" s="4104"/>
      <c r="AR24" s="4104"/>
      <c r="AS24" s="4104"/>
      <c r="AT24" s="4105"/>
      <c r="AU24" s="1229"/>
      <c r="AV24" s="952" t="str">
        <f t="shared" si="11"/>
        <v>不在本次申报范围内</v>
      </c>
      <c r="AW24" s="952">
        <f t="shared" si="12"/>
        <v>0</v>
      </c>
      <c r="AX24" s="952" t="str">
        <f t="shared" si="13"/>
        <v>21-9#配套楼</v>
      </c>
      <c r="AY24" s="22">
        <f t="shared" si="14"/>
        <v>1174.17</v>
      </c>
      <c r="AZ24" s="21">
        <f t="shared" si="15"/>
        <v>3945.83</v>
      </c>
      <c r="BA24" s="21">
        <f t="shared" si="16"/>
        <v>3845.25</v>
      </c>
      <c r="BB24" s="21">
        <f t="shared" si="17"/>
        <v>0</v>
      </c>
      <c r="BC24" s="21">
        <f t="shared" si="18"/>
        <v>0</v>
      </c>
      <c r="BD24" s="21">
        <f t="shared" si="19"/>
        <v>1112.8699999999999</v>
      </c>
      <c r="BE24" s="21">
        <f t="shared" si="20"/>
        <v>2732.38</v>
      </c>
      <c r="BF24" s="21">
        <f t="shared" si="21"/>
        <v>0</v>
      </c>
      <c r="BG24" s="21">
        <f t="shared" si="22"/>
        <v>0</v>
      </c>
      <c r="BH24" s="21">
        <f t="shared" si="23"/>
        <v>0</v>
      </c>
      <c r="BI24" s="21">
        <f t="shared" si="24"/>
        <v>0</v>
      </c>
      <c r="BJ24" s="21">
        <f t="shared" si="25"/>
        <v>0</v>
      </c>
      <c r="BK24" s="21">
        <f t="shared" si="26"/>
        <v>0</v>
      </c>
      <c r="BL24" s="21">
        <f t="shared" si="27"/>
        <v>100.58</v>
      </c>
      <c r="BM24" s="21">
        <f t="shared" si="28"/>
        <v>0</v>
      </c>
      <c r="BN24" s="21">
        <f t="shared" si="29"/>
        <v>0</v>
      </c>
      <c r="BO24" s="21">
        <f t="shared" si="30"/>
        <v>0</v>
      </c>
      <c r="BP24" s="21">
        <f t="shared" si="31"/>
        <v>0</v>
      </c>
      <c r="BQ24" s="21">
        <f t="shared" si="32"/>
        <v>0</v>
      </c>
      <c r="BR24" s="21">
        <f t="shared" si="33"/>
        <v>100.58</v>
      </c>
      <c r="BS24" s="21">
        <f t="shared" si="34"/>
        <v>0</v>
      </c>
      <c r="BT24" s="23">
        <f t="shared" si="35"/>
        <v>0</v>
      </c>
    </row>
    <row r="25" spans="1:72" ht="42.75">
      <c r="A25" s="4628" t="s">
        <v>4083</v>
      </c>
      <c r="B25" s="20"/>
      <c r="C25" s="4629" t="s">
        <v>4084</v>
      </c>
      <c r="D25" s="1228" t="s">
        <v>4069</v>
      </c>
      <c r="E25" s="402">
        <f t="shared" si="7"/>
        <v>41.44</v>
      </c>
      <c r="F25" s="326"/>
      <c r="G25" s="4101">
        <f t="shared" si="8"/>
        <v>139.25</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139.25</v>
      </c>
      <c r="AD25" s="4104"/>
      <c r="AE25" s="4104"/>
      <c r="AF25" s="4104"/>
      <c r="AG25" s="4104"/>
      <c r="AH25" s="4104"/>
      <c r="AI25" s="4104"/>
      <c r="AJ25" s="4104"/>
      <c r="AK25" s="4104"/>
      <c r="AL25" s="4104"/>
      <c r="AM25" s="4104"/>
      <c r="AN25" s="4104">
        <v>139.25</v>
      </c>
      <c r="AO25" s="4104"/>
      <c r="AP25" s="4104"/>
      <c r="AQ25" s="4104"/>
      <c r="AR25" s="4104"/>
      <c r="AS25" s="4104"/>
      <c r="AT25" s="4105"/>
      <c r="AU25" s="1229"/>
      <c r="AV25" s="952" t="str">
        <f t="shared" si="11"/>
        <v>不在本次申报范围内</v>
      </c>
      <c r="AW25" s="952">
        <f t="shared" si="12"/>
        <v>0</v>
      </c>
      <c r="AX25" s="952" t="str">
        <f t="shared" si="13"/>
        <v>地下车库连通通道</v>
      </c>
      <c r="AY25" s="22">
        <f t="shared" si="14"/>
        <v>41.44</v>
      </c>
      <c r="AZ25" s="21">
        <f t="shared" si="15"/>
        <v>139.25</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139.25</v>
      </c>
      <c r="BM25" s="21">
        <f t="shared" si="28"/>
        <v>0</v>
      </c>
      <c r="BN25" s="21">
        <f t="shared" si="29"/>
        <v>0</v>
      </c>
      <c r="BO25" s="21">
        <f t="shared" si="30"/>
        <v>0</v>
      </c>
      <c r="BP25" s="21">
        <f t="shared" si="31"/>
        <v>0</v>
      </c>
      <c r="BQ25" s="21">
        <f t="shared" si="32"/>
        <v>0</v>
      </c>
      <c r="BR25" s="21">
        <f t="shared" si="33"/>
        <v>139.25</v>
      </c>
      <c r="BS25" s="21">
        <f t="shared" si="34"/>
        <v>0</v>
      </c>
      <c r="BT25" s="23">
        <f t="shared" si="35"/>
        <v>0</v>
      </c>
    </row>
    <row r="26" spans="1:72" ht="42.75">
      <c r="A26" s="4628" t="s">
        <v>4083</v>
      </c>
      <c r="B26" s="20"/>
      <c r="C26" s="4629" t="s">
        <v>4085</v>
      </c>
      <c r="D26" s="1228" t="s">
        <v>4069</v>
      </c>
      <c r="E26" s="402">
        <f t="shared" si="7"/>
        <v>631.65</v>
      </c>
      <c r="F26" s="326"/>
      <c r="G26" s="4101">
        <f t="shared" si="8"/>
        <v>2122.66</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2122.66</v>
      </c>
      <c r="AD26" s="4104"/>
      <c r="AE26" s="4104"/>
      <c r="AF26" s="4104"/>
      <c r="AG26" s="4104"/>
      <c r="AH26" s="4104"/>
      <c r="AI26" s="4104"/>
      <c r="AJ26" s="4104"/>
      <c r="AK26" s="4104"/>
      <c r="AL26" s="4104"/>
      <c r="AM26" s="4104"/>
      <c r="AN26" s="4104">
        <v>2122.66</v>
      </c>
      <c r="AO26" s="4104"/>
      <c r="AP26" s="4104"/>
      <c r="AQ26" s="4104"/>
      <c r="AR26" s="4104"/>
      <c r="AS26" s="4104"/>
      <c r="AT26" s="4105"/>
      <c r="AU26" s="1229"/>
      <c r="AV26" s="952" t="str">
        <f t="shared" si="11"/>
        <v>不在本次申报范围内</v>
      </c>
      <c r="AW26" s="952">
        <f t="shared" si="12"/>
        <v>0</v>
      </c>
      <c r="AX26" s="952" t="str">
        <f t="shared" si="13"/>
        <v>地下一体化连廊空间</v>
      </c>
      <c r="AY26" s="22">
        <f t="shared" si="14"/>
        <v>631.65</v>
      </c>
      <c r="AZ26" s="21">
        <f t="shared" si="15"/>
        <v>2122.66</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2122.66</v>
      </c>
      <c r="BM26" s="21">
        <f t="shared" si="28"/>
        <v>0</v>
      </c>
      <c r="BN26" s="21">
        <f t="shared" si="29"/>
        <v>0</v>
      </c>
      <c r="BO26" s="21">
        <f t="shared" si="30"/>
        <v>0</v>
      </c>
      <c r="BP26" s="21">
        <f t="shared" si="31"/>
        <v>0</v>
      </c>
      <c r="BQ26" s="21">
        <f t="shared" si="32"/>
        <v>0</v>
      </c>
      <c r="BR26" s="21">
        <f t="shared" si="33"/>
        <v>2122.66</v>
      </c>
      <c r="BS26" s="21">
        <f t="shared" si="34"/>
        <v>0</v>
      </c>
      <c r="BT26" s="23">
        <f t="shared" si="35"/>
        <v>0</v>
      </c>
    </row>
    <row r="27" spans="1:72">
      <c r="A27" s="5"/>
      <c r="B27" s="20"/>
      <c r="C27" s="20"/>
      <c r="D27" s="1228"/>
      <c r="E27" s="402">
        <f t="shared" si="7"/>
        <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100" zoomScaleSheetLayoutView="100" workbookViewId="0">
      <selection activeCell="F7" sqref="F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3" t="s">
        <v>1114</v>
      </c>
      <c r="B2" s="4723"/>
      <c r="C2" s="4723"/>
      <c r="D2" s="549" t="s">
        <v>1090</v>
      </c>
      <c r="E2" s="1237" t="s">
        <v>1091</v>
      </c>
      <c r="F2" s="2092"/>
      <c r="G2" s="2085"/>
      <c r="H2" s="2086"/>
      <c r="I2" s="1821" t="s">
        <v>1115</v>
      </c>
      <c r="J2" s="2092"/>
      <c r="K2" s="2092"/>
      <c r="L2" s="2092"/>
      <c r="M2" s="2092"/>
      <c r="N2" s="2094"/>
      <c r="O2" s="2092"/>
      <c r="P2" s="2092"/>
    </row>
    <row r="3" spans="1:16" ht="15.75" thickBot="1">
      <c r="A3" s="4724" t="s">
        <v>1088</v>
      </c>
      <c r="B3" s="4724"/>
      <c r="C3" s="4724"/>
      <c r="D3" s="4136">
        <f>'数据-基础表'!AY6</f>
        <v>28389.67</v>
      </c>
      <c r="E3" s="4136">
        <f>'数据-基础表'!AZ5</f>
        <v>95404.21</v>
      </c>
      <c r="F3" s="2092"/>
      <c r="G3" s="805"/>
      <c r="H3" s="714" t="s">
        <v>1089</v>
      </c>
      <c r="I3" s="2828">
        <f>ROUND('数据-基础表'!B3/'数据-基础表'!A3,2)</f>
        <v>3.36</v>
      </c>
      <c r="J3" s="2092"/>
      <c r="K3" s="2092"/>
      <c r="L3" s="2092"/>
      <c r="M3" s="2092"/>
      <c r="N3" s="2094"/>
      <c r="O3" s="2092"/>
      <c r="P3" s="2092"/>
    </row>
    <row r="4" spans="1:16" ht="15">
      <c r="A4" s="4725"/>
      <c r="B4" s="4726"/>
      <c r="C4" s="4727"/>
      <c r="D4" s="1239" t="s">
        <v>1090</v>
      </c>
      <c r="E4" s="1240" t="s">
        <v>1091</v>
      </c>
      <c r="F4" s="2092"/>
      <c r="G4" s="2087" t="s">
        <v>1116</v>
      </c>
      <c r="H4" s="714" t="s">
        <v>1096</v>
      </c>
      <c r="I4" s="2828">
        <f>ROUND(SUMIF('数据-基础表'!I9:AS9,"地上",'数据-基础表'!I5:AS5)/'数据-基础表'!A3,2)</f>
        <v>2.41</v>
      </c>
      <c r="J4" s="2092"/>
      <c r="K4" s="2092"/>
      <c r="L4" s="2092"/>
      <c r="M4" s="2092"/>
      <c r="N4" s="2094"/>
      <c r="O4" s="2092"/>
      <c r="P4" s="2092"/>
    </row>
    <row r="5" spans="1:16">
      <c r="A5" s="24" t="s">
        <v>1092</v>
      </c>
      <c r="B5" s="4728" t="s">
        <v>1093</v>
      </c>
      <c r="C5" s="4728"/>
      <c r="D5" s="4114">
        <f>ROUND($D$3*E5/$E$3,2)</f>
        <v>18358.82</v>
      </c>
      <c r="E5" s="3971">
        <f>SUMIF('数据-基础表'!$11:$11,"住宅",'数据-基础表'!$5:$5)</f>
        <v>61695.28</v>
      </c>
      <c r="F5" s="2092"/>
      <c r="G5" s="805"/>
      <c r="H5" s="714" t="s">
        <v>1089</v>
      </c>
      <c r="I5" s="2828">
        <f>ROUND(E31/D31,2)</f>
        <v>3.36</v>
      </c>
      <c r="J5" s="2092"/>
      <c r="K5" s="2092"/>
      <c r="L5" s="2092"/>
      <c r="M5" s="2092"/>
      <c r="N5" s="2092"/>
      <c r="O5" s="2092"/>
      <c r="P5" s="2092"/>
    </row>
    <row r="6" spans="1:16" ht="15" thickBot="1">
      <c r="A6" s="1242"/>
      <c r="B6" s="4728" t="s">
        <v>1094</v>
      </c>
      <c r="C6" s="4728"/>
      <c r="D6" s="4114">
        <f>ROUND($D$3*E6/$E$3,2)</f>
        <v>10030.85</v>
      </c>
      <c r="E6" s="3971">
        <f>E3-E5</f>
        <v>33708.930000000008</v>
      </c>
      <c r="F6" s="2092"/>
      <c r="G6" s="2088" t="s">
        <v>1095</v>
      </c>
      <c r="H6" s="806" t="s">
        <v>1096</v>
      </c>
      <c r="I6" s="2829">
        <f>ROUND(F31/D31,2)</f>
        <v>2.41</v>
      </c>
      <c r="J6" s="2092"/>
      <c r="K6" s="2092"/>
      <c r="L6" s="2092"/>
      <c r="M6" s="2092"/>
      <c r="N6" s="2092"/>
      <c r="O6" s="2092"/>
      <c r="P6" s="2092"/>
    </row>
    <row r="7" spans="1:16" ht="15.75" thickBot="1">
      <c r="A7" s="4720"/>
      <c r="B7" s="4721"/>
      <c r="C7" s="4722"/>
      <c r="D7" s="1239" t="s">
        <v>1090</v>
      </c>
      <c r="E7" s="1243" t="s">
        <v>1097</v>
      </c>
      <c r="F7" s="2092"/>
      <c r="G7" s="2089" t="s">
        <v>1098</v>
      </c>
      <c r="H7" s="2090"/>
      <c r="I7" s="2830">
        <f>ROUND((64586.07+2732.38)/D3,2)</f>
        <v>2.37</v>
      </c>
      <c r="J7" s="2092"/>
      <c r="K7" s="2092"/>
      <c r="L7" s="2092"/>
      <c r="M7" s="2092"/>
      <c r="N7" s="2092"/>
      <c r="O7" s="2092"/>
      <c r="P7" s="2092"/>
    </row>
    <row r="8" spans="1:16">
      <c r="A8" s="24" t="s">
        <v>1099</v>
      </c>
      <c r="B8" s="26" t="s">
        <v>1100</v>
      </c>
      <c r="C8" s="25" t="s">
        <v>1101</v>
      </c>
      <c r="D8" s="4114">
        <f t="shared" ref="D8:D15" si="0">ROUND($D$3*E8/$E$3,2)</f>
        <v>19694.330000000002</v>
      </c>
      <c r="E8" s="3971">
        <f>SUMIF('数据-基础表'!BB10:BK10,"地上",'数据-基础表'!BB5:BK5)</f>
        <v>66183.3</v>
      </c>
      <c r="F8" s="2092"/>
      <c r="G8" s="2093"/>
      <c r="H8" s="2093"/>
      <c r="I8" s="2092"/>
      <c r="J8" s="2092"/>
      <c r="K8" s="2092"/>
      <c r="L8" s="2092"/>
      <c r="M8" s="2092"/>
      <c r="N8" s="2092"/>
      <c r="O8" s="2092"/>
      <c r="P8" s="2092"/>
    </row>
    <row r="9" spans="1:16">
      <c r="A9" s="1244"/>
      <c r="B9" s="1245"/>
      <c r="C9" s="25" t="s">
        <v>1102</v>
      </c>
      <c r="D9" s="4114">
        <f t="shared" si="0"/>
        <v>0</v>
      </c>
      <c r="E9" s="4137"/>
      <c r="F9" s="2092"/>
      <c r="G9" s="2093"/>
      <c r="H9" s="2093"/>
      <c r="I9" s="2092"/>
      <c r="J9" s="2092"/>
      <c r="K9" s="2092"/>
      <c r="L9" s="2092"/>
      <c r="M9" s="2092"/>
      <c r="N9" s="2092"/>
      <c r="O9" s="2092"/>
      <c r="P9" s="2092"/>
    </row>
    <row r="10" spans="1:16">
      <c r="A10" s="1244"/>
      <c r="B10" s="1245"/>
      <c r="C10" s="25" t="s">
        <v>1111</v>
      </c>
      <c r="D10" s="4114">
        <f t="shared" si="0"/>
        <v>903.75</v>
      </c>
      <c r="E10" s="3971">
        <f>SUMPRODUCT(('数据-基础表'!BB10:BK10="地下")*('数据-基础表'!BB11:BK11="商业")*('数据-基础表'!BB5:BK5))</f>
        <v>3037.08</v>
      </c>
      <c r="F10" s="2092"/>
      <c r="G10" s="2093"/>
      <c r="H10" s="2093"/>
      <c r="I10" s="2092"/>
      <c r="J10" s="2092"/>
      <c r="K10" s="2092"/>
      <c r="L10" s="2092"/>
      <c r="M10" s="2092"/>
      <c r="N10" s="2092"/>
      <c r="O10" s="2092"/>
      <c r="P10" s="2092"/>
    </row>
    <row r="11" spans="1:16">
      <c r="A11" s="1244"/>
      <c r="B11" s="1245"/>
      <c r="C11" s="25" t="s">
        <v>1103</v>
      </c>
      <c r="D11" s="4114">
        <f t="shared" si="0"/>
        <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f t="shared" si="0"/>
        <v>338.29</v>
      </c>
      <c r="E12" s="3971">
        <f>SUMPRODUCT(('数据-基础表'!BB10:BK10="地下")*('数据-基础表'!BB11:BK11="仓储")*('数据-基础表'!BB5:BK5))</f>
        <v>1136.82</v>
      </c>
      <c r="F12" s="2092"/>
      <c r="G12" s="2093"/>
      <c r="H12" s="2093"/>
      <c r="I12" s="2092"/>
      <c r="J12" s="2092"/>
      <c r="K12" s="2092"/>
      <c r="L12" s="2092"/>
      <c r="M12" s="2092"/>
      <c r="N12" s="2092"/>
      <c r="O12" s="2092"/>
      <c r="P12" s="2092"/>
    </row>
    <row r="13" spans="1:16">
      <c r="A13" s="1244"/>
      <c r="B13" s="1245"/>
      <c r="C13" s="25" t="s">
        <v>1105</v>
      </c>
      <c r="D13" s="4114">
        <f t="shared" si="0"/>
        <v>3326.77</v>
      </c>
      <c r="E13" s="3971">
        <f>SUMPRODUCT(('数据-基础表'!BB10:BK10="地下")*('数据-基础表'!BB11:BK11="车库")*('数据-基础表'!BB5:BK5))</f>
        <v>11179.69</v>
      </c>
      <c r="F13" s="2092"/>
      <c r="G13" s="2093"/>
      <c r="H13" s="2093"/>
      <c r="I13" s="2092"/>
      <c r="J13" s="2092"/>
      <c r="K13" s="2092"/>
      <c r="L13" s="2092"/>
      <c r="M13" s="2092"/>
      <c r="N13" s="2092"/>
      <c r="O13" s="2092"/>
      <c r="P13" s="2092"/>
    </row>
    <row r="14" spans="1:16">
      <c r="A14" s="1244"/>
      <c r="B14" s="1245"/>
      <c r="C14" s="25" t="s">
        <v>1117</v>
      </c>
      <c r="D14" s="4114">
        <f t="shared" si="0"/>
        <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f t="shared" si="0"/>
        <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f>SUM(D8:D15)</f>
        <v>24263.140000000003</v>
      </c>
      <c r="E16" s="4126">
        <f>SUM(E8:E15)</f>
        <v>81536.890000000014</v>
      </c>
      <c r="F16" s="2092"/>
      <c r="G16" s="2093"/>
      <c r="H16" s="1246" t="s">
        <v>1118</v>
      </c>
      <c r="I16" s="1247"/>
      <c r="J16" s="804"/>
      <c r="K16" s="4717" t="s">
        <v>1118</v>
      </c>
      <c r="L16" s="4718"/>
      <c r="M16" s="4718"/>
      <c r="N16" s="4718"/>
      <c r="O16" s="4718"/>
      <c r="P16" s="4719"/>
    </row>
    <row r="17" spans="1:19" ht="15">
      <c r="A17" s="1248" t="s">
        <v>1119</v>
      </c>
      <c r="B17" s="1249" t="s">
        <v>1120</v>
      </c>
      <c r="C17" s="1250" t="s">
        <v>1121</v>
      </c>
      <c r="D17" s="1251" t="s">
        <v>1109</v>
      </c>
      <c r="E17" s="1252" t="s">
        <v>1110</v>
      </c>
      <c r="F17" s="1253"/>
      <c r="G17" s="1254"/>
      <c r="H17" s="1255" t="s">
        <v>1122</v>
      </c>
      <c r="I17" s="1256" t="s">
        <v>1107</v>
      </c>
      <c r="J17" s="804"/>
      <c r="K17" s="4714" t="s">
        <v>1123</v>
      </c>
      <c r="L17" s="4715"/>
      <c r="M17" s="4716"/>
      <c r="N17" s="4714" t="s">
        <v>1124</v>
      </c>
      <c r="O17" s="4715"/>
      <c r="P17" s="4716"/>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4087</v>
      </c>
      <c r="D19" s="4114">
        <f>ROUND($D$3*E19/$E$3,2)</f>
        <v>18358.82</v>
      </c>
      <c r="E19" s="4114">
        <f t="shared" ref="E19:E26" si="1">SUM(F19:G19)</f>
        <v>61695.28</v>
      </c>
      <c r="F19" s="4115">
        <f>'数据-基础表'!I5</f>
        <v>61695.28</v>
      </c>
      <c r="G19" s="3941"/>
      <c r="H19" s="4116">
        <f>ROUND($D$3*I19/$E$3,2)</f>
        <v>3288.35</v>
      </c>
      <c r="I19" s="3971">
        <f t="shared" ref="I19:I26" si="2">IF($I$17="自定义",P19,M19)</f>
        <v>11050.59</v>
      </c>
      <c r="J19" s="804"/>
      <c r="K19" s="4116">
        <f t="shared" ref="K19:K26" si="3">ROUND(E$28*E19/E$27,2)</f>
        <v>8758.2999999999993</v>
      </c>
      <c r="L19" s="4114">
        <f t="shared" ref="L19:L26" si="4">ROUND(IF(COUNTIF(C19,"*住宅*")&gt;0,E$29*E19/E$32,0),2)</f>
        <v>2292.29</v>
      </c>
      <c r="M19" s="3971">
        <f>K19+L19</f>
        <v>11050.59</v>
      </c>
      <c r="N19" s="4130"/>
      <c r="O19" s="4131"/>
      <c r="P19" s="3971">
        <f>N19+O19</f>
        <v>0</v>
      </c>
      <c r="Q19" s="4132"/>
      <c r="R19" s="4114">
        <f t="shared" ref="R19:S26" si="5">D19+H19</f>
        <v>21647.17</v>
      </c>
      <c r="S19" s="4114">
        <f t="shared" si="5"/>
        <v>72745.87</v>
      </c>
    </row>
    <row r="20" spans="1:19">
      <c r="A20" s="1266"/>
      <c r="B20" s="26" t="s">
        <v>1136</v>
      </c>
      <c r="C20" s="2694" t="s">
        <v>4088</v>
      </c>
      <c r="D20" s="4114">
        <f t="shared" ref="D20:D26" si="6">ROUND($D$3*E20/$E$3,2)</f>
        <v>2239.2600000000002</v>
      </c>
      <c r="E20" s="4114">
        <f t="shared" si="1"/>
        <v>7525.1</v>
      </c>
      <c r="F20" s="4115">
        <f>'数据-基础表'!O5</f>
        <v>4488.0200000000004</v>
      </c>
      <c r="G20" s="3941">
        <f>'数据-基础表'!M5</f>
        <v>3037.08</v>
      </c>
      <c r="H20" s="4116">
        <f t="shared" ref="H20:H26" si="7">ROUND($D$3*I20/$E$3,2)</f>
        <v>317.89</v>
      </c>
      <c r="I20" s="3971">
        <f t="shared" si="2"/>
        <v>1068.27</v>
      </c>
      <c r="J20" s="804"/>
      <c r="K20" s="4116">
        <f t="shared" si="3"/>
        <v>1068.27</v>
      </c>
      <c r="L20" s="4114">
        <f t="shared" si="4"/>
        <v>0</v>
      </c>
      <c r="M20" s="3971">
        <f t="shared" ref="M20:M26" si="8">K20+L20</f>
        <v>1068.27</v>
      </c>
      <c r="N20" s="4130"/>
      <c r="O20" s="4131"/>
      <c r="P20" s="3971">
        <f t="shared" ref="P20:P26" si="9">N20+O20</f>
        <v>0</v>
      </c>
      <c r="Q20" s="4132"/>
      <c r="R20" s="4114">
        <f t="shared" si="5"/>
        <v>2557.15</v>
      </c>
      <c r="S20" s="4114">
        <f t="shared" si="5"/>
        <v>8593.3700000000008</v>
      </c>
    </row>
    <row r="21" spans="1:19">
      <c r="A21" s="1266"/>
      <c r="B21" s="26" t="s">
        <v>1136</v>
      </c>
      <c r="C21" s="2694" t="s">
        <v>4092</v>
      </c>
      <c r="D21" s="4114">
        <f t="shared" si="6"/>
        <v>338.29</v>
      </c>
      <c r="E21" s="4114">
        <f t="shared" si="1"/>
        <v>1136.82</v>
      </c>
      <c r="F21" s="4115"/>
      <c r="G21" s="3941">
        <f>'数据-基础表'!K5</f>
        <v>1136.82</v>
      </c>
      <c r="H21" s="4116">
        <f t="shared" si="7"/>
        <v>48.02</v>
      </c>
      <c r="I21" s="3971">
        <f t="shared" si="2"/>
        <v>161.38</v>
      </c>
      <c r="J21" s="804"/>
      <c r="K21" s="4116">
        <f t="shared" si="3"/>
        <v>161.38</v>
      </c>
      <c r="L21" s="4114">
        <f t="shared" si="4"/>
        <v>0</v>
      </c>
      <c r="M21" s="3971">
        <f t="shared" si="8"/>
        <v>161.38</v>
      </c>
      <c r="N21" s="4130"/>
      <c r="O21" s="4131"/>
      <c r="P21" s="3971">
        <f t="shared" si="9"/>
        <v>0</v>
      </c>
      <c r="Q21" s="4132"/>
      <c r="R21" s="4114">
        <f t="shared" si="5"/>
        <v>386.31</v>
      </c>
      <c r="S21" s="4114">
        <f t="shared" si="5"/>
        <v>1298.1999999999998</v>
      </c>
    </row>
    <row r="22" spans="1:19">
      <c r="A22" s="1266"/>
      <c r="B22" s="26" t="s">
        <v>1136</v>
      </c>
      <c r="C22" s="2695" t="s">
        <v>4090</v>
      </c>
      <c r="D22" s="4114">
        <f t="shared" si="6"/>
        <v>3326.77</v>
      </c>
      <c r="E22" s="4114">
        <f t="shared" si="1"/>
        <v>11179.69</v>
      </c>
      <c r="F22" s="4117"/>
      <c r="G22" s="4118">
        <f>'数据-基础表'!Q5</f>
        <v>11179.69</v>
      </c>
      <c r="H22" s="4116">
        <f t="shared" si="7"/>
        <v>472.27</v>
      </c>
      <c r="I22" s="3971">
        <f t="shared" si="2"/>
        <v>1587.08</v>
      </c>
      <c r="J22" s="804"/>
      <c r="K22" s="4116">
        <f t="shared" si="3"/>
        <v>1587.08</v>
      </c>
      <c r="L22" s="4114">
        <f t="shared" si="4"/>
        <v>0</v>
      </c>
      <c r="M22" s="3971">
        <f t="shared" si="8"/>
        <v>1587.08</v>
      </c>
      <c r="N22" s="4130"/>
      <c r="O22" s="4131"/>
      <c r="P22" s="3971">
        <f t="shared" si="9"/>
        <v>0</v>
      </c>
      <c r="Q22" s="4132"/>
      <c r="R22" s="4114">
        <f t="shared" si="5"/>
        <v>3799.04</v>
      </c>
      <c r="S22" s="4114">
        <f t="shared" si="5"/>
        <v>12766.77</v>
      </c>
    </row>
    <row r="23" spans="1:19">
      <c r="A23" s="1266"/>
      <c r="B23" s="26" t="s">
        <v>1136</v>
      </c>
      <c r="C23" s="2695"/>
      <c r="D23" s="4114">
        <f>ROUND($D$3*E23/$E$3,2)</f>
        <v>0</v>
      </c>
      <c r="E23" s="4114">
        <f>SUM(F23:G23)</f>
        <v>0</v>
      </c>
      <c r="F23" s="4117"/>
      <c r="G23" s="4118"/>
      <c r="H23" s="4116">
        <f>ROUND($D$3*I23/$E$3,2)</f>
        <v>0</v>
      </c>
      <c r="I23" s="3971">
        <f t="shared" si="2"/>
        <v>0</v>
      </c>
      <c r="J23" s="804"/>
      <c r="K23" s="4116">
        <f t="shared" si="3"/>
        <v>0</v>
      </c>
      <c r="L23" s="4114">
        <f t="shared" si="4"/>
        <v>0</v>
      </c>
      <c r="M23" s="3971">
        <f t="shared" si="8"/>
        <v>0</v>
      </c>
      <c r="N23" s="4130"/>
      <c r="O23" s="4131"/>
      <c r="P23" s="3971">
        <f t="shared" si="9"/>
        <v>0</v>
      </c>
      <c r="Q23" s="4132"/>
      <c r="R23" s="4114">
        <f t="shared" si="5"/>
        <v>0</v>
      </c>
      <c r="S23" s="4114">
        <f t="shared" si="5"/>
        <v>0</v>
      </c>
    </row>
    <row r="24" spans="1:19">
      <c r="A24" s="1266"/>
      <c r="B24" s="26" t="s">
        <v>1136</v>
      </c>
      <c r="C24" s="2695"/>
      <c r="D24" s="4114">
        <f>ROUND($D$3*E24/$E$3,2)</f>
        <v>0</v>
      </c>
      <c r="E24" s="4114">
        <f>SUM(F24:G24)</f>
        <v>0</v>
      </c>
      <c r="F24" s="4117"/>
      <c r="G24" s="4118"/>
      <c r="H24" s="4116">
        <f>ROUND($D$3*I24/$E$3,2)</f>
        <v>0</v>
      </c>
      <c r="I24" s="3971">
        <f t="shared" si="2"/>
        <v>0</v>
      </c>
      <c r="J24" s="804"/>
      <c r="K24" s="4116">
        <f t="shared" si="3"/>
        <v>0</v>
      </c>
      <c r="L24" s="4114">
        <f t="shared" si="4"/>
        <v>0</v>
      </c>
      <c r="M24" s="3971">
        <f t="shared" si="8"/>
        <v>0</v>
      </c>
      <c r="N24" s="4130"/>
      <c r="O24" s="4131"/>
      <c r="P24" s="3971">
        <f t="shared" si="9"/>
        <v>0</v>
      </c>
      <c r="Q24" s="4132"/>
      <c r="R24" s="4114">
        <f t="shared" si="5"/>
        <v>0</v>
      </c>
      <c r="S24" s="4114">
        <f t="shared" si="5"/>
        <v>0</v>
      </c>
    </row>
    <row r="25" spans="1:19">
      <c r="A25" s="1266"/>
      <c r="B25" s="26" t="s">
        <v>1136</v>
      </c>
      <c r="C25" s="2695"/>
      <c r="D25" s="4114">
        <f t="shared" si="6"/>
        <v>0</v>
      </c>
      <c r="E25" s="4114">
        <f t="shared" si="1"/>
        <v>0</v>
      </c>
      <c r="F25" s="4117"/>
      <c r="G25" s="4118"/>
      <c r="H25" s="4119">
        <f t="shared" si="7"/>
        <v>0</v>
      </c>
      <c r="I25" s="3971">
        <f t="shared" si="2"/>
        <v>0</v>
      </c>
      <c r="J25" s="804"/>
      <c r="K25" s="4116">
        <f t="shared" si="3"/>
        <v>0</v>
      </c>
      <c r="L25" s="4114">
        <f t="shared" si="4"/>
        <v>0</v>
      </c>
      <c r="M25" s="3971">
        <f t="shared" si="8"/>
        <v>0</v>
      </c>
      <c r="N25" s="4130"/>
      <c r="O25" s="4131"/>
      <c r="P25" s="3971">
        <f t="shared" si="9"/>
        <v>0</v>
      </c>
      <c r="Q25" s="4132"/>
      <c r="R25" s="4114">
        <f t="shared" si="5"/>
        <v>0</v>
      </c>
      <c r="S25" s="4114">
        <f t="shared" si="5"/>
        <v>0</v>
      </c>
    </row>
    <row r="26" spans="1:19">
      <c r="A26" s="1266"/>
      <c r="B26" s="26" t="s">
        <v>1136</v>
      </c>
      <c r="C26" s="29"/>
      <c r="D26" s="4114">
        <f t="shared" si="6"/>
        <v>0</v>
      </c>
      <c r="E26" s="4114">
        <f t="shared" si="1"/>
        <v>0</v>
      </c>
      <c r="F26" s="4117"/>
      <c r="G26" s="4118"/>
      <c r="H26" s="4119">
        <f t="shared" si="7"/>
        <v>0</v>
      </c>
      <c r="I26" s="3971">
        <f t="shared" si="2"/>
        <v>0</v>
      </c>
      <c r="J26" s="804"/>
      <c r="K26" s="4119">
        <f t="shared" si="3"/>
        <v>0</v>
      </c>
      <c r="L26" s="3913">
        <f t="shared" si="4"/>
        <v>0</v>
      </c>
      <c r="M26" s="4126">
        <f t="shared" si="8"/>
        <v>0</v>
      </c>
      <c r="N26" s="4133"/>
      <c r="O26" s="4134"/>
      <c r="P26" s="4126">
        <f t="shared" si="9"/>
        <v>0</v>
      </c>
      <c r="Q26" s="4132"/>
      <c r="R26" s="4114">
        <f t="shared" si="5"/>
        <v>0</v>
      </c>
      <c r="S26" s="4114">
        <f t="shared" si="5"/>
        <v>0</v>
      </c>
    </row>
    <row r="27" spans="1:19" ht="15.75" thickBot="1">
      <c r="A27" s="1266"/>
      <c r="B27" s="25"/>
      <c r="C27" s="1267" t="s">
        <v>1137</v>
      </c>
      <c r="D27" s="4120">
        <f>SUM(D19:D26)</f>
        <v>24263.140000000003</v>
      </c>
      <c r="E27" s="4120">
        <f>IF(SUM(E19:E26)='数据-基础表'!BA5,SUM(E19:E26),IF(F27="地上面积有误","面积有误","地下面积有误"))</f>
        <v>81536.890000000014</v>
      </c>
      <c r="F27" s="4120">
        <f>IF(SUM(F19:F26)=E8,SUM(F19:F26),"地上面积有误")</f>
        <v>66183.3</v>
      </c>
      <c r="G27" s="3968">
        <f>SUM(G19:G26)</f>
        <v>15353.59</v>
      </c>
      <c r="H27" s="4121">
        <f>SUM(H19:H26)</f>
        <v>4126.53</v>
      </c>
      <c r="I27" s="4122">
        <f>SUM(I19:I26)</f>
        <v>13867.32</v>
      </c>
      <c r="J27" s="804"/>
      <c r="K27" s="4121">
        <f>SUM(K19:K26)</f>
        <v>11575.029999999999</v>
      </c>
      <c r="L27" s="4128">
        <f>SUM(L19:L26)</f>
        <v>2292.29</v>
      </c>
      <c r="M27" s="4129">
        <f>SUM(M19:M26)</f>
        <v>13867.32</v>
      </c>
      <c r="N27" s="4121">
        <f t="shared" ref="N27:O27" si="10">SUM(N19:N26)</f>
        <v>0</v>
      </c>
      <c r="O27" s="4128">
        <f t="shared" si="10"/>
        <v>0</v>
      </c>
      <c r="P27" s="3919">
        <f>SUM(P19:P26)</f>
        <v>0</v>
      </c>
      <c r="Q27" s="4132"/>
      <c r="R27" s="4135">
        <f>IF(SUM(R19:R26)=$D$3,SUM(R19:R26),SUM(R19:R26)&amp;"误差"&amp;ROUND(SUM(R19:R26)-$D$3,2))</f>
        <v>28389.670000000002</v>
      </c>
      <c r="S27" s="4114">
        <f>IF(SUM(S19:S26)=$E$3,SUM(S19:S26),SUM(S19:S26)&amp;"误差"&amp;ROUND(SUM(S19:S26)-E3,2))</f>
        <v>95404.209999999992</v>
      </c>
    </row>
    <row r="28" spans="1:19">
      <c r="A28" s="1266"/>
      <c r="B28" s="26" t="s">
        <v>1138</v>
      </c>
      <c r="C28" s="719" t="s">
        <v>1139</v>
      </c>
      <c r="D28" s="4114">
        <f>ROUND($D$3*E28/$E$3,2)</f>
        <v>3444.41</v>
      </c>
      <c r="E28" s="4114">
        <f>SUM(F28:G28)</f>
        <v>11575.029999999999</v>
      </c>
      <c r="F28" s="4077">
        <f>'数据-基础表'!BQ5+'数据-基础表'!BS5</f>
        <v>1799.1399999999999</v>
      </c>
      <c r="G28" s="4123">
        <f>'数据-基础表'!BR5+'数据-基础表'!BT5</f>
        <v>9775.89</v>
      </c>
      <c r="H28" s="4124"/>
      <c r="I28" s="4124"/>
      <c r="J28" s="2092"/>
      <c r="K28" s="2092"/>
      <c r="L28" s="2092"/>
      <c r="M28" s="2092"/>
      <c r="N28" s="2092"/>
      <c r="O28" s="2092"/>
      <c r="P28" s="2092"/>
    </row>
    <row r="29" spans="1:19">
      <c r="A29" s="1266"/>
      <c r="B29" s="26" t="s">
        <v>1138</v>
      </c>
      <c r="C29" s="1268" t="s">
        <v>1140</v>
      </c>
      <c r="D29" s="4114">
        <f>ROUND($D$3*E29/$E$3,2)</f>
        <v>682.12</v>
      </c>
      <c r="E29" s="4114">
        <f>SUM(F29:G29)</f>
        <v>2292.29</v>
      </c>
      <c r="F29" s="4125">
        <f>'数据-基础表'!BM5+'数据-基础表'!BO5</f>
        <v>457.01</v>
      </c>
      <c r="G29" s="4126">
        <f>'数据-基础表'!BN5+'数据-基础表'!BP5</f>
        <v>1835.2800000000002</v>
      </c>
      <c r="H29" s="4124"/>
      <c r="I29" s="4124"/>
      <c r="J29" s="2092"/>
      <c r="K29" s="2092"/>
      <c r="L29" s="2092"/>
      <c r="M29" s="2092"/>
      <c r="N29" s="2092"/>
      <c r="O29" s="2092"/>
      <c r="P29" s="2092"/>
    </row>
    <row r="30" spans="1:19" ht="15">
      <c r="A30" s="1266"/>
      <c r="B30" s="26"/>
      <c r="C30" s="1269" t="s">
        <v>1137</v>
      </c>
      <c r="D30" s="4120">
        <f>SUM(D28:D29)</f>
        <v>4126.53</v>
      </c>
      <c r="E30" s="4120">
        <f>SUM(E28:E29)</f>
        <v>13867.32</v>
      </c>
      <c r="F30" s="4120">
        <f>SUM(F28:F29)</f>
        <v>2256.1499999999996</v>
      </c>
      <c r="G30" s="3968">
        <f>SUM(G28:G29)</f>
        <v>11611.17</v>
      </c>
      <c r="H30" s="4124"/>
      <c r="I30" s="4124"/>
      <c r="J30" s="2092"/>
      <c r="K30" s="2092"/>
      <c r="L30" s="2092"/>
      <c r="M30" s="2092"/>
      <c r="N30" s="2092"/>
      <c r="O30" s="2092"/>
      <c r="P30" s="2092"/>
    </row>
    <row r="31" spans="1:19" ht="15.75" thickBot="1">
      <c r="A31" s="1270"/>
      <c r="B31" s="1271"/>
      <c r="C31" s="564" t="s">
        <v>1141</v>
      </c>
      <c r="D31" s="4127">
        <f>D27+D30</f>
        <v>28389.670000000002</v>
      </c>
      <c r="E31" s="4127">
        <f>E27+E30</f>
        <v>95404.210000000021</v>
      </c>
      <c r="F31" s="4128">
        <f>F27+F30</f>
        <v>68439.45</v>
      </c>
      <c r="G31" s="4129">
        <f>G27+G30</f>
        <v>26964.760000000002</v>
      </c>
      <c r="H31" s="4124"/>
      <c r="I31" s="4124"/>
      <c r="J31" s="2092"/>
      <c r="K31" s="2092"/>
      <c r="L31" s="2092"/>
      <c r="M31" s="2092"/>
      <c r="N31" s="2092"/>
      <c r="O31" s="2092"/>
      <c r="P31" s="2092"/>
    </row>
    <row r="32" spans="1:19">
      <c r="A32" s="1241"/>
      <c r="B32" s="1241" t="s">
        <v>1142</v>
      </c>
      <c r="C32" s="1241"/>
      <c r="D32" s="3912"/>
      <c r="E32" s="3912">
        <f>SUMIF(C19:C26,"*住宅*",E19:E26)</f>
        <v>61695.28</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46087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4093</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住宅</v>
      </c>
      <c r="B6" s="1306" t="str">
        <f>IF(A6=0,"","经营性")</f>
        <v>经营性</v>
      </c>
      <c r="C6" s="1307" t="s">
        <v>3271</v>
      </c>
      <c r="D6" s="3554">
        <f>SUMIF(项目基本情况!C$12:I$12,C6,项目基本情况!C$14:I$14)</f>
        <v>70</v>
      </c>
      <c r="E6" s="580">
        <f>IF(B6="","",SUMIF(项目基本情况!C$12:I$12,C6,项目基本情况!C$13:I$13))</f>
        <v>71261</v>
      </c>
      <c r="F6" s="3556">
        <f>SUMIF(项目基本情况!C$12:I$12,C6,项目基本情况!C$15:I$15)</f>
        <v>68.959999999999994</v>
      </c>
      <c r="G6" s="3557">
        <f t="shared" ref="G6:G13" si="0">IF(ISERROR(ROUND(POWER(1+H6,D6-F6)*(POWER(1+H6,F6)-1)/(POWER(1+H6,D6)-1),4)),0,ROUND(POWER(1+H6,D6-F6)*(POWER(1+H6,F6)-1)/(POWER(1+H6,D6)-1),4))</f>
        <v>0.99709999999999999</v>
      </c>
      <c r="H6" s="3558">
        <v>0.04</v>
      </c>
      <c r="I6" s="3558">
        <v>4.4999999999999998E-2</v>
      </c>
      <c r="J6" s="3559">
        <v>7.0000000000000007E-2</v>
      </c>
      <c r="K6" s="4138">
        <f>SUMIF('数据-汇总表'!C$19:C$33,A6,'数据-汇总表'!E$19:E$33)</f>
        <v>61695.28</v>
      </c>
      <c r="L6" s="4139">
        <v>5300</v>
      </c>
      <c r="M6" s="4140">
        <f t="shared" ref="M6:M14" si="1">ROUND(K6*L6/10000,0)</f>
        <v>32698</v>
      </c>
      <c r="N6" s="3546">
        <v>0</v>
      </c>
      <c r="O6" s="4140">
        <f>IF($N$5="成新度","——",ROUND(M6*N6,0))</f>
        <v>0</v>
      </c>
      <c r="P6" s="3921">
        <f>IF($N$5="成新度","——",M6-O6)</f>
        <v>32698</v>
      </c>
      <c r="Q6" s="3547">
        <v>0.15</v>
      </c>
      <c r="R6" s="4156">
        <f ca="1">SUMIF('数据-汇总表'!C$19:C$33,A6,'数据-汇总表'!R$19:R$27)</f>
        <v>21647.17</v>
      </c>
      <c r="S6" s="4114">
        <f>IF('数据-汇总表'!$I$17="按面积比例",SUMIF('数据-汇总表'!C$19:C$33,A6,'数据-汇总表'!K$19:K$33),SUMIF('数据-汇总表'!C$19:C$33,A6,'数据-汇总表'!N$19:N$33))</f>
        <v>8758.2999999999993</v>
      </c>
      <c r="T6" s="4157">
        <f>ROUND($L$14*S6/10000,0)</f>
        <v>4204</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326984984</v>
      </c>
      <c r="AQ6" s="4114">
        <f>ROUND($L$14*$N$14*S6/10000,0)</f>
        <v>0</v>
      </c>
      <c r="AR6" s="4114">
        <f>ROUND($L$14*(1-$N$14)*S6/10000,0)</f>
        <v>4204</v>
      </c>
      <c r="AS6" s="4114">
        <f>ROUND(1-1/(1+H6)^F6,3)</f>
        <v>0.93300000000000005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t="str">
        <f>'数据-汇总表'!C20</f>
        <v>商业</v>
      </c>
      <c r="B7" s="1306" t="str">
        <f t="shared" ref="B7:B13" si="2">IF(A7=0,"","经营性")</f>
        <v>经营性</v>
      </c>
      <c r="C7" s="1307" t="s">
        <v>660</v>
      </c>
      <c r="D7" s="3554">
        <f>SUMIF(项目基本情况!C$12:I$12,C7,项目基本情况!C$14:I$14)</f>
        <v>40</v>
      </c>
      <c r="E7" s="580">
        <f>IF(B7="","",SUMIF(项目基本情况!C$12:I$12,C7,项目基本情况!C$13:I$13))</f>
        <v>60304</v>
      </c>
      <c r="F7" s="3556">
        <f>SUMIF(项目基本情况!C$12:I$12,C7,项目基本情况!C$15:I$15)</f>
        <v>38.950000000000003</v>
      </c>
      <c r="G7" s="3557">
        <f t="shared" si="0"/>
        <v>0.99129999999999996</v>
      </c>
      <c r="H7" s="3558">
        <v>0.05</v>
      </c>
      <c r="I7" s="3558">
        <v>5.5E-2</v>
      </c>
      <c r="J7" s="3559">
        <v>7.0000000000000007E-2</v>
      </c>
      <c r="K7" s="4138">
        <f>SUMIF('数据-汇总表'!C$19:C$33,A7,'数据-汇总表'!E$19:E$33)</f>
        <v>7525.1</v>
      </c>
      <c r="L7" s="4139">
        <v>4800</v>
      </c>
      <c r="M7" s="4140">
        <f t="shared" si="1"/>
        <v>3612</v>
      </c>
      <c r="N7" s="3546">
        <f>N6</f>
        <v>0</v>
      </c>
      <c r="O7" s="4140">
        <f t="shared" ref="O7:O14" si="3">IF($N$5="成新度","——",ROUND(M7*N7,0))</f>
        <v>0</v>
      </c>
      <c r="P7" s="3921">
        <f t="shared" ref="P7:P14" si="4">IF($N$5="成新度","——",M7-O7)</f>
        <v>3612</v>
      </c>
      <c r="Q7" s="3547">
        <v>0.15</v>
      </c>
      <c r="R7" s="4156">
        <f ca="1">SUMIF('数据-汇总表'!C$19:C$33,A7,'数据-汇总表'!R$19:R$27)</f>
        <v>2557.15</v>
      </c>
      <c r="S7" s="4114">
        <f>IF('数据-汇总表'!$I$17="按面积比例",SUMIF('数据-汇总表'!C$19:C$33,A7,'数据-汇总表'!K$19:K$33),SUMIF('数据-汇总表'!C$19:C$33,A7,'数据-汇总表'!N$19:N$33))</f>
        <v>1068.27</v>
      </c>
      <c r="T7" s="4157">
        <f t="shared" ref="T7:T13" si="5">ROUND($L$14*S7/10000,0)</f>
        <v>513</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513</v>
      </c>
      <c r="AS7" s="4114">
        <f t="shared" ref="AS7:AS13" si="12">ROUND(1-1/(1+H7)^F7,3)</f>
        <v>0.85</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t="str">
        <f>'数据-汇总表'!C21</f>
        <v>地下仓储</v>
      </c>
      <c r="B8" s="1306" t="str">
        <f t="shared" si="2"/>
        <v>经营性</v>
      </c>
      <c r="C8" s="1307" t="s">
        <v>3220</v>
      </c>
      <c r="D8" s="3554">
        <f>SUMIF(项目基本情况!C$12:I$12,C8,项目基本情况!C$14:I$14)</f>
        <v>50</v>
      </c>
      <c r="E8" s="580">
        <f>IF(B8="","",SUMIF(项目基本情况!C$12:I$12,C8,项目基本情况!C$13:I$13))</f>
        <v>63956</v>
      </c>
      <c r="F8" s="3556">
        <f>SUMIF(项目基本情况!C$12:I$12,C8,项目基本情况!C$15:I$15)</f>
        <v>48.95</v>
      </c>
      <c r="G8" s="3557">
        <f t="shared" si="0"/>
        <v>0.99409999999999998</v>
      </c>
      <c r="H8" s="3558">
        <v>4.4999999999999998E-2</v>
      </c>
      <c r="I8" s="3558">
        <v>0.05</v>
      </c>
      <c r="J8" s="3559">
        <v>7.0000000000000007E-2</v>
      </c>
      <c r="K8" s="4138">
        <f>SUMIF('数据-汇总表'!C$19:C$33,A8,'数据-汇总表'!E$19:E$33)</f>
        <v>1136.82</v>
      </c>
      <c r="L8" s="4139">
        <f>L7</f>
        <v>4800</v>
      </c>
      <c r="M8" s="4140">
        <f>ROUND(K8*L8/10000,0)</f>
        <v>546</v>
      </c>
      <c r="N8" s="3546">
        <f>N6</f>
        <v>0</v>
      </c>
      <c r="O8" s="4140">
        <f t="shared" si="3"/>
        <v>0</v>
      </c>
      <c r="P8" s="3921">
        <f t="shared" si="4"/>
        <v>546</v>
      </c>
      <c r="Q8" s="3547">
        <v>0.08</v>
      </c>
      <c r="R8" s="4156">
        <f ca="1">SUMIF('数据-汇总表'!C$19:C$33,A8,'数据-汇总表'!R$19:R$27)</f>
        <v>386.31</v>
      </c>
      <c r="S8" s="4114">
        <f>IF('数据-汇总表'!$I$17="按面积比例",SUMIF('数据-汇总表'!C$19:C$33,A8,'数据-汇总表'!K$19:K$33),SUMIF('数据-汇总表'!C$19:C$33,A8,'数据-汇总表'!N$19:N$33))</f>
        <v>161.38</v>
      </c>
      <c r="T8" s="4157">
        <f t="shared" si="5"/>
        <v>77</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77</v>
      </c>
      <c r="AS8" s="4114">
        <f t="shared" si="12"/>
        <v>0.88400000000000001</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t="str">
        <f>'数据-汇总表'!C22</f>
        <v>地下车库</v>
      </c>
      <c r="B9" s="1306" t="str">
        <f t="shared" si="2"/>
        <v>经营性</v>
      </c>
      <c r="C9" s="1307" t="s">
        <v>3219</v>
      </c>
      <c r="D9" s="3554">
        <f>SUMIF(项目基本情况!C$12:I$12,C9,项目基本情况!C$14:I$14)</f>
        <v>50</v>
      </c>
      <c r="E9" s="580">
        <f>IF(B9="","",SUMIF(项目基本情况!C$12:I$12,C9,项目基本情况!C$13:I$13))</f>
        <v>63956</v>
      </c>
      <c r="F9" s="3556">
        <f>SUMIF(项目基本情况!C$12:I$12,C9,项目基本情况!C$15:I$15)</f>
        <v>48.95</v>
      </c>
      <c r="G9" s="3557">
        <f t="shared" si="0"/>
        <v>0.99409999999999998</v>
      </c>
      <c r="H9" s="3558">
        <v>4.4999999999999998E-2</v>
      </c>
      <c r="I9" s="3558">
        <v>0.05</v>
      </c>
      <c r="J9" s="3559">
        <v>7.0000000000000007E-2</v>
      </c>
      <c r="K9" s="4138">
        <f>SUMIF('数据-汇总表'!C$19:C$33,A9,'数据-汇总表'!E$19:E$33)</f>
        <v>11179.69</v>
      </c>
      <c r="L9" s="4139">
        <f>L7</f>
        <v>4800</v>
      </c>
      <c r="M9" s="4140">
        <f t="shared" si="1"/>
        <v>5366</v>
      </c>
      <c r="N9" s="3546">
        <f>N6</f>
        <v>0</v>
      </c>
      <c r="O9" s="4140">
        <f t="shared" si="3"/>
        <v>0</v>
      </c>
      <c r="P9" s="3921">
        <f t="shared" si="4"/>
        <v>5366</v>
      </c>
      <c r="Q9" s="3548">
        <v>0.08</v>
      </c>
      <c r="R9" s="4156">
        <f ca="1">SUMIF('数据-汇总表'!C$19:C$33,A9,'数据-汇总表'!R$19:R$27)</f>
        <v>3799.04</v>
      </c>
      <c r="S9" s="4114">
        <f>IF('数据-汇总表'!$I$17="按面积比例",SUMIF('数据-汇总表'!C$19:C$33,A9,'数据-汇总表'!K$19:K$33),SUMIF('数据-汇总表'!C$19:C$33,A9,'数据-汇总表'!N$19:N$33))</f>
        <v>1587.08</v>
      </c>
      <c r="T9" s="4157">
        <f t="shared" si="5"/>
        <v>762</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762</v>
      </c>
      <c r="AS9" s="4114">
        <f t="shared" si="12"/>
        <v>0.88400000000000001</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11575.029999999999</v>
      </c>
      <c r="L14" s="4141">
        <f>L7</f>
        <v>4800</v>
      </c>
      <c r="M14" s="4140">
        <f t="shared" si="1"/>
        <v>5556</v>
      </c>
      <c r="N14" s="3549">
        <f>N6</f>
        <v>0</v>
      </c>
      <c r="O14" s="4140">
        <f t="shared" si="3"/>
        <v>0</v>
      </c>
      <c r="P14" s="3921">
        <f t="shared" si="4"/>
        <v>5556</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2292.29</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0.99609999999999999</v>
      </c>
      <c r="H16" s="3563">
        <f>ROUND(SUMPRODUCT(H6:H13,K6:K13)/SUMPRODUCT((H6:H13&gt;0)*(K6:K13)),3)</f>
        <v>4.2000000000000003E-2</v>
      </c>
      <c r="I16" s="3564"/>
      <c r="J16" s="3564"/>
      <c r="K16" s="4142">
        <f>SUM(K6:K15)</f>
        <v>95404.21</v>
      </c>
      <c r="L16" s="4143">
        <f>ROUND(M16*10000/SUM(K6:K14),0)</f>
        <v>5131</v>
      </c>
      <c r="M16" s="4143">
        <f>SUM(M6:M14)</f>
        <v>47778</v>
      </c>
      <c r="N16" s="3552">
        <f>ROUND(SUMPRODUCT(M6:M14,N6:N14)/M16,3)</f>
        <v>0</v>
      </c>
      <c r="O16" s="4143">
        <f>SUM(O6:O14)</f>
        <v>0</v>
      </c>
      <c r="P16" s="4143">
        <f>SUM(P6:P14)</f>
        <v>47778</v>
      </c>
      <c r="Q16" s="3553">
        <f>ROUND(SUMPRODUCT(Q6:Q13,K6:K13)/SUMPRODUCT((Q6:Q13&gt;0)*(K6:K13)),2)</f>
        <v>0.14000000000000001</v>
      </c>
      <c r="R16" s="4158">
        <f ca="1">SUM(R6:R13)</f>
        <v>28389.670000000002</v>
      </c>
      <c r="S16" s="4159">
        <f>SUM(S6:S13)</f>
        <v>11575.029999999999</v>
      </c>
      <c r="T16" s="4160">
        <f>IF(SUMIF(T6:T13,"&lt;9E307")=M14,SUMIF(T6:T13,"&lt;9E307"),"有误，请检查")</f>
        <v>5556</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f>ROUND(SUMPRODUCT(AS6:AS13,K6:K13)/SUMPRODUCT((AS6:AS13&gt;0)*(K6:K13)),3)</f>
        <v>0.91800000000000004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v>5500</v>
      </c>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2197</v>
      </c>
      <c r="D19" s="4272"/>
      <c r="E19" s="4273"/>
      <c r="F19" s="4273"/>
      <c r="G19" s="4273"/>
      <c r="H19" s="2106"/>
      <c r="I19" s="2106"/>
      <c r="J19" s="2106"/>
      <c r="K19" s="2105"/>
      <c r="L19" s="2105">
        <f>L18/1.09</f>
        <v>5045.8715596330276</v>
      </c>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v>2</v>
      </c>
      <c r="C20" s="4274" t="s">
        <v>3848</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v>0</v>
      </c>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2</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v>160</v>
      </c>
      <c r="C27" s="4322" t="s">
        <v>2198</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v>200</v>
      </c>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3847</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v>130</v>
      </c>
      <c r="C30" s="4329" t="s">
        <v>3975</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130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3812</v>
      </c>
      <c r="B33" s="4259">
        <v>0.04</v>
      </c>
      <c r="C33" s="4313" t="s">
        <v>3840</v>
      </c>
      <c r="D33" s="4272"/>
      <c r="E33" s="4273"/>
      <c r="F33" s="4273"/>
      <c r="G33" s="4273"/>
      <c r="H33" s="2106"/>
      <c r="I33" s="2106">
        <f>B33*L16</f>
        <v>205.24</v>
      </c>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v>0.05</v>
      </c>
      <c r="C34" s="4274" t="s">
        <v>3842</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v>360</v>
      </c>
      <c r="C35" s="4276" t="s">
        <v>3844</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3292</v>
      </c>
      <c r="B36" s="3565">
        <v>0.02</v>
      </c>
      <c r="C36" s="4314" t="s">
        <v>3843</v>
      </c>
      <c r="D36" s="4277"/>
      <c r="E36" s="4278"/>
      <c r="F36" s="4278"/>
      <c r="G36" s="4273"/>
      <c r="H36" s="2106"/>
      <c r="I36" s="4154">
        <f>B36*L16</f>
        <v>102.62</v>
      </c>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3293</v>
      </c>
      <c r="B37" s="3566">
        <v>0.02</v>
      </c>
      <c r="C37" s="4276" t="s">
        <v>3841</v>
      </c>
      <c r="D37" s="4272"/>
      <c r="E37" s="4273"/>
      <c r="F37" s="4273"/>
      <c r="G37" s="4273"/>
      <c r="H37" s="2106"/>
      <c r="I37" s="4154">
        <f>B37*L16</f>
        <v>102.62</v>
      </c>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4" t="s">
        <v>3268</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0.05</v>
      </c>
      <c r="C39" s="4274" t="s">
        <v>3845</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2204</v>
      </c>
      <c r="B41" s="3569">
        <f ca="1">IF(A41="利息：取LPR",存贷款利率!G1,存贷款利率!G1+C41)</f>
        <v>3.1300000000000001E-2</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7.0000000000000007E-2</v>
      </c>
      <c r="C45" s="4274" t="s">
        <v>3269</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3" t="s">
        <v>3849</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3" t="s">
        <v>3850</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2199</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3" t="s">
        <v>3851</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3" t="s">
        <v>3852</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3853</v>
      </c>
      <c r="D54" s="4327"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f>C60</f>
        <v>1.5</v>
      </c>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9" t="s">
        <v>2189</v>
      </c>
      <c r="B1" s="4730"/>
      <c r="C1" s="4730"/>
      <c r="D1" s="4730"/>
      <c r="E1" s="4730"/>
      <c r="F1" s="4730"/>
      <c r="G1" s="4730"/>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6.75">
      <c r="A4" s="1929"/>
      <c r="B4" s="210" t="s">
        <v>2157</v>
      </c>
      <c r="C4" s="1955" t="s">
        <v>2158</v>
      </c>
      <c r="D4" s="1952"/>
      <c r="E4" s="1956"/>
      <c r="F4" s="980" t="s">
        <v>2159</v>
      </c>
      <c r="G4" s="1957" t="s">
        <v>2160</v>
      </c>
      <c r="H4" s="550"/>
      <c r="I4" s="550"/>
      <c r="J4" s="550"/>
      <c r="K4" s="550"/>
      <c r="L4" s="550"/>
      <c r="M4" s="550"/>
      <c r="N4" s="550"/>
      <c r="O4" s="550"/>
      <c r="P4" s="550"/>
      <c r="Q4" s="550"/>
      <c r="R4" s="550"/>
    </row>
    <row r="5" spans="1:29" ht="36.75">
      <c r="A5" s="1929"/>
      <c r="B5" s="210" t="s">
        <v>2161</v>
      </c>
      <c r="C5" s="1955" t="s">
        <v>2162</v>
      </c>
      <c r="D5" s="1952"/>
      <c r="E5" s="1956"/>
      <c r="F5" s="210" t="s">
        <v>2163</v>
      </c>
      <c r="G5" s="1957" t="s">
        <v>2164</v>
      </c>
      <c r="H5" s="550"/>
      <c r="I5" s="550"/>
      <c r="J5" s="550"/>
      <c r="K5" s="550"/>
      <c r="L5" s="550"/>
      <c r="M5" s="550"/>
      <c r="N5" s="550"/>
      <c r="O5" s="550"/>
      <c r="P5" s="550"/>
      <c r="Q5" s="550"/>
      <c r="R5" s="550"/>
    </row>
    <row r="6" spans="1:29" ht="36">
      <c r="A6" s="1929"/>
      <c r="B6" s="210" t="s">
        <v>2165</v>
      </c>
      <c r="C6" s="1957" t="s">
        <v>2160</v>
      </c>
      <c r="D6" s="1952"/>
      <c r="E6" s="1956"/>
      <c r="F6" s="210" t="s">
        <v>2166</v>
      </c>
      <c r="G6" s="1957" t="s">
        <v>2167</v>
      </c>
      <c r="H6" s="550"/>
      <c r="I6" s="550"/>
      <c r="J6" s="550"/>
      <c r="K6" s="550"/>
      <c r="L6" s="550"/>
      <c r="M6" s="550"/>
      <c r="N6" s="550"/>
      <c r="O6" s="550"/>
      <c r="P6" s="550"/>
      <c r="Q6" s="550"/>
      <c r="R6" s="550"/>
    </row>
    <row r="7" spans="1:29" ht="24.75"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5"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2190</v>
      </c>
      <c r="B13" s="1971"/>
      <c r="C13" s="1971"/>
      <c r="D13" s="1969"/>
      <c r="E13" s="1971"/>
      <c r="F13" s="1971"/>
      <c r="G13" s="1971"/>
    </row>
    <row r="14" spans="1:29" ht="15" thickBot="1">
      <c r="A14" s="1981"/>
      <c r="B14" s="1981"/>
      <c r="C14" s="1982" t="s">
        <v>2173</v>
      </c>
      <c r="D14" s="1952"/>
      <c r="E14" s="1983"/>
      <c r="F14" s="1983"/>
      <c r="G14" s="1947" t="s">
        <v>2174</v>
      </c>
    </row>
    <row r="15" spans="1:29" ht="51">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8.25">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8.25">
      <c r="A17" s="1933"/>
      <c r="B17" s="1987" t="s">
        <v>2161</v>
      </c>
      <c r="C17" s="1988" t="str">
        <f>C5</f>
        <v>估价对象位于XX商圈，周边办公楼项目较多，入驻率高，办公集聚程度较好</v>
      </c>
      <c r="D17" s="1958"/>
      <c r="E17" s="1934"/>
      <c r="F17" s="1989" t="s">
        <v>2178</v>
      </c>
      <c r="G17" s="1991"/>
    </row>
    <row r="18" spans="1:18" ht="38.25">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5.5">
      <c r="A19" s="1933"/>
      <c r="B19" s="1989" t="s">
        <v>2179</v>
      </c>
      <c r="C19" s="1991"/>
      <c r="D19" s="1952"/>
      <c r="E19" s="1934"/>
      <c r="F19" s="210" t="s">
        <v>2163</v>
      </c>
      <c r="G19" s="1990" t="str">
        <f>G5</f>
        <v>估价对象所在区域公共配套设施齐备情况</v>
      </c>
    </row>
    <row r="20" spans="1:18" ht="25.5">
      <c r="A20" s="1933"/>
      <c r="B20" s="1989" t="s">
        <v>2180</v>
      </c>
      <c r="C20" s="1988" t="str">
        <f>C9</f>
        <v>区域自然环境：；人文环境；综合评价环境状况一般</v>
      </c>
      <c r="D20" s="1958"/>
      <c r="E20" s="1934"/>
      <c r="F20" s="210" t="s">
        <v>2166</v>
      </c>
      <c r="G20" s="1990" t="str">
        <f>G6</f>
        <v>估价对象所在区域基础设施水平</v>
      </c>
    </row>
    <row r="21" spans="1:18" ht="25.5">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5"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5"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B8" sqref="B8"/>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164656.12</v>
      </c>
      <c r="C1" s="2117"/>
      <c r="D1" s="2117"/>
      <c r="E1" s="2117"/>
      <c r="F1" s="2117"/>
      <c r="G1" s="2118"/>
      <c r="H1" s="2119"/>
      <c r="I1" s="2119"/>
      <c r="J1" s="2119"/>
      <c r="K1" s="2119"/>
    </row>
    <row r="2" spans="1:11" ht="16.5">
      <c r="A2" s="1999" t="s">
        <v>641</v>
      </c>
      <c r="B2" s="3909">
        <f>SUM(C14:C23)</f>
        <v>48710.14</v>
      </c>
      <c r="C2" s="2117"/>
      <c r="D2" s="2117"/>
      <c r="E2" s="2117"/>
      <c r="F2" s="2117"/>
      <c r="G2" s="2118"/>
      <c r="H2" s="2119"/>
      <c r="I2" s="2119"/>
      <c r="J2" s="2119"/>
      <c r="K2" s="2119"/>
    </row>
    <row r="3" spans="1:11" ht="16.5">
      <c r="A3" s="1999" t="s">
        <v>650</v>
      </c>
      <c r="B3" s="2001">
        <f>项目基本情况!D3</f>
        <v>46087</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9">
        <f ca="1">SUM(D14:D23)</f>
        <v>243333</v>
      </c>
      <c r="C5" s="3909">
        <f ca="1">ROUND(B5*10000/$B$1,0)</f>
        <v>14778</v>
      </c>
      <c r="D5" s="3909">
        <f ca="1">ROUND(B5*10000/$B$2,0)</f>
        <v>49955</v>
      </c>
      <c r="E5" s="2117"/>
      <c r="F5" s="2118"/>
      <c r="G5" s="2118"/>
      <c r="H5" s="2119"/>
      <c r="I5" s="2119"/>
      <c r="J5" s="2119"/>
      <c r="K5" s="2119"/>
    </row>
    <row r="6" spans="1:11" ht="16.5">
      <c r="A6" s="1999" t="s">
        <v>644</v>
      </c>
      <c r="B6" s="3909">
        <f>SUM(G14:G23)</f>
        <v>0</v>
      </c>
      <c r="C6" s="3909">
        <f>ROUND(B6*10000/$B$1,0)</f>
        <v>0</v>
      </c>
      <c r="D6" s="3909">
        <f>ROUND(B6*10000/$B$2,0)</f>
        <v>0</v>
      </c>
      <c r="E6" s="2117"/>
      <c r="F6" s="2118"/>
      <c r="G6" s="2118"/>
      <c r="H6" s="2119"/>
      <c r="I6" s="2119"/>
      <c r="J6" s="2119"/>
      <c r="K6" s="2119"/>
    </row>
    <row r="7" spans="1:11" ht="16.5">
      <c r="A7" s="1999" t="s">
        <v>652</v>
      </c>
      <c r="B7" s="3909">
        <f>SUM(H14:H23)</f>
        <v>0</v>
      </c>
      <c r="C7" s="3909" t="str">
        <f>IF(B7=H14,结果表!H110,ROUND(B7*10000/$B$1,0))</f>
        <v>——</v>
      </c>
      <c r="D7" s="3909">
        <f>ROUND(B7*10000/$B$2,0)</f>
        <v>0</v>
      </c>
      <c r="E7" s="2117"/>
      <c r="F7" s="2118"/>
      <c r="G7" s="2118"/>
      <c r="H7" s="2119"/>
      <c r="I7" s="2119"/>
      <c r="J7" s="2119"/>
      <c r="K7" s="2119"/>
    </row>
    <row r="8" spans="1:11" ht="16.5">
      <c r="A8" s="1999" t="s">
        <v>581</v>
      </c>
      <c r="B8" s="3909">
        <f>SUM(I14:I23)</f>
        <v>0</v>
      </c>
      <c r="C8" s="3909">
        <f ca="1">IF(B8=I14,结果表!H112,ROUND(B8*10000/$B$1,0))</f>
        <v>14447</v>
      </c>
      <c r="D8" s="3909">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3241</v>
      </c>
      <c r="D10" s="1999" t="s">
        <v>3242</v>
      </c>
      <c r="E10" s="3910"/>
      <c r="F10" s="2712" t="s">
        <v>3243</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f>结果表!B118</f>
        <v>95404.21</v>
      </c>
      <c r="C14" s="3905">
        <f>结果表!C118</f>
        <v>28389.67</v>
      </c>
      <c r="D14" s="3905">
        <f ca="1">结果表!I118</f>
        <v>139930</v>
      </c>
      <c r="E14" s="3905">
        <f ca="1">ROUND(D14*10000/B14,0)</f>
        <v>14667</v>
      </c>
      <c r="F14" s="3905">
        <f ca="1">ROUND(D14*10000/C14,0)</f>
        <v>49289</v>
      </c>
      <c r="G14" s="3905"/>
      <c r="H14" s="3905"/>
      <c r="I14" s="3905"/>
      <c r="J14" s="2118"/>
      <c r="K14" s="2119"/>
    </row>
    <row r="15" spans="1:11" ht="16.5">
      <c r="A15" s="2004" t="s">
        <v>637</v>
      </c>
      <c r="B15" s="3906">
        <f>[2]系统读取表!$B$14</f>
        <v>69251.909999999989</v>
      </c>
      <c r="C15" s="3906">
        <f>[2]系统读取表!$C$14</f>
        <v>20320.47</v>
      </c>
      <c r="D15" s="3906">
        <f ca="1">[2]系统读取表!$D$14</f>
        <v>103403</v>
      </c>
      <c r="E15" s="3905">
        <f t="shared" ref="E15:E23" ca="1" si="0">ROUND(D15*10000/B15,0)</f>
        <v>14931</v>
      </c>
      <c r="F15" s="3905">
        <f t="shared" ref="F15:F23" ca="1" si="1">ROUND(D15*10000/C15,0)</f>
        <v>50886</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G39" sqref="G39"/>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3" t="str">
        <f>项目基本情况!S2</f>
        <v>北京市房地产</v>
      </c>
      <c r="B2" s="4814"/>
      <c r="C2" s="4814"/>
      <c r="D2" s="4814"/>
      <c r="E2" s="4814"/>
      <c r="F2" s="4814"/>
      <c r="G2" s="4814"/>
      <c r="H2" s="4814"/>
      <c r="I2" s="4815"/>
    </row>
    <row r="3" spans="1:12" ht="12.75">
      <c r="A3" s="4817" t="s">
        <v>1242</v>
      </c>
      <c r="B3" s="4818"/>
      <c r="C3" s="4818"/>
      <c r="D3" s="4818"/>
      <c r="E3" s="4818"/>
      <c r="F3" s="4818"/>
      <c r="G3" s="4818"/>
      <c r="H3" s="4818"/>
      <c r="I3" s="4818"/>
    </row>
    <row r="4" spans="1:12" ht="14.25">
      <c r="A4" s="1343" t="s">
        <v>1243</v>
      </c>
      <c r="B4" s="1344" t="s">
        <v>1244</v>
      </c>
      <c r="C4" s="3816" t="s">
        <v>4094</v>
      </c>
      <c r="D4" s="3816" t="s">
        <v>4095</v>
      </c>
      <c r="E4" s="4819" t="s">
        <v>1245</v>
      </c>
      <c r="F4" s="4820"/>
      <c r="G4" s="4820"/>
      <c r="H4" s="4820"/>
      <c r="I4" s="482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假设开发法</v>
      </c>
    </row>
    <row r="5" spans="1:12" ht="12.75">
      <c r="A5" s="4754" t="s">
        <v>1246</v>
      </c>
      <c r="B5" s="4816">
        <v>25</v>
      </c>
      <c r="C5" s="4797"/>
      <c r="D5" s="4792"/>
      <c r="E5" s="53" t="s">
        <v>1247</v>
      </c>
      <c r="F5" s="1345"/>
      <c r="G5" s="1345"/>
      <c r="H5" s="1345"/>
      <c r="I5" s="980"/>
    </row>
    <row r="6" spans="1:12" ht="12.75">
      <c r="A6" s="4754"/>
      <c r="B6" s="4816"/>
      <c r="C6" s="4798"/>
      <c r="D6" s="4792"/>
      <c r="E6" s="53" t="s">
        <v>1248</v>
      </c>
      <c r="F6" s="1345"/>
      <c r="G6" s="1345"/>
      <c r="H6" s="1345"/>
      <c r="I6" s="980"/>
    </row>
    <row r="7" spans="1:12" ht="12.75">
      <c r="A7" s="4754"/>
      <c r="B7" s="4816"/>
      <c r="C7" s="4799"/>
      <c r="D7" s="4792"/>
      <c r="E7" s="53" t="s">
        <v>1249</v>
      </c>
      <c r="F7" s="1345"/>
      <c r="G7" s="1345"/>
      <c r="H7" s="1345"/>
      <c r="I7" s="980"/>
    </row>
    <row r="8" spans="1:12" ht="12.75">
      <c r="A8" s="4754" t="s">
        <v>1250</v>
      </c>
      <c r="B8" s="4816">
        <v>15</v>
      </c>
      <c r="C8" s="4797"/>
      <c r="D8" s="4792"/>
      <c r="E8" s="53" t="s">
        <v>1251</v>
      </c>
      <c r="F8" s="1345"/>
      <c r="G8" s="1345"/>
      <c r="H8" s="1345"/>
      <c r="I8" s="980"/>
    </row>
    <row r="9" spans="1:12" ht="12.75">
      <c r="A9" s="4754"/>
      <c r="B9" s="4816"/>
      <c r="C9" s="4799"/>
      <c r="D9" s="4792"/>
      <c r="E9" s="53" t="s">
        <v>1252</v>
      </c>
      <c r="F9" s="1345"/>
      <c r="G9" s="1345"/>
      <c r="H9" s="1345"/>
      <c r="I9" s="980"/>
    </row>
    <row r="10" spans="1:12" ht="12.75">
      <c r="A10" s="4754" t="s">
        <v>1253</v>
      </c>
      <c r="B10" s="4816">
        <v>15</v>
      </c>
      <c r="C10" s="4797"/>
      <c r="D10" s="4792"/>
      <c r="E10" s="53" t="s">
        <v>1254</v>
      </c>
      <c r="F10" s="1345"/>
      <c r="G10" s="1345"/>
      <c r="H10" s="1345"/>
      <c r="I10" s="980"/>
    </row>
    <row r="11" spans="1:12" ht="12.75">
      <c r="A11" s="4754"/>
      <c r="B11" s="4816"/>
      <c r="C11" s="4799"/>
      <c r="D11" s="4792"/>
      <c r="E11" s="53" t="s">
        <v>1255</v>
      </c>
      <c r="F11" s="1345"/>
      <c r="G11" s="1345"/>
      <c r="H11" s="1345"/>
      <c r="I11" s="980"/>
    </row>
    <row r="12" spans="1:12" ht="12.75">
      <c r="A12" s="4754" t="s">
        <v>1256</v>
      </c>
      <c r="B12" s="4816">
        <v>15</v>
      </c>
      <c r="C12" s="4797"/>
      <c r="D12" s="4792"/>
      <c r="E12" s="53" t="s">
        <v>1257</v>
      </c>
      <c r="F12" s="1345"/>
      <c r="G12" s="1345"/>
      <c r="H12" s="1345"/>
      <c r="I12" s="980"/>
    </row>
    <row r="13" spans="1:12" ht="12.75">
      <c r="A13" s="4754"/>
      <c r="B13" s="4816"/>
      <c r="C13" s="4799"/>
      <c r="D13" s="4792"/>
      <c r="E13" s="53" t="s">
        <v>1258</v>
      </c>
      <c r="F13" s="1345"/>
      <c r="G13" s="1345"/>
      <c r="H13" s="1345"/>
      <c r="I13" s="980"/>
    </row>
    <row r="14" spans="1:12" ht="12.75">
      <c r="A14" s="4754" t="s">
        <v>1259</v>
      </c>
      <c r="B14" s="4816">
        <v>30</v>
      </c>
      <c r="C14" s="4797">
        <v>5</v>
      </c>
      <c r="D14" s="4792">
        <v>5</v>
      </c>
      <c r="E14" s="53" t="s">
        <v>1260</v>
      </c>
      <c r="F14" s="1345"/>
      <c r="G14" s="1345"/>
      <c r="H14" s="1345"/>
      <c r="I14" s="980"/>
    </row>
    <row r="15" spans="1:12" ht="12.75">
      <c r="A15" s="4754"/>
      <c r="B15" s="4816"/>
      <c r="C15" s="4798"/>
      <c r="D15" s="4792"/>
      <c r="E15" s="53" t="s">
        <v>1261</v>
      </c>
      <c r="F15" s="1345"/>
      <c r="G15" s="1345"/>
      <c r="H15" s="1345"/>
      <c r="I15" s="980"/>
    </row>
    <row r="16" spans="1:12" ht="12.75">
      <c r="A16" s="4754"/>
      <c r="B16" s="4816"/>
      <c r="C16" s="4799"/>
      <c r="D16" s="4792"/>
      <c r="E16" s="53" t="s">
        <v>1262</v>
      </c>
      <c r="F16" s="1345"/>
      <c r="G16" s="1345"/>
      <c r="H16" s="1345"/>
      <c r="I16" s="980"/>
    </row>
    <row r="17" spans="1:36" ht="15">
      <c r="A17" s="1346" t="s">
        <v>1263</v>
      </c>
      <c r="B17" s="3815"/>
      <c r="C17" s="3912">
        <f>SUM(C5:C16)</f>
        <v>5</v>
      </c>
      <c r="D17" s="3912">
        <f>SUM(D5:D16)</f>
        <v>5</v>
      </c>
      <c r="E17" s="51"/>
      <c r="F17" s="51"/>
      <c r="G17" s="51"/>
      <c r="H17" s="51"/>
      <c r="I17" s="51"/>
      <c r="K17" s="190"/>
      <c r="L17" s="190" t="s">
        <v>1264</v>
      </c>
      <c r="M17" s="190" t="s">
        <v>1265</v>
      </c>
    </row>
    <row r="18" spans="1:36" ht="31.9" customHeight="1" thickBot="1">
      <c r="A18" s="1347" t="s">
        <v>1266</v>
      </c>
      <c r="B18" s="1348"/>
      <c r="C18" s="3913">
        <f>ROUND(C17/SUM(C17:D17),2)</f>
        <v>0.5</v>
      </c>
      <c r="D18" s="3913">
        <f>1-C18</f>
        <v>0.5</v>
      </c>
      <c r="E18" s="4804" t="s">
        <v>2034</v>
      </c>
      <c r="F18" s="4805"/>
      <c r="G18" s="4805"/>
      <c r="H18" s="4805"/>
      <c r="I18" s="4805"/>
      <c r="K18" s="190" t="s">
        <v>1267</v>
      </c>
      <c r="L18" s="3924">
        <f>IF(C1="",'数据-汇总表'!E3,SUMIF(项目类型,C1,'数据-汇总表'!E17:E26)+SUMIF(项目类型,C1,'数据-汇总表'!I17:I26))</f>
        <v>95404.21</v>
      </c>
      <c r="M18" s="3924">
        <f>IF(C1="",'数据-汇总表'!E3,SUMIF(项目类型,C1,'数据-汇总表'!E17:E26))</f>
        <v>95404.21</v>
      </c>
    </row>
    <row r="19" spans="1:36" ht="15">
      <c r="A19" s="1349" t="s">
        <v>1268</v>
      </c>
      <c r="B19" s="1350" t="s">
        <v>1269</v>
      </c>
      <c r="C19" s="3914">
        <f ca="1">SUMIF(INDIRECT("'"&amp;C4&amp;"'"&amp;"!A:A"),结果表!B19,INDIRECT("'"&amp;C4&amp;"'"&amp;"!B:B"))</f>
        <v>139467</v>
      </c>
      <c r="D19" s="3915">
        <f ca="1">SUMIF(INDIRECT("'"&amp;D4&amp;"'"&amp;"!A:A"),结果表!B19,INDIRECT("'"&amp;D4&amp;"'"&amp;"!B:B"))</f>
        <v>140392</v>
      </c>
      <c r="E19" s="1349" t="s">
        <v>1270</v>
      </c>
      <c r="F19" s="1350" t="s">
        <v>1269</v>
      </c>
      <c r="G19" s="3920">
        <f ca="1">ROUND(C19*$C$18+D19*$D$18,0)</f>
        <v>139930</v>
      </c>
      <c r="H19" s="1351" t="s">
        <v>1271</v>
      </c>
      <c r="I19" s="3923">
        <f ca="1">ROUND(C19*$C$18+D19*$D$18,4)</f>
        <v>139929.5</v>
      </c>
      <c r="K19" s="190" t="s">
        <v>1272</v>
      </c>
      <c r="L19" s="3924">
        <f>IF(C1="",'数据-汇总表'!D3,SUMIF(项目类型,C1,'数据-汇总表'!D17:D26)+SUMIF(项目类型,C1,'数据-汇总表'!H17:H27))</f>
        <v>28389.67</v>
      </c>
      <c r="M19" s="3924">
        <f>IF(C1="",'数据-汇总表'!D3,SUMIF(项目类型,C1,'数据-汇总表'!D17:D26))</f>
        <v>28389.67</v>
      </c>
    </row>
    <row r="20" spans="1:36" ht="15">
      <c r="A20" s="1352"/>
      <c r="B20" s="714" t="s">
        <v>1273</v>
      </c>
      <c r="C20" s="3916">
        <f ca="1">SUMIF(INDIRECT("'"&amp;C4&amp;"'"&amp;"!A:A"),结果表!B20,INDIRECT("'"&amp;C4&amp;"'"&amp;"!B:B"))</f>
        <v>14619</v>
      </c>
      <c r="D20" s="3917">
        <f ca="1">SUMIF(INDIRECT("'"&amp;D4&amp;"'"&amp;"!A:A"),结果表!B20,INDIRECT("'"&amp;D4&amp;"'"&amp;"!B:B"))</f>
        <v>14715</v>
      </c>
      <c r="E20" s="1352"/>
      <c r="F20" s="714" t="s">
        <v>1273</v>
      </c>
      <c r="G20" s="3921">
        <f ca="1">ROUND(C20*$C$18+D20*$D$18,0)</f>
        <v>14667</v>
      </c>
      <c r="H20" s="556" t="s">
        <v>1274</v>
      </c>
      <c r="I20" s="51"/>
    </row>
    <row r="21" spans="1:36" ht="15" customHeight="1" thickBot="1">
      <c r="A21" s="562"/>
      <c r="B21" s="3646" t="s">
        <v>3627</v>
      </c>
      <c r="C21" s="3918">
        <f ca="1">SUMIF(INDIRECT("'"&amp;C4&amp;"'"&amp;"!A:A"),结果表!B21,INDIRECT("'"&amp;C4&amp;"'"&amp;"!B:B"))</f>
        <v>49126</v>
      </c>
      <c r="D21" s="3919">
        <f ca="1">SUMIF(INDIRECT("'"&amp;D4&amp;"'"&amp;"!A:A"),结果表!B21,INDIRECT("'"&amp;D4&amp;"'"&amp;"!B:B"))</f>
        <v>49452</v>
      </c>
      <c r="E21" s="1352"/>
      <c r="F21" s="806" t="s">
        <v>1275</v>
      </c>
      <c r="G21" s="3921">
        <f ca="1">ROUND(C21*$C$18+D21*$D$18,0)</f>
        <v>49289</v>
      </c>
      <c r="H21" s="556" t="s">
        <v>1274</v>
      </c>
      <c r="I21" s="51"/>
      <c r="J21" s="4630" t="s">
        <v>4097</v>
      </c>
    </row>
    <row r="22" spans="1:36" ht="15" thickBot="1">
      <c r="A22" s="1282" t="s">
        <v>1276</v>
      </c>
      <c r="B22" s="1353"/>
      <c r="C22" s="2822"/>
      <c r="D22" s="4232">
        <f ca="1">IF(C19&lt;D19,D19/C19-1,C19/D19-1)</f>
        <v>6.6323933260197254E-3</v>
      </c>
      <c r="E22" s="3637"/>
      <c r="F22" s="3639"/>
      <c r="G22" s="3922">
        <f ca="1">ROUND(G19/('数据-汇总表'!D3/666.67),0)</f>
        <v>3286</v>
      </c>
      <c r="H22" s="3638" t="s">
        <v>3625</v>
      </c>
      <c r="I22" s="51"/>
      <c r="J22" s="518">
        <v>139000</v>
      </c>
    </row>
    <row r="23" spans="1:36" ht="13.5" thickBot="1">
      <c r="A23" s="1336"/>
      <c r="B23" s="1336"/>
      <c r="C23" s="1336"/>
      <c r="D23" s="1336"/>
      <c r="E23" s="51"/>
      <c r="F23" s="51"/>
      <c r="G23" s="51"/>
      <c r="H23" s="51"/>
      <c r="I23" s="51"/>
    </row>
    <row r="24" spans="1:36" ht="14.25">
      <c r="A24" s="4837" t="s">
        <v>1277</v>
      </c>
      <c r="B24" s="1350" t="s">
        <v>1269</v>
      </c>
      <c r="C24" s="3920">
        <f>IF(B30=0,0,D30)</f>
        <v>0</v>
      </c>
      <c r="D24" s="3925"/>
      <c r="E24" s="51"/>
      <c r="F24" s="51"/>
      <c r="G24" s="51"/>
      <c r="H24" s="51"/>
      <c r="I24" s="51"/>
      <c r="J24" s="518">
        <f>J22/'数据-汇总表'!F19</f>
        <v>2.253008658036725</v>
      </c>
    </row>
    <row r="25" spans="1:36" ht="14.25">
      <c r="A25" s="4838"/>
      <c r="B25" s="3647" t="s">
        <v>3628</v>
      </c>
      <c r="C25" s="3926">
        <f>IF(B30=0,0,C30)</f>
        <v>0</v>
      </c>
      <c r="D25" s="3927"/>
      <c r="E25" s="51"/>
      <c r="F25" s="51"/>
      <c r="G25" s="51"/>
      <c r="H25" s="51">
        <f ca="1">G19-C38</f>
        <v>137904</v>
      </c>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f ca="1">IF(D32="总价",G19-C24,G20-C25)</f>
        <v>139930</v>
      </c>
      <c r="D32" s="1358" t="s">
        <v>4172</v>
      </c>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809" t="s">
        <v>1290</v>
      </c>
      <c r="B36" s="1370" t="s">
        <v>1291</v>
      </c>
      <c r="C36" s="3936"/>
      <c r="D36" s="1371"/>
      <c r="E36" s="1372"/>
      <c r="F36" s="1373"/>
      <c r="G36" s="51"/>
      <c r="H36" s="51"/>
      <c r="I36" s="51"/>
    </row>
    <row r="37" spans="1:19" ht="15.75" thickBot="1">
      <c r="A37" s="4810"/>
      <c r="B37" s="1268" t="s">
        <v>1292</v>
      </c>
      <c r="C37" s="3937"/>
      <c r="D37" s="804"/>
      <c r="E37" s="804"/>
      <c r="F37" s="1373"/>
      <c r="G37" s="51"/>
      <c r="H37" s="51"/>
      <c r="I37" s="51"/>
    </row>
    <row r="38" spans="1:19" ht="15.75" thickBot="1">
      <c r="A38" s="4811"/>
      <c r="B38" s="1374" t="s">
        <v>1293</v>
      </c>
      <c r="C38" s="3938">
        <f>E40+E41+E42</f>
        <v>2026</v>
      </c>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f>'数据-汇总表'!G20</f>
        <v>3037.08</v>
      </c>
      <c r="C40" s="3940">
        <f>'土地比较法-住宅、综合'!B59</f>
        <v>3116</v>
      </c>
      <c r="D40" s="3940">
        <f>ROUND(C40*B40*0.0305/10000,0)</f>
        <v>29</v>
      </c>
      <c r="E40" s="3941">
        <f>ROUND(B40*C40/10000,0)+D40</f>
        <v>975</v>
      </c>
      <c r="F40" s="1373"/>
      <c r="G40" s="51"/>
      <c r="H40" s="51"/>
      <c r="I40" s="51"/>
    </row>
    <row r="41" spans="1:19" ht="14.25">
      <c r="A41" s="1379" t="s">
        <v>1301</v>
      </c>
      <c r="B41" s="3939">
        <f>'数据-汇总表'!G21</f>
        <v>1136.82</v>
      </c>
      <c r="C41" s="3940">
        <f>'土地比较法-住宅、综合'!B63</f>
        <v>1299</v>
      </c>
      <c r="D41" s="3940">
        <f t="shared" ref="D41:D42" si="0">ROUND(C41*B41*0.0305/10000,0)</f>
        <v>5</v>
      </c>
      <c r="E41" s="3941">
        <f t="shared" ref="E41:E42" si="1">ROUND(B41*C41/10000,0)+D41</f>
        <v>153</v>
      </c>
      <c r="F41" s="1373"/>
      <c r="G41" s="51"/>
      <c r="H41" s="51"/>
      <c r="I41" s="51"/>
    </row>
    <row r="42" spans="1:19" ht="15" thickBot="1">
      <c r="A42" s="1380"/>
      <c r="B42" s="3942">
        <f>'数据-汇总表'!G22</f>
        <v>11179.69</v>
      </c>
      <c r="C42" s="3943">
        <f>'土地比较法-住宅、综合'!B64</f>
        <v>779</v>
      </c>
      <c r="D42" s="3940">
        <f t="shared" si="0"/>
        <v>27</v>
      </c>
      <c r="E42" s="3941">
        <f t="shared" si="1"/>
        <v>898</v>
      </c>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4" t="s">
        <v>1304</v>
      </c>
      <c r="B45" s="4835"/>
      <c r="C45" s="4836"/>
      <c r="D45" s="3944">
        <f ca="1">ROUND(H101*F45,0)</f>
        <v>139930</v>
      </c>
      <c r="E45" s="61" t="s">
        <v>1305</v>
      </c>
      <c r="F45" s="62">
        <v>1</v>
      </c>
      <c r="G45" s="63" t="s">
        <v>1306</v>
      </c>
      <c r="H45" s="51"/>
      <c r="I45" s="51"/>
      <c r="J45" s="4839" t="s">
        <v>1307</v>
      </c>
      <c r="K45" s="4839"/>
      <c r="L45" s="4839"/>
      <c r="M45" s="4839"/>
      <c r="N45" s="4839"/>
      <c r="O45" s="4839"/>
    </row>
    <row r="46" spans="1:19" ht="14.25" customHeight="1">
      <c r="A46" s="4831" t="s">
        <v>1308</v>
      </c>
      <c r="B46" s="4832"/>
      <c r="C46" s="4832"/>
      <c r="D46" s="4832"/>
      <c r="E46" s="4832"/>
      <c r="F46" s="4832"/>
      <c r="G46" s="4833"/>
      <c r="H46" s="1389"/>
      <c r="I46" s="64"/>
      <c r="J46" s="2007">
        <v>1</v>
      </c>
      <c r="K46" s="4840" t="s">
        <v>1309</v>
      </c>
      <c r="L46" s="4840"/>
      <c r="M46" s="4841"/>
      <c r="N46" s="4841"/>
      <c r="O46" s="4841"/>
    </row>
    <row r="47" spans="1:19" ht="12" customHeight="1">
      <c r="A47" s="65" t="s">
        <v>1310</v>
      </c>
      <c r="B47" s="66"/>
      <c r="C47" s="67"/>
      <c r="D47" s="762" t="s">
        <v>1311</v>
      </c>
      <c r="E47" s="190" t="s">
        <v>1312</v>
      </c>
      <c r="F47" s="68" t="s">
        <v>1313</v>
      </c>
      <c r="G47" s="2022" t="s">
        <v>1314</v>
      </c>
      <c r="H47" s="2023"/>
      <c r="I47" s="64"/>
      <c r="J47" s="2007">
        <v>2</v>
      </c>
      <c r="K47" s="4840" t="s">
        <v>1315</v>
      </c>
      <c r="L47" s="4840"/>
      <c r="M47" s="4842">
        <f>'数据-取费表'!B2</f>
        <v>46087</v>
      </c>
      <c r="N47" s="4842"/>
      <c r="O47" s="4842"/>
    </row>
    <row r="48" spans="1:19" ht="25.5">
      <c r="A48" s="4812" t="s">
        <v>1316</v>
      </c>
      <c r="B48" s="4796"/>
      <c r="C48" s="4796"/>
      <c r="D48" s="3945">
        <f ca="1">ROUND(IF(H48="情况1",0,IF(H48="情况2",D52,IF(H48="情况3",D53,IF(H48="情况4",D54))))*(1+'数据-取费表'!B44),0)</f>
        <v>-1071</v>
      </c>
      <c r="E48" s="3802" t="str">
        <f>IF(H48="情况4","(销售额-原购置价)×税（费）率","销售额×税（费）率")</f>
        <v>销售额×税（费）率</v>
      </c>
      <c r="F48" s="3808">
        <f>IF(H48="情况1","免征",'数据-取费表'!B42)</f>
        <v>0</v>
      </c>
      <c r="G48" s="2024" t="s">
        <v>1317</v>
      </c>
      <c r="H48" s="2025" t="s">
        <v>4173</v>
      </c>
      <c r="I48" s="1389"/>
      <c r="J48" s="2007">
        <v>3</v>
      </c>
      <c r="K48" s="4840" t="s">
        <v>1318</v>
      </c>
      <c r="L48" s="4840"/>
      <c r="M48" s="4843">
        <f ca="1">H101</f>
        <v>139930</v>
      </c>
      <c r="N48" s="4843"/>
      <c r="O48" s="4843"/>
      <c r="R48" s="3665" t="s">
        <v>3642</v>
      </c>
      <c r="S48" s="3666"/>
    </row>
    <row r="49" spans="1:35" ht="25.5" customHeight="1">
      <c r="A49" s="3809" t="s">
        <v>1319</v>
      </c>
      <c r="B49" s="4780" t="s">
        <v>1320</v>
      </c>
      <c r="C49" s="4780"/>
      <c r="D49" s="3946">
        <v>0</v>
      </c>
      <c r="E49" s="211" t="s">
        <v>1321</v>
      </c>
      <c r="F49" s="3800" t="s">
        <v>26</v>
      </c>
      <c r="G49" s="4772"/>
      <c r="H49" s="3658" t="s">
        <v>2037</v>
      </c>
      <c r="I49" s="3659"/>
      <c r="J49" s="2007">
        <v>4</v>
      </c>
      <c r="K49" s="4840" t="str">
        <f>IF(项目基本情况!E8="房地产抵押价值","房地产抵押价值","抵押担保权已注销时的房地产抵押价值")</f>
        <v>房地产抵押价值</v>
      </c>
      <c r="L49" s="4840"/>
      <c r="M49" s="4843">
        <f ca="1">IF(项目基本情况!E8="房地产抵押价值",H107,H109)</f>
        <v>137904</v>
      </c>
      <c r="N49" s="4843"/>
      <c r="O49" s="4843"/>
      <c r="R49" s="3667" t="s">
        <v>3643</v>
      </c>
      <c r="S49" s="3665" t="s">
        <v>3644</v>
      </c>
    </row>
    <row r="50" spans="1:35" ht="25.5" customHeight="1">
      <c r="A50" s="3810"/>
      <c r="B50" s="4780" t="s">
        <v>1322</v>
      </c>
      <c r="C50" s="4780"/>
      <c r="D50" s="3947"/>
      <c r="E50" s="219"/>
      <c r="F50" s="3800"/>
      <c r="G50" s="4773"/>
      <c r="H50" s="3660" t="s">
        <v>2038</v>
      </c>
      <c r="I50" s="3659"/>
      <c r="J50" s="4839" t="s">
        <v>1323</v>
      </c>
      <c r="K50" s="4839"/>
      <c r="L50" s="4839"/>
      <c r="M50" s="4839"/>
      <c r="N50" s="4839"/>
      <c r="O50" s="4839"/>
      <c r="R50" s="3667" t="s">
        <v>3645</v>
      </c>
      <c r="S50" s="3665" t="s">
        <v>3646</v>
      </c>
    </row>
    <row r="51" spans="1:35" ht="20.45" customHeight="1">
      <c r="A51" s="3811"/>
      <c r="B51" s="4780" t="s">
        <v>1324</v>
      </c>
      <c r="C51" s="4780"/>
      <c r="D51" s="3948"/>
      <c r="E51" s="214"/>
      <c r="F51" s="3800"/>
      <c r="G51" s="4774"/>
      <c r="H51" s="3660" t="s">
        <v>2039</v>
      </c>
      <c r="I51" s="3659"/>
      <c r="J51" s="2008" t="s">
        <v>1325</v>
      </c>
      <c r="K51" s="4840" t="s">
        <v>1326</v>
      </c>
      <c r="L51" s="4840"/>
      <c r="M51" s="2008" t="s">
        <v>1327</v>
      </c>
      <c r="N51" s="2008" t="s">
        <v>1328</v>
      </c>
      <c r="O51" s="2008" t="s">
        <v>1329</v>
      </c>
      <c r="R51" s="3667" t="s">
        <v>3647</v>
      </c>
      <c r="S51" s="3666" t="s">
        <v>3648</v>
      </c>
    </row>
    <row r="52" spans="1:35" ht="24" customHeight="1">
      <c r="A52" s="3801" t="s">
        <v>1330</v>
      </c>
      <c r="B52" s="4780" t="s">
        <v>1331</v>
      </c>
      <c r="C52" s="4780"/>
      <c r="D52" s="3948">
        <f ca="1">ROUND(D45*F52/(1+F52),0)</f>
        <v>4076</v>
      </c>
      <c r="E52" s="3802" t="s">
        <v>1332</v>
      </c>
      <c r="F52" s="2026">
        <v>0.03</v>
      </c>
      <c r="G52" s="947" t="s">
        <v>3688</v>
      </c>
      <c r="H52" s="2020"/>
      <c r="I52" s="1390"/>
      <c r="J52" s="2007">
        <v>1</v>
      </c>
      <c r="K52" s="4769" t="s">
        <v>1333</v>
      </c>
      <c r="L52" s="4769"/>
      <c r="M52" s="3950">
        <f ca="1">IF(D48&lt;=0,0,D48)</f>
        <v>0</v>
      </c>
      <c r="N52" s="2007" t="str">
        <f>E48</f>
        <v>销售额×税（费）率</v>
      </c>
      <c r="O52" s="3838">
        <f>F48</f>
        <v>0</v>
      </c>
      <c r="R52" s="3665" t="s">
        <v>3649</v>
      </c>
      <c r="S52" s="3665" t="s">
        <v>3653</v>
      </c>
    </row>
    <row r="53" spans="1:35" ht="12" customHeight="1">
      <c r="A53" s="3801" t="s">
        <v>1334</v>
      </c>
      <c r="B53" s="4781" t="s">
        <v>2194</v>
      </c>
      <c r="C53" s="4782"/>
      <c r="D53" s="3948">
        <f ca="1">IF(G53="2016年5月1日之前项目",ROUND(D45*F53/(1+F53),0),H63)</f>
        <v>-956</v>
      </c>
      <c r="E53" s="3802" t="str">
        <f>IF(G53="2016年5月1日之前项目","全额计税","进销项计算")</f>
        <v>进销项计算</v>
      </c>
      <c r="F53" s="2026">
        <f>IF(G53="2016年5月1日之前项目",5%,9%)</f>
        <v>0.09</v>
      </c>
      <c r="G53" s="3903" t="s">
        <v>4174</v>
      </c>
      <c r="H53" s="2020"/>
      <c r="I53" s="1390"/>
      <c r="J53" s="2007">
        <v>2</v>
      </c>
      <c r="K53" s="4769" t="s">
        <v>1335</v>
      </c>
      <c r="L53" s="4769"/>
      <c r="M53" s="3950">
        <f t="shared" ref="M53:O54" ca="1" si="2">D55</f>
        <v>70</v>
      </c>
      <c r="N53" s="2007" t="str">
        <f t="shared" si="2"/>
        <v>销售额×税（费）率</v>
      </c>
      <c r="O53" s="3838">
        <f t="shared" si="2"/>
        <v>5.0000000000000001E-4</v>
      </c>
      <c r="R53" s="3665" t="s">
        <v>3650</v>
      </c>
      <c r="S53" s="3666" t="s">
        <v>3657</v>
      </c>
    </row>
    <row r="54" spans="1:35" ht="12" customHeight="1">
      <c r="A54" s="3801" t="s">
        <v>1336</v>
      </c>
      <c r="B54" s="4781" t="s">
        <v>2195</v>
      </c>
      <c r="C54" s="4782"/>
      <c r="D54" s="3948">
        <f ca="1">IF(G54="2016年5月1日之前项目",C68,H63)</f>
        <v>-956</v>
      </c>
      <c r="E54" s="3823" t="str">
        <f>IF(G54="2016年5月1日之前项目","差额计税","进销项计算")</f>
        <v>进销项计算</v>
      </c>
      <c r="F54" s="2026">
        <f>IF(G54="2016年5月1日之前项目",5%,9%)</f>
        <v>0.09</v>
      </c>
      <c r="G54" s="3903" t="s">
        <v>4174</v>
      </c>
      <c r="H54" s="2028"/>
      <c r="I54" s="1390"/>
      <c r="J54" s="2007">
        <v>3</v>
      </c>
      <c r="K54" s="4769" t="s">
        <v>1337</v>
      </c>
      <c r="L54" s="4769"/>
      <c r="M54" s="3950">
        <f t="shared" ca="1" si="2"/>
        <v>0</v>
      </c>
      <c r="N54" s="2007" t="str">
        <f t="shared" si="2"/>
        <v>增值额×税（费）率</v>
      </c>
      <c r="O54" s="3839" t="str">
        <f t="shared" si="2"/>
        <v>——</v>
      </c>
      <c r="P54" s="51"/>
      <c r="R54" s="3667" t="s">
        <v>3651</v>
      </c>
      <c r="S54" s="3666" t="s">
        <v>3654</v>
      </c>
    </row>
    <row r="55" spans="1:35" ht="24" customHeight="1">
      <c r="A55" s="4795" t="s">
        <v>1338</v>
      </c>
      <c r="B55" s="4796"/>
      <c r="C55" s="4796"/>
      <c r="D55" s="3945">
        <f ca="1">IF(H55="个人住宅",0,ROUND(D45*I55,0))</f>
        <v>70</v>
      </c>
      <c r="E55" s="3802" t="s">
        <v>1339</v>
      </c>
      <c r="F55" s="2026">
        <f>IF(H55="正常",I55,"免征")</f>
        <v>5.0000000000000001E-4</v>
      </c>
      <c r="G55" s="2027"/>
      <c r="H55" s="2025" t="s">
        <v>4174</v>
      </c>
      <c r="I55" s="69">
        <f>'数据-取费表'!B50</f>
        <v>5.0000000000000001E-4</v>
      </c>
      <c r="J55" s="2007" t="str">
        <f>IF(H59="非个人房产","",4)</f>
        <v/>
      </c>
      <c r="K55" s="4769" t="str">
        <f>IF(H59="非个人房产","——","个人所得税")</f>
        <v>——</v>
      </c>
      <c r="L55" s="4769"/>
      <c r="M55" s="3951" t="str">
        <f>D59</f>
        <v>——</v>
      </c>
      <c r="N55" s="1588" t="str">
        <f>E59</f>
        <v>——</v>
      </c>
      <c r="O55" s="3840" t="str">
        <f>F59</f>
        <v>——</v>
      </c>
      <c r="R55" s="3667" t="s">
        <v>3652</v>
      </c>
      <c r="S55" s="3666" t="s">
        <v>3655</v>
      </c>
    </row>
    <row r="56" spans="1:35" ht="24.75">
      <c r="A56" s="4795" t="s">
        <v>1340</v>
      </c>
      <c r="B56" s="4796"/>
      <c r="C56" s="4796"/>
      <c r="D56" s="3945">
        <f ca="1">IF(H56="个人住宅",D57,IF(H56="正常",D58,ROUND(D45*F56,0)))</f>
        <v>0</v>
      </c>
      <c r="E56" s="3802" t="s">
        <v>1341</v>
      </c>
      <c r="F56" s="2026" t="str">
        <f>IF(H56="正常",F58,IF(H56="按预征率计算",5%,"免征"))</f>
        <v>——</v>
      </c>
      <c r="G56" s="2029" t="s">
        <v>1342</v>
      </c>
      <c r="H56" s="2030" t="s">
        <v>4174</v>
      </c>
      <c r="I56" s="1391"/>
      <c r="J56" s="2007" t="str">
        <f>IF(项目基本情况!K6="上海银行",IF(J55="",4,J55+1),"")</f>
        <v/>
      </c>
      <c r="K56" s="4733" t="str">
        <f>IF(项目基本情况!K6="上海银行","其他处置费用","")</f>
        <v/>
      </c>
      <c r="L56" s="4734"/>
      <c r="M56" s="3950" t="str">
        <f>IF(项目基本情况!K6="上海银行",M69,"")</f>
        <v/>
      </c>
      <c r="N56" s="4733" t="str">
        <f>IF(项目基本情况!K6="上海银行","包含处置中涉及的律师、诉讼、拍卖、评估等费用","")</f>
        <v/>
      </c>
      <c r="O56" s="4737"/>
      <c r="R56" s="3666"/>
      <c r="S56" s="3666" t="s">
        <v>3656</v>
      </c>
    </row>
    <row r="57" spans="1:35" ht="12.75">
      <c r="A57" s="1829" t="s">
        <v>1319</v>
      </c>
      <c r="B57" s="4781" t="s">
        <v>1343</v>
      </c>
      <c r="C57" s="4782"/>
      <c r="D57" s="3946">
        <v>0</v>
      </c>
      <c r="E57" s="211" t="s">
        <v>1321</v>
      </c>
      <c r="F57" s="190"/>
      <c r="G57" s="2027"/>
      <c r="H57" s="2031"/>
      <c r="I57" s="1391"/>
      <c r="J57" s="4769">
        <f>IF(AND(J55="",J56=""),4,IF(项目基本情况!K6="上海银行",结果表!J56+1,结果表!J55+1))</f>
        <v>4</v>
      </c>
      <c r="K57" s="4769" t="s">
        <v>1344</v>
      </c>
      <c r="L57" s="2009" t="s">
        <v>1345</v>
      </c>
      <c r="M57" s="2010"/>
      <c r="N57" s="3952">
        <f ca="1">SUMIF(M52:M56,"&lt;9e307")</f>
        <v>70</v>
      </c>
      <c r="O57" s="2011"/>
      <c r="P57" s="2121">
        <f ca="1">N57/M49</f>
        <v>5.0759948949994195E-4</v>
      </c>
      <c r="R57" s="4822" t="s">
        <v>3700</v>
      </c>
      <c r="S57" s="4823"/>
    </row>
    <row r="58" spans="1:35" ht="24.75">
      <c r="A58" s="1829" t="s">
        <v>1330</v>
      </c>
      <c r="B58" s="4781" t="s">
        <v>1346</v>
      </c>
      <c r="C58" s="4780"/>
      <c r="D58" s="3945">
        <f ca="1">IF(H58="转让取得",C81,C97)</f>
        <v>0</v>
      </c>
      <c r="E58" s="3802" t="s">
        <v>1341</v>
      </c>
      <c r="F58" s="190" t="s">
        <v>26</v>
      </c>
      <c r="G58" s="2027"/>
      <c r="H58" s="2030" t="s">
        <v>4175</v>
      </c>
      <c r="I58" s="1391"/>
      <c r="J58" s="4769"/>
      <c r="K58" s="4769"/>
      <c r="L58" s="2009" t="s">
        <v>1347</v>
      </c>
      <c r="M58" s="2012"/>
      <c r="N58" s="2013" t="str">
        <f ca="1">NUMBERSTRING(INT(N57*10000),2)&amp;"元整"</f>
        <v>柒拾万元整</v>
      </c>
      <c r="O58" s="2014"/>
      <c r="R58" s="4824"/>
      <c r="S58" s="4825"/>
    </row>
    <row r="59" spans="1:35" ht="24.75" thickBot="1">
      <c r="A59" s="4770" t="s">
        <v>1348</v>
      </c>
      <c r="B59" s="4771"/>
      <c r="C59" s="4771"/>
      <c r="D59" s="3949" t="str">
        <f>IF(H59="非个人房产","——",IF(H59="个人住宅（满五唯一有凭证）",0,IF(H59="个人其他（无凭证）",ROUND(D45/(1+'数据-取费表'!C43)*F59,0),ROUND(C67*F59,0))))</f>
        <v>——</v>
      </c>
      <c r="E59" s="3465" t="str">
        <f>IF(H59="非个人房产","——",IF(H59="个人其他（无凭证）","销售额×税（费）率",IF(H59="个人住宅（满五唯一有凭证）","免征","差额计税")))</f>
        <v>——</v>
      </c>
      <c r="F59" s="3661" t="str">
        <f>IF(OR(H59="非个人房产",H59="个人住宅（满五唯一有凭证）"),"——",IF(H59="个人其他（有凭证）",20%,1%))</f>
        <v>——</v>
      </c>
      <c r="G59" s="2032" t="s">
        <v>1342</v>
      </c>
      <c r="H59" s="3662" t="s">
        <v>4176</v>
      </c>
      <c r="I59" s="3663" t="s">
        <v>2040</v>
      </c>
      <c r="J59" s="4767">
        <f>J57+1</f>
        <v>5</v>
      </c>
      <c r="K59" s="4769" t="s">
        <v>1349</v>
      </c>
      <c r="L59" s="2007" t="s">
        <v>1345</v>
      </c>
      <c r="M59" s="2015"/>
      <c r="N59" s="2823">
        <f ca="1">M49-N57</f>
        <v>137834</v>
      </c>
      <c r="O59" s="2016"/>
      <c r="R59" s="3665" t="s">
        <v>3658</v>
      </c>
      <c r="S59" s="3665" t="s">
        <v>3659</v>
      </c>
    </row>
    <row r="60" spans="1:35" ht="12" customHeight="1" thickBot="1">
      <c r="A60" s="1392"/>
      <c r="B60" s="1336"/>
      <c r="C60" s="1336"/>
      <c r="D60" s="1336"/>
      <c r="E60" s="1183"/>
      <c r="F60" s="1391"/>
      <c r="G60" s="1391"/>
      <c r="H60" s="1393"/>
      <c r="I60" s="51"/>
      <c r="J60" s="4768"/>
      <c r="K60" s="4769"/>
      <c r="L60" s="2009" t="s">
        <v>1347</v>
      </c>
      <c r="M60" s="2012"/>
      <c r="N60" s="2824" t="str">
        <f ca="1">NUMBERSTRING(INT(N59*10000),2)&amp;"元整"</f>
        <v>壹拾叁亿柒仟捌佰叁拾肆万元整</v>
      </c>
      <c r="O60" s="2014"/>
      <c r="R60" s="3665" t="s">
        <v>3660</v>
      </c>
      <c r="S60" s="3665" t="s">
        <v>3699</v>
      </c>
    </row>
    <row r="61" spans="1:35" ht="14.25" thickBot="1">
      <c r="A61" s="4829" t="s">
        <v>3697</v>
      </c>
      <c r="B61" s="4830"/>
      <c r="C61" s="4830"/>
      <c r="D61" s="4830"/>
      <c r="E61" s="3829"/>
      <c r="F61" s="4806" t="s">
        <v>3698</v>
      </c>
      <c r="G61" s="4807"/>
      <c r="H61" s="4807"/>
      <c r="I61" s="4808"/>
      <c r="J61" s="3812">
        <f>J59+1</f>
        <v>6</v>
      </c>
      <c r="K61" s="4769" t="s">
        <v>1350</v>
      </c>
      <c r="L61" s="4769"/>
      <c r="M61" s="2017"/>
      <c r="N61" s="2825">
        <f ca="1">ROUND(N59*10000/'数据-汇总表'!E3,0)</f>
        <v>14447</v>
      </c>
      <c r="O61" s="2018"/>
    </row>
    <row r="62" spans="1:35" ht="13.5" customHeight="1">
      <c r="A62" s="3836" t="s">
        <v>3711</v>
      </c>
      <c r="B62" s="3837" t="s">
        <v>3712</v>
      </c>
      <c r="C62" s="3824" t="s">
        <v>3710</v>
      </c>
      <c r="D62" s="3825" t="s">
        <v>3701</v>
      </c>
      <c r="E62" s="3830" t="s">
        <v>3703</v>
      </c>
      <c r="F62" s="3842" t="s">
        <v>3713</v>
      </c>
      <c r="G62" s="3843" t="s">
        <v>3692</v>
      </c>
      <c r="H62" s="3844" t="s">
        <v>3714</v>
      </c>
      <c r="I62" s="3845" t="s">
        <v>3694</v>
      </c>
    </row>
    <row r="63" spans="1:35" ht="12.75">
      <c r="A63" s="74" t="s">
        <v>328</v>
      </c>
      <c r="B63" s="3832" t="s">
        <v>3705</v>
      </c>
      <c r="C63" s="3953">
        <f ca="1">ROUND(C64+C65,0)</f>
        <v>139930</v>
      </c>
      <c r="D63" s="3826"/>
      <c r="E63" s="4826" t="s">
        <v>3702</v>
      </c>
      <c r="F63" s="3801">
        <v>1</v>
      </c>
      <c r="G63" s="2977" t="s">
        <v>3689</v>
      </c>
      <c r="H63" s="3957">
        <f ca="1">H64-H66</f>
        <v>-956</v>
      </c>
      <c r="I63" s="3846"/>
      <c r="J63" s="4735" t="s">
        <v>1354</v>
      </c>
      <c r="K63" s="942" t="s">
        <v>1355</v>
      </c>
      <c r="L63" s="3976">
        <f ca="1">IF(M49&gt;10000,M49*0.5%,IF(AND(M49&gt;1000,M49&lt;=10000),M49*1%,IF(AND(M49&gt;100,M49&lt;=1000),M49*3%,IF(AND(M49&gt;10,M49&lt;=100),M49*5%,M49*8%))))</f>
        <v>689.52</v>
      </c>
      <c r="M63" s="3924">
        <f ca="1">ROUND(L63,1)</f>
        <v>689.5</v>
      </c>
      <c r="N63" s="2019"/>
      <c r="Z63" s="1341"/>
      <c r="AI63" s="1342"/>
    </row>
    <row r="64" spans="1:35" ht="14.25" customHeight="1">
      <c r="A64" s="71" t="s">
        <v>323</v>
      </c>
      <c r="B64" s="3833" t="s">
        <v>3706</v>
      </c>
      <c r="C64" s="3954">
        <f ca="1">D45</f>
        <v>139930</v>
      </c>
      <c r="D64" s="4624" t="s">
        <v>4062</v>
      </c>
      <c r="E64" s="4827"/>
      <c r="F64" s="3801">
        <v>2</v>
      </c>
      <c r="G64" s="2977" t="s">
        <v>3690</v>
      </c>
      <c r="H64" s="3957">
        <f ca="1">ROUND(H65*I64/(1+I64),0)</f>
        <v>11554</v>
      </c>
      <c r="I64" s="3847">
        <v>0.09</v>
      </c>
      <c r="J64" s="4735"/>
      <c r="K64" s="942" t="s">
        <v>1356</v>
      </c>
      <c r="L64" s="3976">
        <f ca="1">IF(M49&gt;2000,M49*0.5%,IF(AND(M49&gt;1000,M49&lt;=2000),M49*0.6%,IF(AND(M49&gt;500,M49&lt;=1000),M49*0.7%,IF(AND(M49&gt;200,M49&lt;=500),M49*0.8%,IF(AND(M49&gt;100,M49&lt;=200),M49*0.9%,IF(AND(M49&gt;50,M49&lt;=100),M49*1%,IF(AND(M49&gt;20,M49&lt;=50),M49*1.5%,IF(AND(M49&gt;10,M49&lt;=20),M49*2%,IF(AND(M49&gt;1,M49&lt;=10),M49*2.5%)))))))))</f>
        <v>689.52</v>
      </c>
      <c r="M64" s="3924">
        <f t="shared" ref="M64:M65" ca="1" si="3">ROUND(L64,1)</f>
        <v>689.5</v>
      </c>
      <c r="N64" s="2020" t="s">
        <v>1357</v>
      </c>
      <c r="Z64" s="1341"/>
      <c r="AI64" s="1342"/>
    </row>
    <row r="65" spans="1:35" ht="14.25" customHeight="1">
      <c r="A65" s="71" t="s">
        <v>324</v>
      </c>
      <c r="B65" s="3833" t="s">
        <v>3707</v>
      </c>
      <c r="C65" s="3955"/>
      <c r="D65" s="3827"/>
      <c r="E65" s="4827"/>
      <c r="F65" s="71" t="s">
        <v>323</v>
      </c>
      <c r="G65" s="3848" t="s">
        <v>3693</v>
      </c>
      <c r="H65" s="3957">
        <f ca="1">D45</f>
        <v>139930</v>
      </c>
      <c r="I65" s="4626" t="s">
        <v>4063</v>
      </c>
      <c r="J65" s="4735"/>
      <c r="K65" s="942" t="s">
        <v>1358</v>
      </c>
      <c r="L65" s="3976">
        <f ca="1">IF(M49&gt;1000,M49*0.1%,IF(AND(M49&gt;500,M49&lt;=1000),M49*0.5%,IF(AND(M49&gt;50,M49&lt;=500),M49*1%,IF(AND(M49&gt;1,M49&lt;=50),M49*1.5%))))</f>
        <v>137.904</v>
      </c>
      <c r="M65" s="3924">
        <f t="shared" ca="1" si="3"/>
        <v>137.9</v>
      </c>
      <c r="N65" s="2020" t="s">
        <v>1357</v>
      </c>
      <c r="Z65" s="1341"/>
      <c r="AI65" s="1342"/>
    </row>
    <row r="66" spans="1:35" ht="14.25" customHeight="1">
      <c r="A66" s="74" t="s">
        <v>325</v>
      </c>
      <c r="B66" s="3834" t="s">
        <v>3708</v>
      </c>
      <c r="C66" s="3955"/>
      <c r="D66" s="4625" t="s">
        <v>4062</v>
      </c>
      <c r="E66" s="4827"/>
      <c r="F66" s="3849">
        <v>3</v>
      </c>
      <c r="G66" s="2977" t="s">
        <v>3691</v>
      </c>
      <c r="H66" s="4466">
        <f>ROUND(H67*I67,0)+ROUND(H68*I68,0)</f>
        <v>12510</v>
      </c>
      <c r="I66" s="4467"/>
      <c r="J66" s="4735"/>
      <c r="K66" s="942" t="s">
        <v>1359</v>
      </c>
      <c r="L66" s="3976">
        <f ca="1">M49*0.5%</f>
        <v>689.52</v>
      </c>
      <c r="M66" s="3924">
        <f ca="1">IF(L66&gt;0.5,0.5,ROUND(L66,0))</f>
        <v>0.5</v>
      </c>
      <c r="N66" s="2020" t="s">
        <v>1360</v>
      </c>
      <c r="Z66" s="1341"/>
      <c r="AI66" s="1342"/>
    </row>
    <row r="67" spans="1:35" ht="14.25" customHeight="1">
      <c r="A67" s="74" t="s">
        <v>326</v>
      </c>
      <c r="B67" s="3831" t="s">
        <v>3704</v>
      </c>
      <c r="C67" s="3954">
        <f ca="1">C63-C66</f>
        <v>139930</v>
      </c>
      <c r="D67" s="3827"/>
      <c r="E67" s="4827"/>
      <c r="F67" s="71" t="s">
        <v>323</v>
      </c>
      <c r="G67" s="3848" t="s">
        <v>3695</v>
      </c>
      <c r="H67" s="3958">
        <v>139000</v>
      </c>
      <c r="I67" s="3847">
        <v>0.09</v>
      </c>
      <c r="J67" s="4735"/>
      <c r="K67" s="942" t="s">
        <v>1361</v>
      </c>
      <c r="L67" s="3976">
        <f ca="1">IF(M49&gt;=10000,(8.25+(M49-10000)*0.01%),IF(AND(M49&gt;=8000,M49&lt;10000),(7.85+(M49-8000)*0.02%),IF(AND(M49&gt;=5000,M49&lt;8000),(6.65+(M49-5000)*0.04%),IF(AND(M49&gt;=2000,M49&lt;5000),(4.25+(PM49-2000)*0.08%),IF(AND(M49&gt;=1000,M49&lt;2000),(2.75+(M49-1000)*0.15%),IF(AND(M49&gt;=100,M49&lt;1000),(0.5+(M49-100)*0.25%),IF(AND(M49&gt;0,M49&lt;100),M49*0.5%)))))))</f>
        <v>21.040399999999998</v>
      </c>
      <c r="M67" s="3924">
        <f ca="1">ROUND(L67*0.9,1)</f>
        <v>18.899999999999999</v>
      </c>
      <c r="N67" s="2019"/>
      <c r="Z67" s="1341"/>
      <c r="AI67" s="1342"/>
    </row>
    <row r="68" spans="1:35" ht="14.25" customHeight="1" thickBot="1">
      <c r="A68" s="76" t="s">
        <v>327</v>
      </c>
      <c r="B68" s="3835" t="s">
        <v>3709</v>
      </c>
      <c r="C68" s="3956">
        <f ca="1">IF(C67&lt;=0,0,ROUND(C67*D68/(1+D68),0))</f>
        <v>6663</v>
      </c>
      <c r="D68" s="3828">
        <v>0.05</v>
      </c>
      <c r="E68" s="4828"/>
      <c r="F68" s="3841" t="s">
        <v>324</v>
      </c>
      <c r="G68" s="3850" t="s">
        <v>3696</v>
      </c>
      <c r="H68" s="3959"/>
      <c r="I68" s="3851">
        <v>0.06</v>
      </c>
      <c r="J68" s="4735"/>
      <c r="K68" s="942" t="s">
        <v>1362</v>
      </c>
      <c r="L68" s="3976">
        <f ca="1">IF(M49&gt;10000,M49*0.5%,IF(AND(M49&gt;5000,M49&lt;=10000),M49*1%,IF(AND(M49&gt;1000,M49&lt;=5000),M49*2%,IF(AND(M49&gt;200,M49&lt;=1000),M49*3%,M49*5%))))</f>
        <v>689.52</v>
      </c>
      <c r="M68" s="3924">
        <f ca="1">ROUND(L68,1)</f>
        <v>689.5</v>
      </c>
      <c r="N68" s="2019"/>
      <c r="Z68" s="1341"/>
      <c r="AI68" s="1342"/>
    </row>
    <row r="69" spans="1:35" s="1355" customFormat="1" ht="16.5" customHeight="1">
      <c r="A69" s="1394"/>
      <c r="B69" s="1395"/>
      <c r="C69" s="1396"/>
      <c r="D69" s="1397"/>
      <c r="E69" s="1398"/>
      <c r="F69" s="1183"/>
      <c r="G69" s="1183"/>
      <c r="H69" s="1182"/>
      <c r="I69" s="1336"/>
      <c r="J69" s="4736"/>
      <c r="K69" s="942" t="s">
        <v>1363</v>
      </c>
      <c r="L69" s="3976"/>
      <c r="M69" s="3924">
        <f ca="1">ROUND(SUM(M63:M68),0)</f>
        <v>2226</v>
      </c>
      <c r="N69" s="2021">
        <f ca="1">M69/M49</f>
        <v>1.6141663766098154E-2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6" t="s">
        <v>1364</v>
      </c>
      <c r="B70" s="4787"/>
      <c r="C70" s="4787"/>
      <c r="D70" s="4787"/>
      <c r="E70" s="4787"/>
      <c r="F70" s="4787"/>
      <c r="G70" s="4787"/>
      <c r="H70" s="4787"/>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3" t="s">
        <v>1351</v>
      </c>
      <c r="B71" s="4784"/>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f ca="1">ROUND(D45/(1+D72),0)</f>
        <v>128376</v>
      </c>
      <c r="D72" s="3813">
        <v>0.09</v>
      </c>
      <c r="E72" s="3803" t="s">
        <v>3687</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f ca="1">C74+C78</f>
        <v>15405</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81" t="s">
        <v>1372</v>
      </c>
      <c r="F76" s="4780"/>
      <c r="G76" s="4780"/>
      <c r="H76" s="4785"/>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f ca="1">ROUND(C72*D78,0)</f>
        <v>15405</v>
      </c>
      <c r="D78" s="3819">
        <f>'数据-取费表'!B44</f>
        <v>0.12000000000000001</v>
      </c>
      <c r="E78" s="4775" t="s">
        <v>1376</v>
      </c>
      <c r="F78" s="4776"/>
      <c r="G78" s="4776"/>
      <c r="H78" s="4777"/>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f ca="1">C72-C73</f>
        <v>112971</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f ca="1">IF(C79&lt;=0,0,C79/C73)</f>
        <v>7.3333982473222976</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f ca="1">ROUND(IF(C79&lt;=0,0,IF(C80&gt;=200%,C79*60%-C73*35%,IF(C80&gt;=100%,C79*50%-C73*15%,IF(C80&gt;=50%,C79*40%-C73*5%,IF(C80&lt;50%,C79*30%,0))))),0)</f>
        <v>62391</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6" t="s">
        <v>1380</v>
      </c>
      <c r="B83" s="4787"/>
      <c r="C83" s="4787"/>
      <c r="D83" s="4787"/>
      <c r="E83" s="4787"/>
      <c r="F83" s="4787"/>
      <c r="G83" s="4787"/>
      <c r="H83" s="4787"/>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3" t="s">
        <v>1351</v>
      </c>
      <c r="B84" s="4784"/>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f ca="1">ROUND(D45/(1+D85),0)</f>
        <v>128376</v>
      </c>
      <c r="D85" s="3813">
        <v>0.09</v>
      </c>
      <c r="E85" s="3803" t="s">
        <v>3687</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f ca="1">IF(H88="仅含出让金",C87+C90+C91+C92+C93+C94,C87+C91+C92+C93+C94)</f>
        <v>187293</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143240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v>139000</v>
      </c>
      <c r="D88" s="3819"/>
      <c r="E88" s="92" t="s">
        <v>1383</v>
      </c>
      <c r="F88" s="1823"/>
      <c r="G88" s="93" t="s">
        <v>1384</v>
      </c>
      <c r="H88" s="1407" t="s">
        <v>3685</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4240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738" t="s">
        <v>2032</v>
      </c>
      <c r="H90" s="4739"/>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75" t="s">
        <v>1389</v>
      </c>
      <c r="F91" s="4776"/>
      <c r="G91" s="4776"/>
      <c r="H91" s="3806" t="s">
        <v>4177</v>
      </c>
      <c r="I91" s="3963"/>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75" t="s">
        <v>1392</v>
      </c>
      <c r="F92" s="4776"/>
      <c r="G92" s="4776"/>
      <c r="H92" s="4777"/>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f ca="1">ROUND(C85*D93,0)</f>
        <v>15405</v>
      </c>
      <c r="D93" s="3819">
        <f>'数据-取费表'!B44</f>
        <v>0.12000000000000001</v>
      </c>
      <c r="E93" s="4800" t="s">
        <v>3686</v>
      </c>
      <c r="F93" s="4776"/>
      <c r="G93" s="4776"/>
      <c r="H93" s="4777"/>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28648</v>
      </c>
      <c r="D94" s="3819">
        <v>0.2</v>
      </c>
      <c r="E94" s="4801" t="s">
        <v>1396</v>
      </c>
      <c r="F94" s="4802"/>
      <c r="G94" s="4802"/>
      <c r="H94" s="480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f ca="1">ROUND(C85-C86,0)</f>
        <v>-58917</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f ca="1">IF(C95&lt;=0,0,C95/C86)</f>
        <v>0</v>
      </c>
      <c r="D96" s="3814"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f ca="1">ROUND(IF(C95&lt;=0,0,IF(C96&gt;=200%,C95*60%-C86*35%,IF(C96&gt;=100%,C95*50%-C86*15%,IF(C96&gt;=50%,C95*40%-C86*5%,IF(C96&lt;50%,C95*30%,0))))),0)</f>
        <v>0</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5" t="s">
        <v>1398</v>
      </c>
      <c r="B100" s="4726"/>
      <c r="C100" s="4726"/>
      <c r="D100" s="4740"/>
      <c r="E100" s="4726" t="s">
        <v>1399</v>
      </c>
      <c r="F100" s="4726"/>
      <c r="G100" s="4726"/>
      <c r="H100" s="4740"/>
      <c r="I100" s="51"/>
    </row>
    <row r="101" spans="1:35" ht="18.75" customHeight="1">
      <c r="A101" s="4746" t="s">
        <v>1400</v>
      </c>
      <c r="B101" s="4747"/>
      <c r="C101" s="2036" t="str">
        <f>C4</f>
        <v>土地比较法-住宅、综合</v>
      </c>
      <c r="D101" s="2037" t="str">
        <f>D4</f>
        <v>假设开发法</v>
      </c>
      <c r="E101" s="4731" t="s">
        <v>1401</v>
      </c>
      <c r="F101" s="4732"/>
      <c r="G101" s="1408" t="s">
        <v>1402</v>
      </c>
      <c r="H101" s="3968">
        <f ca="1">I118</f>
        <v>139930</v>
      </c>
      <c r="I101" s="51"/>
    </row>
    <row r="102" spans="1:35" ht="18.75" customHeight="1">
      <c r="A102" s="4748" t="s">
        <v>1403</v>
      </c>
      <c r="B102" s="2035" t="s">
        <v>1402</v>
      </c>
      <c r="C102" s="3964">
        <f ca="1">C19</f>
        <v>139467</v>
      </c>
      <c r="D102" s="3965">
        <f ca="1">D19</f>
        <v>140392</v>
      </c>
      <c r="E102" s="4731"/>
      <c r="F102" s="4732"/>
      <c r="G102" s="1408" t="s">
        <v>1404</v>
      </c>
      <c r="H102" s="3969">
        <f ca="1">H118</f>
        <v>14667</v>
      </c>
      <c r="I102" s="51"/>
    </row>
    <row r="103" spans="1:35" ht="42.75" customHeight="1">
      <c r="A103" s="4748"/>
      <c r="B103" s="2035" t="s">
        <v>1404</v>
      </c>
      <c r="C103" s="3966">
        <f ca="1">C20</f>
        <v>14619</v>
      </c>
      <c r="D103" s="3967">
        <f ca="1">D20</f>
        <v>14715</v>
      </c>
      <c r="E103" s="4793" t="s">
        <v>1405</v>
      </c>
      <c r="F103" s="4794"/>
      <c r="G103" s="1409" t="s">
        <v>1406</v>
      </c>
      <c r="H103" s="3968">
        <f>IF(D36="正常操作",H104+H105+H106,H105+H106)</f>
        <v>2026</v>
      </c>
      <c r="I103" s="51"/>
    </row>
    <row r="104" spans="1:35" ht="18.75" customHeight="1">
      <c r="A104" s="4748" t="s">
        <v>1407</v>
      </c>
      <c r="B104" s="2038" t="s">
        <v>1402</v>
      </c>
      <c r="C104" s="4757">
        <f ca="1">I118</f>
        <v>139930</v>
      </c>
      <c r="D104" s="4758"/>
      <c r="E104" s="1268" t="s">
        <v>1408</v>
      </c>
      <c r="F104" s="1264"/>
      <c r="G104" s="1409" t="s">
        <v>1406</v>
      </c>
      <c r="H104" s="3970">
        <f>IF(D36="同一抵押权人同一抵押物续贷",C36&amp;"（续贷，未扣减，详见特别提示）",C36)</f>
        <v>0</v>
      </c>
      <c r="I104" s="51"/>
    </row>
    <row r="105" spans="1:35" ht="18.75" customHeight="1" thickBot="1">
      <c r="A105" s="4778"/>
      <c r="B105" s="2039" t="s">
        <v>1404</v>
      </c>
      <c r="C105" s="4759">
        <f ca="1">H118</f>
        <v>14667</v>
      </c>
      <c r="D105" s="4760"/>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2026</v>
      </c>
      <c r="I106" s="51"/>
    </row>
    <row r="107" spans="1:35" ht="18.75" customHeight="1">
      <c r="A107" s="51"/>
      <c r="B107" s="51"/>
      <c r="C107" s="51"/>
      <c r="D107" s="51"/>
      <c r="E107" s="4749" t="str">
        <f>IF(项目基本情况!E8="已注销","——","3.房地产抵押价值")</f>
        <v>3.房地产抵押价值</v>
      </c>
      <c r="F107" s="4732"/>
      <c r="G107" s="1408" t="s">
        <v>1402</v>
      </c>
      <c r="H107" s="3968">
        <f ca="1">IF(E107="——","——",H101-H103)</f>
        <v>137904</v>
      </c>
      <c r="I107" s="51"/>
    </row>
    <row r="108" spans="1:35" ht="18.75" customHeight="1">
      <c r="A108" s="51"/>
      <c r="B108" s="51"/>
      <c r="C108" s="51"/>
      <c r="D108" s="51"/>
      <c r="E108" s="4749"/>
      <c r="F108" s="4732"/>
      <c r="G108" s="1408" t="s">
        <v>1404</v>
      </c>
      <c r="H108" s="3969">
        <f ca="1">IF(H107=H101,H102,ROUND(H107*10000/'数据-汇总表'!E3,0))</f>
        <v>14455</v>
      </c>
      <c r="I108" s="51"/>
    </row>
    <row r="109" spans="1:35" ht="18.75" customHeight="1">
      <c r="A109" s="51"/>
      <c r="B109" s="51"/>
      <c r="C109" s="51"/>
      <c r="D109" s="51"/>
      <c r="E109" s="4749" t="str">
        <f>IF(项目基本情况!E8="已注销及未注销","4.抵押担保权已注销时的房地产抵押价值",IF(项目基本情况!E8="已注销","3.抵押担保权已注销时的房地产抵押价值","——"))</f>
        <v>——</v>
      </c>
      <c r="F109" s="4732"/>
      <c r="G109" s="1408" t="s">
        <v>1402</v>
      </c>
      <c r="H109" s="3972" t="str">
        <f>IF(E109="——","——",H101-H105-H106)</f>
        <v>——</v>
      </c>
      <c r="I109" s="51"/>
    </row>
    <row r="110" spans="1:35" ht="18.75" customHeight="1">
      <c r="A110" s="51"/>
      <c r="B110" s="51"/>
      <c r="C110" s="51"/>
      <c r="D110" s="51"/>
      <c r="E110" s="4749"/>
      <c r="F110" s="4732"/>
      <c r="G110" s="1408" t="s">
        <v>1404</v>
      </c>
      <c r="H110" s="3969" t="str">
        <f>IF(H109="——","——",ROUND(H109*10000/'数据-汇总表'!E3,0))</f>
        <v>——</v>
      </c>
      <c r="I110" s="51"/>
    </row>
    <row r="111" spans="1:35" ht="18.75" customHeight="1">
      <c r="A111" s="51"/>
      <c r="B111" s="51"/>
      <c r="C111" s="51"/>
      <c r="D111" s="51"/>
      <c r="E111" s="4750" t="str">
        <f>IF(项目基本情况!E9="抵押净值",IF(OR(项目基本情况!E8="已注销",项目基本情况!E8="房地产抵押价值"),"4.抵押净值","5.抵押净值"),"——")</f>
        <v>4.抵押净值</v>
      </c>
      <c r="F111" s="4751"/>
      <c r="G111" s="1408" t="s">
        <v>1402</v>
      </c>
      <c r="H111" s="3968">
        <f ca="1">IF(E111="——","——",N59)</f>
        <v>137834</v>
      </c>
      <c r="I111" s="51"/>
    </row>
    <row r="112" spans="1:35" ht="18.75" customHeight="1" thickBot="1">
      <c r="A112" s="51"/>
      <c r="B112" s="51"/>
      <c r="C112" s="51"/>
      <c r="D112" s="51"/>
      <c r="E112" s="4752"/>
      <c r="F112" s="4753"/>
      <c r="G112" s="1411" t="s">
        <v>1404</v>
      </c>
      <c r="H112" s="3919">
        <f ca="1">IF(E111="——","——",N61)</f>
        <v>14447</v>
      </c>
      <c r="I112" s="51"/>
    </row>
    <row r="113" spans="1:27" ht="18.75" customHeight="1">
      <c r="A113" s="51"/>
      <c r="B113" s="51"/>
      <c r="C113" s="51"/>
      <c r="D113" s="51"/>
      <c r="E113" s="4779" t="s">
        <v>1410</v>
      </c>
      <c r="F113" s="4779"/>
      <c r="G113" s="4779"/>
      <c r="H113" s="4779"/>
      <c r="I113" s="51"/>
    </row>
    <row r="114" spans="1:27" ht="3.75" customHeight="1">
      <c r="A114" s="1336"/>
      <c r="B114" s="1336"/>
      <c r="C114" s="1336"/>
      <c r="D114" s="1336"/>
      <c r="E114" s="1392"/>
      <c r="F114" s="1392"/>
      <c r="G114" s="1392"/>
      <c r="H114" s="1392"/>
      <c r="I114" s="1336"/>
    </row>
    <row r="115" spans="1:27" ht="18.75" customHeight="1">
      <c r="A115" s="4789" t="s">
        <v>1412</v>
      </c>
      <c r="B115" s="4790"/>
      <c r="C115" s="4790"/>
      <c r="D115" s="4790"/>
      <c r="E115" s="4790"/>
      <c r="F115" s="4790"/>
      <c r="G115" s="4790"/>
      <c r="H115" s="4790"/>
      <c r="I115" s="4791"/>
    </row>
    <row r="116" spans="1:27" ht="27" customHeight="1">
      <c r="A116" s="4754" t="s">
        <v>1413</v>
      </c>
      <c r="B116" s="4755" t="s">
        <v>1414</v>
      </c>
      <c r="C116" s="4755" t="s">
        <v>1415</v>
      </c>
      <c r="D116" s="4742" t="s">
        <v>1416</v>
      </c>
      <c r="E116" s="4743"/>
      <c r="F116" s="4788"/>
      <c r="G116" s="4788"/>
      <c r="H116" s="4754" t="s">
        <v>1417</v>
      </c>
      <c r="I116" s="4754"/>
      <c r="K116" s="3280"/>
      <c r="L116" s="3281" t="s">
        <v>3478</v>
      </c>
      <c r="M116" s="3281" t="s">
        <v>3479</v>
      </c>
      <c r="N116" s="3281" t="s">
        <v>3480</v>
      </c>
    </row>
    <row r="117" spans="1:27" ht="18.75" customHeight="1">
      <c r="A117" s="4754"/>
      <c r="B117" s="4756"/>
      <c r="C117" s="4756"/>
      <c r="D117" s="1825" t="s">
        <v>1419</v>
      </c>
      <c r="E117" s="1825" t="s">
        <v>1418</v>
      </c>
      <c r="F117" s="1825" t="s">
        <v>1420</v>
      </c>
      <c r="G117" s="1825" t="s">
        <v>1418</v>
      </c>
      <c r="H117" s="1825" t="s">
        <v>1420</v>
      </c>
      <c r="I117" s="1825" t="s">
        <v>1418</v>
      </c>
      <c r="K117" s="3281" t="s">
        <v>3476</v>
      </c>
      <c r="L117" s="3973" t="e">
        <f ca="1">C34</f>
        <v>#REF!</v>
      </c>
      <c r="M117" s="3974" t="e">
        <f ca="1">C35</f>
        <v>#REF!</v>
      </c>
      <c r="N117" s="3974">
        <f ca="1">C32</f>
        <v>139930</v>
      </c>
    </row>
    <row r="118" spans="1:27" ht="24.75" customHeight="1">
      <c r="A118" s="2040" t="str">
        <f>项目基本情况!S2</f>
        <v>北京市房地产</v>
      </c>
      <c r="B118" s="2832">
        <f>M18</f>
        <v>95404.21</v>
      </c>
      <c r="C118" s="2832">
        <f>M19</f>
        <v>28389.67</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f ca="1">ROUND(IF(D32="楼面单价",C32,N117*10000/B118),0)</f>
        <v>14667</v>
      </c>
      <c r="I118" s="4344">
        <f ca="1">ROUND(IF(D32="总价",C32,N119*B118/10000),4)</f>
        <v>139930</v>
      </c>
      <c r="K118" s="3280"/>
      <c r="L118" s="3975"/>
      <c r="M118" s="3975"/>
      <c r="N118" s="3975"/>
    </row>
    <row r="119" spans="1:27" ht="18.75" customHeight="1">
      <c r="A119" s="4754" t="s">
        <v>1421</v>
      </c>
      <c r="B119" s="4754"/>
      <c r="C119" s="4754"/>
      <c r="D119" s="4744" t="e">
        <f ca="1">NUMBERSTRING(INT(E118*10000),2)&amp;"元整"</f>
        <v>#REF!</v>
      </c>
      <c r="E119" s="4745"/>
      <c r="F119" s="4744" t="e">
        <f ca="1">NUMBERSTRING(INT(G118*10000),2)&amp;"元整"</f>
        <v>#REF!</v>
      </c>
      <c r="G119" s="4745"/>
      <c r="H119" s="4744" t="str">
        <f ca="1">NUMBERSTRING(INT(I118*10000),2)&amp;"元整"</f>
        <v>壹拾叁亿玖仟玖佰叁拾万元整</v>
      </c>
      <c r="I119" s="4745"/>
      <c r="K119" s="3281" t="s">
        <v>3477</v>
      </c>
      <c r="L119" s="3974" t="e">
        <f ca="1">C34</f>
        <v>#REF!</v>
      </c>
      <c r="M119" s="3974" t="e">
        <f ca="1">C35</f>
        <v>#REF!</v>
      </c>
      <c r="N119" s="3974">
        <f ca="1">C32</f>
        <v>139930</v>
      </c>
    </row>
    <row r="120" spans="1:27" ht="18.75" hidden="1" customHeight="1">
      <c r="A120" s="4763" t="str">
        <f>IF(项目基本情况!B9="房地产市场价值","",MID(E103,3,LEN(E103)-2))</f>
        <v>估价师知悉的法定优先受偿款</v>
      </c>
      <c r="B120" s="4764"/>
      <c r="C120" s="4764"/>
      <c r="D120" s="4764"/>
      <c r="E120" s="4764"/>
      <c r="F120" s="4764"/>
      <c r="G120" s="4765"/>
      <c r="H120" s="4844">
        <f>H103</f>
        <v>2026</v>
      </c>
      <c r="I120" s="4845"/>
      <c r="J120" s="1341"/>
      <c r="K120" s="1341" t="str">
        <f>IF(H120=0,"故，本次评估不存在"&amp;A120,"故，本次评估"&amp;A120&amp;"为人民币"&amp;H120&amp;"万元整。")</f>
        <v>故，本次评估估价师知悉的法定优先受偿款为人民币2026万元整。</v>
      </c>
      <c r="L120" s="1341"/>
      <c r="M120" s="1341"/>
      <c r="N120" s="1341"/>
      <c r="O120" s="1341"/>
      <c r="P120" s="1341"/>
      <c r="Q120" s="1341"/>
      <c r="R120" s="1341"/>
      <c r="S120" s="1341"/>
    </row>
    <row r="121" spans="1:27" ht="18.75" hidden="1" customHeight="1">
      <c r="A121" s="4744" t="s">
        <v>1421</v>
      </c>
      <c r="B121" s="4766"/>
      <c r="C121" s="4766"/>
      <c r="D121" s="4766"/>
      <c r="E121" s="4766"/>
      <c r="F121" s="4766"/>
      <c r="G121" s="4745"/>
      <c r="H121" s="4846" t="str">
        <f>IF(H120=0,"零元整",NUMBERSTRING(INT(H120*10000),2)&amp;"元整")</f>
        <v>贰仟零贰拾陆万元整</v>
      </c>
      <c r="I121" s="4847"/>
      <c r="AA121" s="518"/>
    </row>
    <row r="122" spans="1:27" ht="18.75" hidden="1" customHeight="1">
      <c r="A122" s="4763" t="str">
        <f>IF(项目基本情况!B9="房地产市场价值","",MID(E107,3,LEN(E107)-2))</f>
        <v>房地产抵押价值</v>
      </c>
      <c r="B122" s="4764"/>
      <c r="C122" s="4764"/>
      <c r="D122" s="4764"/>
      <c r="E122" s="4764"/>
      <c r="F122" s="4764"/>
      <c r="G122" s="4765"/>
      <c r="H122" s="4761">
        <f ca="1">H107</f>
        <v>137904</v>
      </c>
      <c r="I122" s="4762"/>
      <c r="AA122" s="518"/>
    </row>
    <row r="123" spans="1:27" ht="18.75" hidden="1" customHeight="1">
      <c r="A123" s="4744" t="s">
        <v>1421</v>
      </c>
      <c r="B123" s="4766"/>
      <c r="C123" s="4766"/>
      <c r="D123" s="4766"/>
      <c r="E123" s="4766"/>
      <c r="F123" s="4766"/>
      <c r="G123" s="4745"/>
      <c r="H123" s="4744" t="str">
        <f ca="1">NUMBERSTRING(INT(H122*10000),2)&amp;"元整"</f>
        <v>壹拾叁亿柒仟玖佰零肆万元整</v>
      </c>
      <c r="I123" s="4745"/>
      <c r="AA123" s="518"/>
    </row>
    <row r="124" spans="1:27" ht="18.75" hidden="1" customHeight="1">
      <c r="A124" s="4763" t="str">
        <f>IF(项目基本情况!B9="房地产市场价值","",MID(E109,3,LEN(E109)-2))</f>
        <v/>
      </c>
      <c r="B124" s="4764"/>
      <c r="C124" s="4764"/>
      <c r="D124" s="4764"/>
      <c r="E124" s="4764"/>
      <c r="F124" s="4764"/>
      <c r="G124" s="4765"/>
      <c r="H124" s="4761" t="str">
        <f>H109</f>
        <v>——</v>
      </c>
      <c r="I124" s="4762"/>
      <c r="AA124" s="518"/>
    </row>
    <row r="125" spans="1:27" ht="18.75" hidden="1" customHeight="1">
      <c r="A125" s="4744" t="s">
        <v>1421</v>
      </c>
      <c r="B125" s="4766"/>
      <c r="C125" s="4766"/>
      <c r="D125" s="4766"/>
      <c r="E125" s="4766"/>
      <c r="F125" s="4766"/>
      <c r="G125" s="4745"/>
      <c r="H125" s="4744" t="e">
        <f>NUMBERSTRING(INT(H124*10000),2)&amp;"元整"</f>
        <v>#VALUE!</v>
      </c>
      <c r="I125" s="4745"/>
      <c r="AA125" s="518"/>
    </row>
    <row r="126" spans="1:27" ht="18.75" hidden="1" customHeight="1">
      <c r="A126" s="4763" t="str">
        <f>IF(项目基本情况!B9="房地产市场价值","",MID(E111,3,LEN(E111)-2))</f>
        <v>抵押净值</v>
      </c>
      <c r="B126" s="4764"/>
      <c r="C126" s="4764"/>
      <c r="D126" s="4764"/>
      <c r="E126" s="4764"/>
      <c r="F126" s="4764"/>
      <c r="G126" s="4765"/>
      <c r="H126" s="4761">
        <f ca="1">H111</f>
        <v>137834</v>
      </c>
      <c r="I126" s="4762"/>
      <c r="AA126" s="518"/>
    </row>
    <row r="127" spans="1:27" ht="18.75" hidden="1" customHeight="1">
      <c r="A127" s="4744" t="s">
        <v>1421</v>
      </c>
      <c r="B127" s="4766"/>
      <c r="C127" s="4766"/>
      <c r="D127" s="4766"/>
      <c r="E127" s="4766"/>
      <c r="F127" s="4766"/>
      <c r="G127" s="4745"/>
      <c r="H127" s="4744" t="str">
        <f ca="1">NUMBERSTRING(INT(H126*10000),2)&amp;"元整"</f>
        <v>壹拾叁亿柒仟捌佰叁拾肆万元整</v>
      </c>
      <c r="I127" s="4745"/>
      <c r="AA127" s="518"/>
    </row>
    <row r="128" spans="1:27" ht="21.75" hidden="1" customHeight="1">
      <c r="A128" s="4741" t="s">
        <v>1422</v>
      </c>
      <c r="B128" s="4741"/>
      <c r="C128" s="4741"/>
      <c r="D128" s="4741"/>
      <c r="E128" s="4741"/>
      <c r="F128" s="4741"/>
      <c r="G128" s="4741"/>
      <c r="H128" s="4741"/>
      <c r="I128" s="4741"/>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10</v>
      </c>
    </row>
    <row r="2" spans="1:9" s="99" customFormat="1" ht="15.75">
      <c r="A2" s="100" t="s">
        <v>1431</v>
      </c>
      <c r="B2" s="2756">
        <f ca="1">IF(C1="含税",E2+C33,E2+C32)</f>
        <v>1529</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160</v>
      </c>
      <c r="C3" s="98" t="s">
        <v>1434</v>
      </c>
      <c r="D3" s="98"/>
      <c r="E3" s="2744"/>
      <c r="F3" s="98"/>
      <c r="G3" s="98"/>
    </row>
    <row r="4" spans="1:9" s="99" customFormat="1" ht="16.5" thickBot="1">
      <c r="A4" s="2801" t="s">
        <v>3328</v>
      </c>
      <c r="B4" s="2802" t="s">
        <v>3329</v>
      </c>
      <c r="C4" s="2741" t="s">
        <v>3951</v>
      </c>
      <c r="D4" s="2777" t="s">
        <v>3334</v>
      </c>
      <c r="E4" s="2778" t="s">
        <v>3335</v>
      </c>
      <c r="F4" s="2778" t="s">
        <v>3336</v>
      </c>
      <c r="G4" s="2742" t="s">
        <v>3330</v>
      </c>
    </row>
    <row r="5" spans="1:9" s="107" customFormat="1" ht="15.75">
      <c r="A5" s="2779" t="s">
        <v>3327</v>
      </c>
      <c r="B5" s="2780" t="s">
        <v>3331</v>
      </c>
      <c r="C5" s="2754">
        <f ca="1">ROUND((C6+C9+C21+C24+C25+C28)/(1-F22-C26-C29),0)</f>
        <v>1529</v>
      </c>
      <c r="D5" s="2781"/>
      <c r="E5" s="2781"/>
      <c r="F5" s="2781"/>
      <c r="G5" s="2936" t="s">
        <v>3470</v>
      </c>
    </row>
    <row r="6" spans="1:9" s="2767" customFormat="1" ht="15">
      <c r="A6" s="2746" t="s">
        <v>3337</v>
      </c>
      <c r="B6" s="2805" t="s">
        <v>3338</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3286</v>
      </c>
      <c r="C9" s="2768">
        <f ca="1">C10+C11+C12+C13+C19+C20</f>
        <v>1240</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v>
      </c>
      <c r="G10" s="160" t="s">
        <v>1467</v>
      </c>
    </row>
    <row r="11" spans="1:9" s="113" customFormat="1">
      <c r="A11" s="2808" t="s">
        <v>349</v>
      </c>
      <c r="B11" s="2809" t="s">
        <v>3322</v>
      </c>
      <c r="C11" s="2755">
        <f ca="1">ROUND(C10*F11,0)</f>
        <v>0</v>
      </c>
      <c r="D11" s="148"/>
      <c r="E11" s="148"/>
      <c r="F11" s="2766">
        <f>'数据-取费表'!B33</f>
        <v>0.04</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0.05</v>
      </c>
      <c r="G12" s="4262" t="s">
        <v>3993</v>
      </c>
    </row>
    <row r="13" spans="1:9" s="113" customFormat="1">
      <c r="A13" s="2808" t="s">
        <v>3287</v>
      </c>
      <c r="B13" s="2809" t="s">
        <v>3324</v>
      </c>
      <c r="C13" s="2755">
        <f ca="1">C14+C17+C18</f>
        <v>1240</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987</v>
      </c>
      <c r="D15" s="2795">
        <f ca="1">IF(B1="",'数据-汇总表'!E5,IF(INDIRECT("'数据-取费表'!c"&amp;$G$1)="住宅",INDIRECT("'数据-取费表'!k"&amp;$G$1),0))</f>
        <v>61695.28</v>
      </c>
      <c r="E15" s="2795">
        <f>'数据-取费表'!B27</f>
        <v>160</v>
      </c>
      <c r="F15" s="2787"/>
      <c r="G15" s="1438"/>
      <c r="H15" s="803"/>
      <c r="I15" s="1439" t="s">
        <v>1448</v>
      </c>
    </row>
    <row r="16" spans="1:9" s="113" customFormat="1">
      <c r="A16" s="2811" t="s">
        <v>354</v>
      </c>
      <c r="B16" s="2812" t="s">
        <v>1449</v>
      </c>
      <c r="C16" s="2795">
        <f ca="1">ROUND(D16*E16/10000,0)</f>
        <v>674</v>
      </c>
      <c r="D16" s="2795">
        <f ca="1">IF(B1="",'数据-汇总表'!E6,IF(INDIRECT("'数据-取费表'!c"&amp;$G$1)="住宅",INDIRECT("'数据-取费表'!s"&amp;$G$1),INDIRECT("'数据-取费表'!k"&amp;$G$1)+INDIRECT("'数据-取费表'!s"&amp;$G$1)))</f>
        <v>33708.930000000008</v>
      </c>
      <c r="E16" s="2795">
        <f>'数据-取费表'!B28</f>
        <v>200</v>
      </c>
      <c r="F16" s="2787"/>
      <c r="G16" s="125"/>
    </row>
    <row r="17" spans="1:7" s="113" customFormat="1">
      <c r="A17" s="2739" t="s">
        <v>3289</v>
      </c>
      <c r="B17" s="2813" t="s">
        <v>3294</v>
      </c>
      <c r="C17" s="2755">
        <f ca="1">IF(G17="已包含在土地取得成本中","0",ROUND(D17*E17/10000,0))</f>
        <v>1240</v>
      </c>
      <c r="D17" s="2796">
        <f ca="1">D15+D16</f>
        <v>95404.21</v>
      </c>
      <c r="E17" s="2796">
        <f>'数据-取费表'!B31</f>
        <v>130</v>
      </c>
      <c r="F17" s="2763"/>
      <c r="G17" s="1437"/>
    </row>
    <row r="18" spans="1:7" s="113" customFormat="1">
      <c r="A18" s="2814" t="s">
        <v>3290</v>
      </c>
      <c r="B18" s="2813" t="s">
        <v>1472</v>
      </c>
      <c r="C18" s="2755">
        <f ca="1">ROUND(E18*D18*F10/10000,0)</f>
        <v>0</v>
      </c>
      <c r="D18" s="2755">
        <f ca="1">D17</f>
        <v>95404.21</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0.02</v>
      </c>
      <c r="G19" s="160" t="s">
        <v>1469</v>
      </c>
    </row>
    <row r="20" spans="1:7" s="113" customFormat="1">
      <c r="A20" s="2808" t="s">
        <v>3291</v>
      </c>
      <c r="B20" s="2809" t="s">
        <v>3326</v>
      </c>
      <c r="C20" s="2755">
        <f ca="1">ROUND(C10*F20,0)</f>
        <v>0</v>
      </c>
      <c r="D20" s="2797"/>
      <c r="E20" s="144"/>
      <c r="F20" s="2766">
        <f>'数据-取费表'!B37</f>
        <v>0.02</v>
      </c>
      <c r="G20" s="160" t="s">
        <v>1469</v>
      </c>
    </row>
    <row r="21" spans="1:7" s="2767" customFormat="1" ht="15">
      <c r="A21" s="2746" t="s">
        <v>3339</v>
      </c>
      <c r="B21" s="2805" t="s">
        <v>3340</v>
      </c>
      <c r="C21" s="2768">
        <f ca="1">ROUND((C6+C9)*F21,0)</f>
        <v>25</v>
      </c>
      <c r="D21" s="2769"/>
      <c r="E21" s="2769"/>
      <c r="F21" s="2773">
        <f>'数据-取费表'!B38</f>
        <v>0.02</v>
      </c>
      <c r="G21" s="2770" t="s">
        <v>3341</v>
      </c>
    </row>
    <row r="22" spans="1:7" s="2767" customFormat="1" ht="15">
      <c r="A22" s="2746" t="s">
        <v>3342</v>
      </c>
      <c r="B22" s="2805" t="s">
        <v>3343</v>
      </c>
      <c r="C22" s="2771" t="str">
        <f>F22&amp;"V"</f>
        <v>0.05V</v>
      </c>
      <c r="D22" s="302"/>
      <c r="E22" s="2769"/>
      <c r="F22" s="2773">
        <f>'数据-取费表'!B39</f>
        <v>0.05</v>
      </c>
      <c r="G22" s="3804" t="s">
        <v>3987</v>
      </c>
    </row>
    <row r="23" spans="1:7"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2" t="s">
        <v>3988</v>
      </c>
    </row>
    <row r="25" spans="1:7" s="113" customFormat="1">
      <c r="A25" s="2815" t="s">
        <v>1453</v>
      </c>
      <c r="B25" s="2813" t="s">
        <v>3296</v>
      </c>
      <c r="C25" s="2761">
        <f ca="1">ROUND(IF('数据-取费表'!B22&lt;=1,(C9+C21)*F23*'数据-取费表'!B23/2,(C9+C21)*(POWER((1+F23),'数据-取费表'!B23/2)-1)),0)</f>
        <v>0</v>
      </c>
      <c r="D25" s="137"/>
      <c r="E25" s="137"/>
      <c r="F25" s="2762"/>
      <c r="G25" s="4262" t="s">
        <v>3989</v>
      </c>
    </row>
    <row r="26" spans="1:7" s="113" customFormat="1">
      <c r="A26" s="2815" t="s">
        <v>348</v>
      </c>
      <c r="B26" s="2813" t="s">
        <v>1454</v>
      </c>
      <c r="C26" s="2758">
        <f ca="1">ROUND(IF('数据-取费表'!B22&lt;=1,F22*F23*'数据-取费表'!B23/2,F22*(POWER((1+F23),'数据-取费表'!B23/2)-1)),4)</f>
        <v>0</v>
      </c>
      <c r="D26" s="137"/>
      <c r="E26" s="140"/>
      <c r="F26" s="2762"/>
      <c r="G26" s="4608" t="s">
        <v>3990</v>
      </c>
    </row>
    <row r="27" spans="1:7" s="2767" customFormat="1" ht="15">
      <c r="A27" s="2746" t="s">
        <v>3345</v>
      </c>
      <c r="B27" s="2807" t="s">
        <v>3297</v>
      </c>
      <c r="C27" s="2774" t="str">
        <f ca="1">C28&amp;"+"&amp;C29&amp;"V"</f>
        <v>177+0.007V</v>
      </c>
      <c r="D27" s="2772"/>
      <c r="E27" s="302"/>
      <c r="F27" s="2775">
        <f ca="1">IF(B1="",'数据-取费表'!Q16,INDIRECT("'数据-取费表'!q"&amp;$G$1))</f>
        <v>0.14000000000000001</v>
      </c>
      <c r="G27" s="2770" t="s">
        <v>3995</v>
      </c>
    </row>
    <row r="28" spans="1:7" s="113" customFormat="1">
      <c r="A28" s="2808" t="s">
        <v>344</v>
      </c>
      <c r="B28" s="2813" t="s">
        <v>1459</v>
      </c>
      <c r="C28" s="2740">
        <f ca="1">ROUND(C6*F27*'数据-取费表'!B23/'数据-取费表'!B22+(C9+C21)*F27,0)</f>
        <v>177</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1460</v>
      </c>
      <c r="C29" s="2758">
        <f ca="1">ROUND(F22*F27,4)</f>
        <v>7.0000000000000001E-3</v>
      </c>
      <c r="D29" s="134"/>
      <c r="E29" s="135"/>
      <c r="F29" s="2763"/>
      <c r="G29" s="146"/>
    </row>
    <row r="30" spans="1:7" s="2767" customFormat="1" ht="15">
      <c r="A30" s="2746" t="s">
        <v>3346</v>
      </c>
      <c r="B30" s="2805" t="s">
        <v>3347</v>
      </c>
      <c r="C30" s="2768">
        <v>0</v>
      </c>
      <c r="D30" s="302"/>
      <c r="E30" s="2748"/>
      <c r="F30" s="2773"/>
      <c r="G30" s="2776" t="s">
        <v>3298</v>
      </c>
    </row>
    <row r="31" spans="1:7" s="113" customFormat="1" ht="15.75">
      <c r="A31" s="2816">
        <v>2</v>
      </c>
      <c r="B31" s="2817" t="s">
        <v>3299</v>
      </c>
      <c r="C31" s="2759">
        <f ca="1">C57</f>
        <v>0</v>
      </c>
      <c r="D31" s="2750"/>
      <c r="E31" s="2750"/>
      <c r="F31" s="2764">
        <f>IF('数据-取费表'!B24=0,'数据-取费表'!N16,1)</f>
        <v>1</v>
      </c>
      <c r="G31" s="2751" t="s">
        <v>3809</v>
      </c>
    </row>
    <row r="32" spans="1:7" s="113" customFormat="1" ht="15.75">
      <c r="A32" s="2738" t="s">
        <v>3300</v>
      </c>
      <c r="B32" s="2737" t="s">
        <v>3301</v>
      </c>
      <c r="C32" s="2759">
        <f ca="1">C5-C31</f>
        <v>1529</v>
      </c>
      <c r="D32" s="2750"/>
      <c r="E32" s="2750"/>
      <c r="F32" s="2749"/>
      <c r="G32" s="2752" t="s">
        <v>3332</v>
      </c>
    </row>
    <row r="33" spans="1:7" s="113" customFormat="1" ht="16.5" thickBot="1">
      <c r="A33" s="2818">
        <v>4</v>
      </c>
      <c r="B33" s="2819" t="s">
        <v>3333</v>
      </c>
      <c r="C33" s="2760">
        <f ca="1">ROUND(C32*(1+F33),0)</f>
        <v>1667</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75" thickBot="1">
      <c r="A38" s="3007" t="s">
        <v>3302</v>
      </c>
      <c r="B38" s="3008"/>
      <c r="C38" s="3008"/>
      <c r="D38" s="3008"/>
      <c r="E38" s="3008"/>
      <c r="F38" s="3008"/>
      <c r="G38" s="3009"/>
    </row>
    <row r="39" spans="1:7" ht="15.75" thickBot="1">
      <c r="A39" s="3010" t="s">
        <v>3328</v>
      </c>
      <c r="B39" s="3011" t="s">
        <v>3329</v>
      </c>
      <c r="C39" s="3012" t="s">
        <v>3951</v>
      </c>
      <c r="D39" s="3013" t="s">
        <v>3452</v>
      </c>
      <c r="E39" s="3014" t="s">
        <v>3453</v>
      </c>
      <c r="F39" s="3014" t="s">
        <v>3454</v>
      </c>
      <c r="G39" s="3015" t="s">
        <v>3330</v>
      </c>
    </row>
    <row r="40" spans="1:7" ht="15">
      <c r="A40" s="2868" t="s">
        <v>3455</v>
      </c>
      <c r="B40" s="3017" t="s">
        <v>3303</v>
      </c>
      <c r="C40" s="3018">
        <f ca="1">SUM(C41:C46)</f>
        <v>0</v>
      </c>
      <c r="D40" s="3016"/>
      <c r="E40" s="3016"/>
      <c r="F40" s="3016"/>
      <c r="G40" s="4347"/>
    </row>
    <row r="41" spans="1:7" ht="15.75">
      <c r="A41" s="2800" t="s">
        <v>3304</v>
      </c>
      <c r="B41" s="2867" t="str">
        <f t="shared" ref="B41:C43" si="0">B10</f>
        <v xml:space="preserve">  建安费用</v>
      </c>
      <c r="C41" s="2735">
        <f t="shared" ca="1" si="0"/>
        <v>0</v>
      </c>
      <c r="D41" s="2730"/>
      <c r="E41" s="2730"/>
      <c r="F41" s="2731"/>
      <c r="G41" s="4348"/>
    </row>
    <row r="42" spans="1:7" ht="15.75">
      <c r="A42" s="2800" t="s">
        <v>3305</v>
      </c>
      <c r="B42" s="2867" t="str">
        <f t="shared" si="0"/>
        <v xml:space="preserve">  前期费用</v>
      </c>
      <c r="C42" s="2735">
        <f t="shared" ca="1" si="0"/>
        <v>0</v>
      </c>
      <c r="D42" s="2730"/>
      <c r="E42" s="2730"/>
      <c r="F42" s="2731"/>
      <c r="G42" s="4348"/>
    </row>
    <row r="43" spans="1:7" ht="15.75">
      <c r="A43" s="2800" t="s">
        <v>3369</v>
      </c>
      <c r="B43" s="2804" t="str">
        <f t="shared" si="0"/>
        <v xml:space="preserve">  公共配套设施费用</v>
      </c>
      <c r="C43" s="2735">
        <f t="shared" ca="1" si="0"/>
        <v>0</v>
      </c>
      <c r="D43" s="2730"/>
      <c r="E43" s="2730"/>
      <c r="F43" s="2731"/>
      <c r="G43" s="4348"/>
    </row>
    <row r="44" spans="1:7" ht="15.75">
      <c r="A44" s="2800" t="s">
        <v>3287</v>
      </c>
      <c r="B44" s="2804" t="str">
        <f>B18</f>
        <v>红线内市政费用</v>
      </c>
      <c r="C44" s="2735">
        <f ca="1">C18</f>
        <v>0</v>
      </c>
      <c r="D44" s="2730"/>
      <c r="E44" s="2730"/>
      <c r="F44" s="2731"/>
      <c r="G44" s="4348"/>
    </row>
    <row r="45" spans="1:7" ht="15.75">
      <c r="A45" s="2815" t="s">
        <v>3306</v>
      </c>
      <c r="B45" s="2810" t="str">
        <f>B19</f>
        <v xml:space="preserve">  其他工程费</v>
      </c>
      <c r="C45" s="2740">
        <f ca="1">C19</f>
        <v>0</v>
      </c>
      <c r="D45" s="2865"/>
      <c r="E45" s="2865"/>
      <c r="F45" s="2866"/>
      <c r="G45" s="4349"/>
    </row>
    <row r="46" spans="1:7" ht="15.75">
      <c r="A46" s="2815" t="s">
        <v>3368</v>
      </c>
      <c r="B46" s="2810" t="s">
        <v>3307</v>
      </c>
      <c r="C46" s="2740">
        <f ca="1">C20</f>
        <v>0</v>
      </c>
      <c r="D46" s="2865"/>
      <c r="E46" s="2865"/>
      <c r="F46" s="2866"/>
      <c r="G46" s="4349"/>
    </row>
    <row r="47" spans="1:7" ht="15">
      <c r="A47" s="2868" t="s">
        <v>3456</v>
      </c>
      <c r="B47" s="2869" t="s">
        <v>3457</v>
      </c>
      <c r="C47" s="2870">
        <f ca="1">ROUND(C40*F47,0)</f>
        <v>0</v>
      </c>
      <c r="D47" s="2871"/>
      <c r="E47" s="2871"/>
      <c r="F47" s="2872">
        <f>F21</f>
        <v>0.02</v>
      </c>
      <c r="G47" s="2873" t="s">
        <v>3458</v>
      </c>
    </row>
    <row r="48" spans="1:7" ht="15">
      <c r="A48" s="2868" t="s">
        <v>3459</v>
      </c>
      <c r="B48" s="2869" t="s">
        <v>3460</v>
      </c>
      <c r="C48" s="2874" t="str">
        <f>F48&amp;"V建1"</f>
        <v>0.05V建1</v>
      </c>
      <c r="D48" s="2871"/>
      <c r="E48" s="2871"/>
      <c r="F48" s="2872">
        <f>F22</f>
        <v>0.05</v>
      </c>
      <c r="G48" s="4609" t="s">
        <v>3991</v>
      </c>
    </row>
    <row r="49" spans="1:7" ht="15">
      <c r="A49" s="2868" t="s">
        <v>3461</v>
      </c>
      <c r="B49" s="2875" t="s">
        <v>3367</v>
      </c>
      <c r="C49" s="2768" t="str">
        <f ca="1">C50&amp;"+"&amp;C51&amp;"V建1"</f>
        <v>0+0.0016V建1</v>
      </c>
      <c r="D49" s="302"/>
      <c r="E49" s="302"/>
      <c r="F49" s="2884">
        <f ca="1">F23</f>
        <v>3.1300000000000001E-2</v>
      </c>
      <c r="G49" s="4350" t="str">
        <f>IF('数据-取费表'!B22&lt;=1,"单利计息","复利计息")</f>
        <v>复利计息</v>
      </c>
    </row>
    <row r="50" spans="1:7">
      <c r="A50" s="2800" t="s">
        <v>3304</v>
      </c>
      <c r="B50" s="2803" t="s">
        <v>3371</v>
      </c>
      <c r="C50" s="2887">
        <f ca="1">ROUND(IF('数据-取费表'!B22&lt;=1,(C40+C47)*F49*'数据-取费表'!B22/2,(C40+C47)*(POWER((1+F49),'数据-取费表'!B22/2)-1)),0)</f>
        <v>0</v>
      </c>
      <c r="D50" s="1070"/>
      <c r="E50" s="1070"/>
      <c r="F50" s="1053"/>
      <c r="G50" s="4848" t="str">
        <f ca="1">IF(F10=100%,"建设期均匀投入","已建工期均匀投入")</f>
        <v>已建工期均匀投入</v>
      </c>
    </row>
    <row r="51" spans="1:7">
      <c r="A51" s="2800" t="s">
        <v>3305</v>
      </c>
      <c r="B51" s="2804" t="s">
        <v>3310</v>
      </c>
      <c r="C51" s="2888">
        <f ca="1">ROUND(IF('数据-取费表'!B22&lt;=1,F48*F23*'数据-取费表'!B22/2,F48*(POWER((1+F23),'数据-取费表'!B22/2)-1)),4)</f>
        <v>1.6000000000000001E-3</v>
      </c>
      <c r="D51" s="1070"/>
      <c r="E51" s="1070"/>
      <c r="F51" s="1053"/>
      <c r="G51" s="4849"/>
    </row>
    <row r="52" spans="1:7" ht="15">
      <c r="A52" s="2868" t="s">
        <v>3462</v>
      </c>
      <c r="B52" s="2877" t="s">
        <v>3311</v>
      </c>
      <c r="C52" s="2878" t="str">
        <f ca="1">C53&amp;"+"&amp;C54&amp;"V建1"</f>
        <v>0+0.007V建1</v>
      </c>
      <c r="D52" s="2879"/>
      <c r="E52" s="2871"/>
      <c r="F52" s="2880">
        <f ca="1">F27</f>
        <v>0.14000000000000001</v>
      </c>
      <c r="G52" s="2881" t="s">
        <v>3463</v>
      </c>
    </row>
    <row r="53" spans="1:7">
      <c r="A53" s="2800" t="s">
        <v>3308</v>
      </c>
      <c r="B53" s="2803" t="s">
        <v>3312</v>
      </c>
      <c r="C53" s="2735">
        <f ca="1">ROUND((C40+C47)*F27,0)</f>
        <v>0</v>
      </c>
      <c r="D53" s="2736"/>
      <c r="E53" s="2732"/>
      <c r="F53" s="2733"/>
      <c r="G53" s="2734"/>
    </row>
    <row r="54" spans="1:7">
      <c r="A54" s="2800" t="s">
        <v>3309</v>
      </c>
      <c r="B54" s="2803" t="s">
        <v>3313</v>
      </c>
      <c r="C54" s="2799">
        <f ca="1">ROUND(F48*F27,4)</f>
        <v>7.0000000000000001E-3</v>
      </c>
      <c r="D54" s="2736"/>
      <c r="E54" s="2732"/>
      <c r="F54" s="2733"/>
      <c r="G54" s="2734"/>
    </row>
    <row r="55" spans="1:7" ht="15">
      <c r="A55" s="2746" t="s">
        <v>3464</v>
      </c>
      <c r="B55" s="2886" t="s">
        <v>3465</v>
      </c>
      <c r="C55" s="4351">
        <v>0</v>
      </c>
      <c r="D55" s="2772"/>
      <c r="E55" s="302"/>
      <c r="F55" s="2876"/>
      <c r="G55" s="2883" t="s">
        <v>3316</v>
      </c>
    </row>
    <row r="56" spans="1:7" ht="16.5">
      <c r="A56" s="2746" t="s">
        <v>3469</v>
      </c>
      <c r="B56" s="2882" t="s">
        <v>3466</v>
      </c>
      <c r="C56" s="2768">
        <f ca="1">ROUND((C40+C47+C50+C53)/(1-F48-C51-C54),0)</f>
        <v>0</v>
      </c>
      <c r="D56" s="302"/>
      <c r="E56" s="302"/>
      <c r="F56" s="2884"/>
      <c r="G56" s="2883" t="s">
        <v>3317</v>
      </c>
    </row>
    <row r="57" spans="1:7" ht="15">
      <c r="A57" s="2746" t="s">
        <v>3433</v>
      </c>
      <c r="B57" s="2885" t="s">
        <v>3314</v>
      </c>
      <c r="C57" s="2768">
        <f ca="1">ROUND(C56*(1-F57),0)</f>
        <v>0</v>
      </c>
      <c r="D57" s="302"/>
      <c r="E57" s="302"/>
      <c r="F57" s="2884">
        <f>F31</f>
        <v>1</v>
      </c>
      <c r="G57" s="2883" t="s">
        <v>3318</v>
      </c>
    </row>
    <row r="58" spans="1:7" ht="16.5">
      <c r="A58" s="2746" t="s">
        <v>3467</v>
      </c>
      <c r="B58" s="2882" t="s">
        <v>3468</v>
      </c>
      <c r="C58" s="2768">
        <f ca="1">C56-C57</f>
        <v>0</v>
      </c>
      <c r="D58" s="302"/>
      <c r="E58" s="302"/>
      <c r="F58" s="2884"/>
      <c r="G58" s="2883" t="s">
        <v>3319</v>
      </c>
    </row>
    <row r="59" spans="1:7" ht="15.75" thickBot="1">
      <c r="A59" s="4352" t="s">
        <v>3370</v>
      </c>
      <c r="B59" s="4353" t="s">
        <v>3315</v>
      </c>
      <c r="C59" s="4354">
        <f ca="1">ROUND(C58*(1+F59),0)</f>
        <v>0</v>
      </c>
      <c r="D59" s="4355"/>
      <c r="E59" s="4355"/>
      <c r="F59" s="4356">
        <f>F33</f>
        <v>0.09</v>
      </c>
      <c r="G59" s="4357" t="s">
        <v>3992</v>
      </c>
    </row>
    <row r="60" spans="1:7" ht="14.25">
      <c r="A60" s="2728"/>
      <c r="B60" s="2729"/>
    </row>
    <row r="62" spans="1:7" ht="21" customHeight="1">
      <c r="B62" s="2798" t="s">
        <v>1498</v>
      </c>
      <c r="C62" s="170"/>
    </row>
    <row r="63" spans="1:7" ht="21" customHeight="1">
      <c r="B63" s="216" t="s">
        <v>787</v>
      </c>
      <c r="C63" s="4425">
        <f ca="1">1-C64</f>
        <v>1</v>
      </c>
    </row>
    <row r="64" spans="1:7" ht="21" customHeight="1">
      <c r="B64" s="216" t="s">
        <v>788</v>
      </c>
      <c r="C64" s="4426">
        <f ca="1">ROUND(C58/C32,3)</f>
        <v>0</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6" t="str">
        <f>项目基本情况!B1</f>
        <v>北京市房地产抵押价值预评估</v>
      </c>
      <c r="C37" s="4636"/>
      <c r="D37" s="4636"/>
      <c r="E37" s="4636"/>
      <c r="F37" s="4636"/>
      <c r="G37" s="4636"/>
      <c r="H37" s="4636"/>
      <c r="I37" s="463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10</v>
      </c>
      <c r="H1" s="3263" t="str">
        <f>IF(ISERROR(FIND("住宅",B1)),"非住宅","住宅")</f>
        <v>非住宅</v>
      </c>
    </row>
    <row r="2" spans="1:10" s="99" customFormat="1" ht="15.75">
      <c r="A2" s="100" t="s">
        <v>1431</v>
      </c>
      <c r="B2" s="3977">
        <f ca="1">ROUND(D3/10000,4)</f>
        <v>65157.515399999997</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6830</v>
      </c>
      <c r="C3" s="98" t="s">
        <v>1434</v>
      </c>
      <c r="D3" s="98">
        <f ca="1">IF(C1="含税",E2+C33,E2+C32)</f>
        <v>651575154</v>
      </c>
      <c r="E3" s="2744"/>
      <c r="F3" s="98"/>
      <c r="G3" s="98"/>
    </row>
    <row r="4" spans="1:10" s="99" customFormat="1" ht="16.5" thickBot="1">
      <c r="A4" s="2801" t="s">
        <v>3328</v>
      </c>
      <c r="B4" s="2802" t="s">
        <v>3329</v>
      </c>
      <c r="C4" s="2741" t="s">
        <v>3951</v>
      </c>
      <c r="D4" s="2777" t="s">
        <v>3334</v>
      </c>
      <c r="E4" s="2778" t="s">
        <v>3335</v>
      </c>
      <c r="F4" s="2778" t="s">
        <v>3336</v>
      </c>
      <c r="G4" s="2742" t="s">
        <v>3330</v>
      </c>
    </row>
    <row r="5" spans="1:10" s="107" customFormat="1" ht="15.75">
      <c r="A5" s="2779" t="s">
        <v>3327</v>
      </c>
      <c r="B5" s="2780" t="s">
        <v>3331</v>
      </c>
      <c r="C5" s="2754">
        <f ca="1">ROUND((C6+C9+C21+C24+C25+C28)/(1-F22-C26-C29),0)</f>
        <v>651575154</v>
      </c>
      <c r="D5" s="2781"/>
      <c r="E5" s="2781"/>
      <c r="F5" s="2781"/>
      <c r="G5" s="2936" t="s">
        <v>3470</v>
      </c>
      <c r="J5" s="99"/>
    </row>
    <row r="6" spans="1:10" s="2767" customFormat="1" ht="15">
      <c r="A6" s="2746" t="s">
        <v>3337</v>
      </c>
      <c r="B6" s="2805" t="s">
        <v>3338</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528410191</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477784856</v>
      </c>
      <c r="D10" s="2785"/>
      <c r="E10" s="148"/>
      <c r="F10" s="2793">
        <f ca="1">IF('数据-取费表'!B24=0,1,IF(B1="",'数据-取费表'!N16,INDIRECT("'数据-取费表'!n"&amp;$G$1)))</f>
        <v>0</v>
      </c>
      <c r="G10" s="160" t="s">
        <v>1467</v>
      </c>
      <c r="J10" s="99"/>
    </row>
    <row r="11" spans="1:10" s="113" customFormat="1" ht="15">
      <c r="A11" s="2808" t="s">
        <v>349</v>
      </c>
      <c r="B11" s="2809" t="s">
        <v>3322</v>
      </c>
      <c r="C11" s="2755">
        <f ca="1">ROUND(C10*F11,0)</f>
        <v>19111394</v>
      </c>
      <c r="D11" s="148"/>
      <c r="E11" s="148"/>
      <c r="F11" s="2766">
        <f>'数据-取费表'!B33</f>
        <v>0.04</v>
      </c>
      <c r="G11" s="160" t="s">
        <v>1469</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0.05</v>
      </c>
      <c r="G12" s="4262" t="s">
        <v>3994</v>
      </c>
      <c r="J12" s="99"/>
    </row>
    <row r="13" spans="1:10" s="113" customFormat="1" ht="15">
      <c r="A13" s="2808" t="s">
        <v>3287</v>
      </c>
      <c r="B13" s="2809" t="s">
        <v>3324</v>
      </c>
      <c r="C13" s="2755">
        <f ca="1">C14+C17+C18</f>
        <v>12402547</v>
      </c>
      <c r="D13" s="148"/>
      <c r="E13" s="2786"/>
      <c r="F13" s="2787"/>
      <c r="G13" s="160"/>
      <c r="J13" s="99"/>
    </row>
    <row r="14" spans="1:10" s="122" customFormat="1" ht="15">
      <c r="A14" s="2739" t="s">
        <v>3288</v>
      </c>
      <c r="B14" s="2810" t="s">
        <v>3320</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9871245</v>
      </c>
      <c r="D15" s="2795">
        <f ca="1">IF(B1="",'数据-汇总表'!E5,IF(INDIRECT("'数据-取费表'!c"&amp;$G$1)="住宅",INDIRECT("'数据-取费表'!k"&amp;$G$1),0))</f>
        <v>61695.28</v>
      </c>
      <c r="E15" s="2795">
        <f>'数据-取费表'!B27</f>
        <v>160</v>
      </c>
      <c r="F15" s="2787"/>
      <c r="G15" s="1438"/>
      <c r="H15" s="803"/>
      <c r="I15" s="1439" t="s">
        <v>1448</v>
      </c>
      <c r="J15" s="99"/>
    </row>
    <row r="16" spans="1:10" s="113" customFormat="1" ht="15">
      <c r="A16" s="2811" t="s">
        <v>354</v>
      </c>
      <c r="B16" s="2812" t="s">
        <v>1449</v>
      </c>
      <c r="C16" s="2795">
        <f ca="1">ROUND(D16*E16,0)</f>
        <v>6741786</v>
      </c>
      <c r="D16" s="2795">
        <f ca="1">IF(B1="",'数据-汇总表'!E6,IF(INDIRECT("'数据-取费表'!c"&amp;$G$1)="住宅",INDIRECT("'数据-取费表'!s"&amp;$G$1),INDIRECT("'数据-取费表'!k"&amp;$G$1)+INDIRECT("'数据-取费表'!s"&amp;$G$1)))</f>
        <v>33708.930000000008</v>
      </c>
      <c r="E16" s="2795">
        <f>'数据-取费表'!B28</f>
        <v>200</v>
      </c>
      <c r="F16" s="2787"/>
      <c r="G16" s="125"/>
      <c r="J16" s="99"/>
    </row>
    <row r="17" spans="1:10" s="113" customFormat="1" ht="15">
      <c r="A17" s="2739" t="s">
        <v>3289</v>
      </c>
      <c r="B17" s="2813" t="s">
        <v>3294</v>
      </c>
      <c r="C17" s="2755">
        <f ca="1">IF(G17="已包含在土地取得成本中","0",ROUND(D17*E17,0))</f>
        <v>12402547</v>
      </c>
      <c r="D17" s="2796">
        <f ca="1">D15+D16</f>
        <v>95404.21</v>
      </c>
      <c r="E17" s="2796">
        <f>'数据-取费表'!B31</f>
        <v>130</v>
      </c>
      <c r="F17" s="2763"/>
      <c r="G17" s="1437"/>
      <c r="J17" s="99"/>
    </row>
    <row r="18" spans="1:10" s="113" customFormat="1" ht="15">
      <c r="A18" s="2814" t="s">
        <v>3290</v>
      </c>
      <c r="B18" s="2813" t="s">
        <v>1472</v>
      </c>
      <c r="C18" s="2755">
        <f ca="1">ROUND(E18*D18*F10,0)</f>
        <v>0</v>
      </c>
      <c r="D18" s="2755">
        <f ca="1">D17</f>
        <v>95404.21</v>
      </c>
      <c r="E18" s="2755">
        <f>'数据-取费表'!B35</f>
        <v>360</v>
      </c>
      <c r="F18" s="2766"/>
      <c r="G18" s="160" t="str">
        <f ca="1">IF(F10=100%,"","按工程进度计取")</f>
        <v>按工程进度计取</v>
      </c>
      <c r="J18" s="99"/>
    </row>
    <row r="19" spans="1:10" s="113" customFormat="1" ht="15">
      <c r="A19" s="2808" t="s">
        <v>352</v>
      </c>
      <c r="B19" s="2809" t="s">
        <v>3325</v>
      </c>
      <c r="C19" s="2755">
        <f ca="1">ROUND(C10*F19,0)</f>
        <v>9555697</v>
      </c>
      <c r="D19" s="148"/>
      <c r="E19" s="148"/>
      <c r="F19" s="2766">
        <f>'数据-取费表'!B36</f>
        <v>0.02</v>
      </c>
      <c r="G19" s="160" t="s">
        <v>1469</v>
      </c>
      <c r="J19" s="99"/>
    </row>
    <row r="20" spans="1:10" s="113" customFormat="1" ht="15">
      <c r="A20" s="2808" t="s">
        <v>3291</v>
      </c>
      <c r="B20" s="2809" t="s">
        <v>3326</v>
      </c>
      <c r="C20" s="2755">
        <f ca="1">ROUND(C10*F20,0)</f>
        <v>9555697</v>
      </c>
      <c r="D20" s="2797"/>
      <c r="E20" s="144"/>
      <c r="F20" s="2766">
        <f>'数据-取费表'!B37</f>
        <v>0.02</v>
      </c>
      <c r="G20" s="160" t="s">
        <v>1469</v>
      </c>
      <c r="J20" s="99"/>
    </row>
    <row r="21" spans="1:10" s="2767" customFormat="1" ht="15">
      <c r="A21" s="2746" t="s">
        <v>3339</v>
      </c>
      <c r="B21" s="2805" t="s">
        <v>3340</v>
      </c>
      <c r="C21" s="2768">
        <f ca="1">ROUND((C6+C9)*F21,0)</f>
        <v>10568204</v>
      </c>
      <c r="D21" s="2769"/>
      <c r="E21" s="2769"/>
      <c r="F21" s="2773">
        <f>'数据-取费表'!B38</f>
        <v>0.02</v>
      </c>
      <c r="G21" s="2770" t="s">
        <v>3341</v>
      </c>
      <c r="J21" s="99"/>
    </row>
    <row r="22" spans="1:10" s="2767" customFormat="1" ht="15">
      <c r="A22" s="2746" t="s">
        <v>3342</v>
      </c>
      <c r="B22" s="2805" t="s">
        <v>3343</v>
      </c>
      <c r="C22" s="2771" t="str">
        <f>F22&amp;"V"</f>
        <v>0.05V</v>
      </c>
      <c r="D22" s="302"/>
      <c r="E22" s="2769"/>
      <c r="F22" s="2773">
        <f>'数据-取费表'!B39</f>
        <v>0.05</v>
      </c>
      <c r="G22" s="3804" t="s">
        <v>3987</v>
      </c>
      <c r="J22" s="99"/>
    </row>
    <row r="23" spans="1:10" s="2767" customFormat="1" ht="15">
      <c r="A23" s="2746" t="s">
        <v>3344</v>
      </c>
      <c r="B23" s="2807" t="s">
        <v>3295</v>
      </c>
      <c r="C23" s="2747" t="str">
        <f ca="1">SUM(C24:C25)&amp;"+"&amp;C26&amp;"V"</f>
        <v>0+0V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0</v>
      </c>
      <c r="D24" s="137"/>
      <c r="E24" s="137"/>
      <c r="F24" s="2762"/>
      <c r="G24" s="4262" t="s">
        <v>3988</v>
      </c>
      <c r="J24" s="99"/>
    </row>
    <row r="25" spans="1:10" s="113" customFormat="1" ht="15">
      <c r="A25" s="2815" t="s">
        <v>345</v>
      </c>
      <c r="B25" s="2813" t="s">
        <v>3296</v>
      </c>
      <c r="C25" s="2761">
        <f ca="1">ROUND(IF('数据-取费表'!B22&lt;=1,(C9+C21)*F23*'数据-取费表'!B23/2,(C9+C21)*(POWER((1+F23),'数据-取费表'!B23/2)-1)),0)</f>
        <v>0</v>
      </c>
      <c r="D25" s="137"/>
      <c r="E25" s="137"/>
      <c r="F25" s="2762"/>
      <c r="G25" s="4262" t="s">
        <v>3989</v>
      </c>
      <c r="J25" s="99"/>
    </row>
    <row r="26" spans="1:10" s="113" customFormat="1" ht="15">
      <c r="A26" s="2815" t="s">
        <v>348</v>
      </c>
      <c r="B26" s="2813" t="s">
        <v>1454</v>
      </c>
      <c r="C26" s="2758">
        <f ca="1">ROUND(IF('数据-取费表'!B22&lt;=1,F22*F23*'数据-取费表'!B23/2,F22*(POWER((1+F23),'数据-取费表'!B23/2)-1)),4)</f>
        <v>0</v>
      </c>
      <c r="D26" s="137"/>
      <c r="E26" s="140"/>
      <c r="F26" s="2762"/>
      <c r="G26" s="4608" t="s">
        <v>3990</v>
      </c>
      <c r="J26" s="99"/>
    </row>
    <row r="27" spans="1:10" s="2767" customFormat="1" ht="15">
      <c r="A27" s="2746" t="s">
        <v>3345</v>
      </c>
      <c r="B27" s="2807" t="s">
        <v>3297</v>
      </c>
      <c r="C27" s="2774" t="str">
        <f ca="1">C28&amp;"+"&amp;C29&amp;"V"</f>
        <v>75456975+0.007V</v>
      </c>
      <c r="D27" s="2772"/>
      <c r="E27" s="302"/>
      <c r="F27" s="2775">
        <f ca="1">IF(B1="",'数据-取费表'!Q16,INDIRECT("'数据-取费表'!q"&amp;$G$1))</f>
        <v>0.14000000000000001</v>
      </c>
      <c r="G27" s="2770" t="s">
        <v>3996</v>
      </c>
      <c r="J27" s="99"/>
    </row>
    <row r="28" spans="1:10" s="113" customFormat="1" ht="15">
      <c r="A28" s="2808" t="s">
        <v>344</v>
      </c>
      <c r="B28" s="2813" t="s">
        <v>1459</v>
      </c>
      <c r="C28" s="2740">
        <f ca="1">ROUND(C6*F27*'数据-取费表'!B23/'数据-取费表'!B22+(C9+C21)*F27,0)</f>
        <v>75456975</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1460</v>
      </c>
      <c r="C29" s="2758">
        <f ca="1">ROUND(F22*F27,4)</f>
        <v>7.0000000000000001E-3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75">
      <c r="A31" s="2816">
        <v>2</v>
      </c>
      <c r="B31" s="2817" t="s">
        <v>3299</v>
      </c>
      <c r="C31" s="2759">
        <f ca="1">C57</f>
        <v>0</v>
      </c>
      <c r="D31" s="2750"/>
      <c r="E31" s="2750"/>
      <c r="F31" s="2764">
        <f>IF('数据-取费表'!B24=0,'数据-取费表'!N16,1)</f>
        <v>1</v>
      </c>
      <c r="G31" s="2751" t="s">
        <v>3808</v>
      </c>
      <c r="J31" s="99"/>
    </row>
    <row r="32" spans="1:10" s="113" customFormat="1" ht="15.75">
      <c r="A32" s="2738" t="s">
        <v>3300</v>
      </c>
      <c r="B32" s="2737" t="s">
        <v>3301</v>
      </c>
      <c r="C32" s="2759">
        <f ca="1">C5-C31</f>
        <v>651575154</v>
      </c>
      <c r="D32" s="2750"/>
      <c r="E32" s="2750"/>
      <c r="F32" s="2749"/>
      <c r="G32" s="2752" t="s">
        <v>3332</v>
      </c>
      <c r="J32" s="99"/>
    </row>
    <row r="33" spans="1:10" s="113" customFormat="1" ht="16.5" thickBot="1">
      <c r="A33" s="2818">
        <v>4</v>
      </c>
      <c r="B33" s="2819" t="s">
        <v>3333</v>
      </c>
      <c r="C33" s="2760">
        <f ca="1">ROUND(C32*(1+F33),0)</f>
        <v>710216918</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75" thickBot="1">
      <c r="A38" s="3007" t="s">
        <v>3302</v>
      </c>
      <c r="B38" s="3008"/>
      <c r="C38" s="3008"/>
      <c r="D38" s="3008"/>
      <c r="E38" s="3008"/>
      <c r="F38" s="3008"/>
      <c r="G38" s="3009"/>
    </row>
    <row r="39" spans="1:10" ht="15.75" thickBot="1">
      <c r="A39" s="4486" t="s">
        <v>3328</v>
      </c>
      <c r="B39" s="3010" t="s">
        <v>3329</v>
      </c>
      <c r="C39" s="3012" t="s">
        <v>3951</v>
      </c>
      <c r="D39" s="3013" t="s">
        <v>3452</v>
      </c>
      <c r="E39" s="3014" t="s">
        <v>3453</v>
      </c>
      <c r="F39" s="3014" t="s">
        <v>3454</v>
      </c>
      <c r="G39" s="3015" t="s">
        <v>3330</v>
      </c>
    </row>
    <row r="40" spans="1:10" ht="15">
      <c r="A40" s="2869" t="s">
        <v>3455</v>
      </c>
      <c r="B40" s="4491" t="s">
        <v>3303</v>
      </c>
      <c r="C40" s="3018">
        <f ca="1">SUM(C41:C46)</f>
        <v>516007644</v>
      </c>
      <c r="D40" s="3016"/>
      <c r="E40" s="3016"/>
      <c r="F40" s="3016"/>
      <c r="G40" s="4347"/>
    </row>
    <row r="41" spans="1:10" ht="15.75">
      <c r="A41" s="4487" t="s">
        <v>3304</v>
      </c>
      <c r="B41" s="4492" t="str">
        <f t="shared" ref="B41:C43" si="0">B10</f>
        <v xml:space="preserve">  建安费用</v>
      </c>
      <c r="C41" s="2735">
        <f t="shared" ca="1" si="0"/>
        <v>477784856</v>
      </c>
      <c r="D41" s="2730"/>
      <c r="E41" s="2730"/>
      <c r="F41" s="2731"/>
      <c r="G41" s="4348"/>
    </row>
    <row r="42" spans="1:10" ht="15.75">
      <c r="A42" s="4487" t="s">
        <v>3305</v>
      </c>
      <c r="B42" s="4492" t="str">
        <f t="shared" si="0"/>
        <v xml:space="preserve">  前期费用</v>
      </c>
      <c r="C42" s="2735">
        <f t="shared" ca="1" si="0"/>
        <v>19111394</v>
      </c>
      <c r="D42" s="2730"/>
      <c r="E42" s="2730"/>
      <c r="F42" s="2731"/>
      <c r="G42" s="4348"/>
    </row>
    <row r="43" spans="1:10" ht="15.75">
      <c r="A43" s="4487" t="s">
        <v>3369</v>
      </c>
      <c r="B43" s="4493" t="str">
        <f t="shared" si="0"/>
        <v xml:space="preserve">  公共配套设施费用</v>
      </c>
      <c r="C43" s="2735">
        <f t="shared" ca="1" si="0"/>
        <v>0</v>
      </c>
      <c r="D43" s="2730"/>
      <c r="E43" s="2730"/>
      <c r="F43" s="2731"/>
      <c r="G43" s="4348"/>
    </row>
    <row r="44" spans="1:10" ht="15.75">
      <c r="A44" s="4487" t="s">
        <v>3287</v>
      </c>
      <c r="B44" s="4493" t="str">
        <f>B18</f>
        <v>红线内市政费用</v>
      </c>
      <c r="C44" s="2735">
        <f ca="1">C18</f>
        <v>0</v>
      </c>
      <c r="D44" s="2730"/>
      <c r="E44" s="2730"/>
      <c r="F44" s="2731"/>
      <c r="G44" s="4348"/>
    </row>
    <row r="45" spans="1:10" ht="15.75">
      <c r="A45" s="4488" t="s">
        <v>3306</v>
      </c>
      <c r="B45" s="4494" t="str">
        <f>B19</f>
        <v xml:space="preserve">  其他工程费</v>
      </c>
      <c r="C45" s="2740">
        <f ca="1">C19</f>
        <v>9555697</v>
      </c>
      <c r="D45" s="2865"/>
      <c r="E45" s="2865"/>
      <c r="F45" s="2866"/>
      <c r="G45" s="4349"/>
    </row>
    <row r="46" spans="1:10" ht="15.75">
      <c r="A46" s="4488" t="s">
        <v>3368</v>
      </c>
      <c r="B46" s="4494" t="s">
        <v>3307</v>
      </c>
      <c r="C46" s="2740">
        <f ca="1">C20</f>
        <v>9555697</v>
      </c>
      <c r="D46" s="2865"/>
      <c r="E46" s="2865"/>
      <c r="F46" s="2866"/>
      <c r="G46" s="4349"/>
    </row>
    <row r="47" spans="1:10" ht="15">
      <c r="A47" s="4489" t="s">
        <v>3456</v>
      </c>
      <c r="B47" s="4489" t="s">
        <v>3457</v>
      </c>
      <c r="C47" s="2870">
        <f ca="1">ROUND(C40*F47,0)</f>
        <v>10320153</v>
      </c>
      <c r="D47" s="2871"/>
      <c r="E47" s="2871"/>
      <c r="F47" s="2872">
        <f>F21</f>
        <v>0.02</v>
      </c>
      <c r="G47" s="2873" t="s">
        <v>3458</v>
      </c>
    </row>
    <row r="48" spans="1:10" ht="15">
      <c r="A48" s="4489" t="s">
        <v>3459</v>
      </c>
      <c r="B48" s="4489" t="s">
        <v>3460</v>
      </c>
      <c r="C48" s="2874" t="str">
        <f>F48&amp;"V建1"</f>
        <v>0.05V建1</v>
      </c>
      <c r="D48" s="2871"/>
      <c r="E48" s="2871"/>
      <c r="F48" s="2872">
        <f>F22</f>
        <v>0.05</v>
      </c>
      <c r="G48" s="4609" t="s">
        <v>3991</v>
      </c>
    </row>
    <row r="49" spans="1:7" ht="15">
      <c r="A49" s="4489" t="s">
        <v>3461</v>
      </c>
      <c r="B49" s="4495" t="s">
        <v>3367</v>
      </c>
      <c r="C49" s="2768" t="str">
        <f ca="1">C50&amp;"+"&amp;C51&amp;"V建1"</f>
        <v>16474060+0.0016V建1</v>
      </c>
      <c r="D49" s="302"/>
      <c r="E49" s="302"/>
      <c r="F49" s="2876">
        <f ca="1">F23</f>
        <v>3.1300000000000001E-2</v>
      </c>
      <c r="G49" s="4350" t="str">
        <f>IF('数据-取费表'!B22&lt;=1,"单利计息","复利计息")</f>
        <v>复利计息</v>
      </c>
    </row>
    <row r="50" spans="1:7">
      <c r="A50" s="4487" t="s">
        <v>3304</v>
      </c>
      <c r="B50" s="4496" t="s">
        <v>3371</v>
      </c>
      <c r="C50" s="2887">
        <f ca="1">ROUND(IF('数据-取费表'!B22&lt;=1,(C40+C47)*F49*'数据-取费表'!B22/2,(C40+C47)*(POWER((1+F49),'数据-取费表'!B22/2)-1)),0)</f>
        <v>16474060</v>
      </c>
      <c r="D50" s="1070"/>
      <c r="E50" s="1070"/>
      <c r="F50" s="1053"/>
      <c r="G50" s="4848" t="str">
        <f ca="1">IF(F10=100%,"建设期均匀投入","已建工期均匀投入")</f>
        <v>已建工期均匀投入</v>
      </c>
    </row>
    <row r="51" spans="1:7">
      <c r="A51" s="4487" t="s">
        <v>3305</v>
      </c>
      <c r="B51" s="4493" t="s">
        <v>3310</v>
      </c>
      <c r="C51" s="2888">
        <f ca="1">ROUND(IF('数据-取费表'!B22&lt;=1,F48*F23*'数据-取费表'!B22/2,F48*(POWER((1+F23),'数据-取费表'!B22/2)-1)),4)</f>
        <v>1.6000000000000001E-3</v>
      </c>
      <c r="D51" s="1070"/>
      <c r="E51" s="1070"/>
      <c r="F51" s="1053"/>
      <c r="G51" s="4849"/>
    </row>
    <row r="52" spans="1:7" ht="15">
      <c r="A52" s="4489" t="s">
        <v>3462</v>
      </c>
      <c r="B52" s="3007" t="s">
        <v>3311</v>
      </c>
      <c r="C52" s="2878" t="str">
        <f ca="1">C53&amp;"+"&amp;C54&amp;"V建1"</f>
        <v>73685892+0.007V建1</v>
      </c>
      <c r="D52" s="2879"/>
      <c r="E52" s="2871"/>
      <c r="F52" s="2880">
        <f ca="1">F27</f>
        <v>0.14000000000000001</v>
      </c>
      <c r="G52" s="2881" t="s">
        <v>3463</v>
      </c>
    </row>
    <row r="53" spans="1:7">
      <c r="A53" s="4487" t="s">
        <v>3304</v>
      </c>
      <c r="B53" s="4496" t="s">
        <v>3312</v>
      </c>
      <c r="C53" s="2735">
        <f ca="1">ROUND((C40+C47)*F27,0)</f>
        <v>73685892</v>
      </c>
      <c r="D53" s="2736"/>
      <c r="E53" s="2732"/>
      <c r="F53" s="2733"/>
      <c r="G53" s="2734"/>
    </row>
    <row r="54" spans="1:7">
      <c r="A54" s="4487" t="s">
        <v>3305</v>
      </c>
      <c r="B54" s="4496" t="s">
        <v>3313</v>
      </c>
      <c r="C54" s="2799">
        <f ca="1">ROUND(F48*F27,4)</f>
        <v>7.0000000000000001E-3</v>
      </c>
      <c r="D54" s="2736"/>
      <c r="E54" s="2732"/>
      <c r="F54" s="2733"/>
      <c r="G54" s="2734"/>
    </row>
    <row r="55" spans="1:7" ht="15">
      <c r="A55" s="4490" t="s">
        <v>3464</v>
      </c>
      <c r="B55" s="2746" t="s">
        <v>3465</v>
      </c>
      <c r="C55" s="4351">
        <v>0</v>
      </c>
      <c r="D55" s="2772"/>
      <c r="E55" s="302"/>
      <c r="F55" s="2876"/>
      <c r="G55" s="2883" t="s">
        <v>3316</v>
      </c>
    </row>
    <row r="56" spans="1:7" ht="16.5">
      <c r="A56" s="4490" t="s">
        <v>3469</v>
      </c>
      <c r="B56" s="4490" t="s">
        <v>3466</v>
      </c>
      <c r="C56" s="2768">
        <f ca="1">ROUND((C40+C47+C50+C53)/(1-F48-C51-C54),0)</f>
        <v>654862703</v>
      </c>
      <c r="D56" s="302"/>
      <c r="E56" s="302"/>
      <c r="F56" s="2884"/>
      <c r="G56" s="2883" t="s">
        <v>3317</v>
      </c>
    </row>
    <row r="57" spans="1:7" ht="15">
      <c r="A57" s="4490" t="s">
        <v>3433</v>
      </c>
      <c r="B57" s="4497" t="s">
        <v>3299</v>
      </c>
      <c r="C57" s="2768">
        <f ca="1">ROUND(C56*(1-F57),0)</f>
        <v>0</v>
      </c>
      <c r="D57" s="302"/>
      <c r="E57" s="302"/>
      <c r="F57" s="2884">
        <f>F31</f>
        <v>1</v>
      </c>
      <c r="G57" s="2883" t="s">
        <v>3318</v>
      </c>
    </row>
    <row r="58" spans="1:7" ht="16.5">
      <c r="A58" s="4490" t="s">
        <v>3467</v>
      </c>
      <c r="B58" s="4490" t="s">
        <v>3468</v>
      </c>
      <c r="C58" s="2768">
        <f ca="1">C56-C57</f>
        <v>654862703</v>
      </c>
      <c r="D58" s="302"/>
      <c r="E58" s="302"/>
      <c r="F58" s="2884"/>
      <c r="G58" s="2883" t="s">
        <v>3319</v>
      </c>
    </row>
    <row r="59" spans="1:7" ht="15.75" thickBot="1">
      <c r="A59" s="2882" t="s">
        <v>3370</v>
      </c>
      <c r="B59" s="4498" t="s">
        <v>3315</v>
      </c>
      <c r="C59" s="4354">
        <f ca="1">ROUND(C58*(1+F59),0)</f>
        <v>713800346</v>
      </c>
      <c r="D59" s="4355"/>
      <c r="E59" s="4355"/>
      <c r="F59" s="4356">
        <f>F33</f>
        <v>0.09</v>
      </c>
      <c r="G59" s="4357" t="s">
        <v>3992</v>
      </c>
    </row>
    <row r="60" spans="1:7" ht="14.25">
      <c r="A60" s="2728"/>
      <c r="B60" s="2729"/>
    </row>
    <row r="62" spans="1:7" ht="21" customHeight="1">
      <c r="B62" s="2798" t="s">
        <v>1498</v>
      </c>
      <c r="C62" s="170"/>
    </row>
    <row r="63" spans="1:7" ht="21" customHeight="1">
      <c r="B63" s="3030" t="s">
        <v>787</v>
      </c>
      <c r="C63" s="4425">
        <f ca="1">1-C64</f>
        <v>-4.9999999999998934E-3</v>
      </c>
    </row>
    <row r="64" spans="1:7" ht="21" customHeight="1">
      <c r="B64" s="3030" t="s">
        <v>788</v>
      </c>
      <c r="C64" s="4426">
        <f ca="1">ROUND(C58/C32,3)</f>
        <v>1.0049999999999999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10</v>
      </c>
      <c r="H1" s="741" t="str">
        <f>IF(ISERROR(FIND("住宅",B1)),"非住宅","住宅")</f>
        <v>非住宅</v>
      </c>
    </row>
    <row r="2" spans="1:8" s="99" customFormat="1" ht="18" customHeight="1">
      <c r="A2" s="100" t="s">
        <v>1431</v>
      </c>
      <c r="B2" s="2699">
        <f ca="1">ROUND(IF(D2="——",C52/10000,C52/10000-E2),4)</f>
        <v>77227.233999999997</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8095</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37243641</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16613031</v>
      </c>
      <c r="D8" s="121"/>
      <c r="E8" s="119"/>
      <c r="F8" s="120"/>
      <c r="G8" s="1437"/>
    </row>
    <row r="9" spans="1:8" s="113" customFormat="1" ht="13.5" customHeight="1">
      <c r="A9" s="539" t="s">
        <v>353</v>
      </c>
      <c r="B9" s="123" t="s">
        <v>1447</v>
      </c>
      <c r="C9" s="124">
        <f ca="1">ROUND(D9*E9,0)</f>
        <v>9871245</v>
      </c>
      <c r="D9" s="568">
        <f ca="1">IF(B1="",'数据-汇总表'!E5,IF(INDIRECT("'数据-取费表'!c"&amp;$G$1)="住宅",INDIRECT("'数据-取费表'!k"&amp;$G$1),0))</f>
        <v>61695.28</v>
      </c>
      <c r="E9" s="124">
        <f>'数据-取费表'!B27</f>
        <v>160</v>
      </c>
      <c r="F9" s="120"/>
      <c r="G9" s="125"/>
    </row>
    <row r="10" spans="1:8" s="113" customFormat="1" ht="13.5" customHeight="1">
      <c r="A10" s="539" t="s">
        <v>354</v>
      </c>
      <c r="B10" s="123" t="s">
        <v>1449</v>
      </c>
      <c r="C10" s="124">
        <f ca="1">ROUND(D10*E10,0)</f>
        <v>6741786</v>
      </c>
      <c r="D10" s="568">
        <f ca="1">IF(B1="",'数据-汇总表'!E6,IF(INDIRECT("'数据-取费表'!c"&amp;$G$1)="住宅",INDIRECT("'数据-取费表'!s"&amp;$G$1),INDIRECT("'数据-取费表'!k"&amp;$G$1)+INDIRECT("'数据-取费表'!s"&amp;$G$1)))</f>
        <v>33708.930000000008</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12402547</v>
      </c>
      <c r="D19" s="572">
        <f ca="1">D9+D10</f>
        <v>95404.21</v>
      </c>
      <c r="E19" s="110">
        <f>'数据-取费表'!B31</f>
        <v>130</v>
      </c>
      <c r="F19" s="130"/>
      <c r="G19" s="1437"/>
    </row>
    <row r="20" spans="1:7" s="113" customFormat="1" ht="13.5" customHeight="1">
      <c r="A20" s="154" t="s">
        <v>1510</v>
      </c>
      <c r="B20" s="109" t="s">
        <v>1511</v>
      </c>
      <c r="C20" s="131">
        <f ca="1">ROUND((C5+C19)*F20,0)</f>
        <v>992924</v>
      </c>
      <c r="D20" s="131"/>
      <c r="E20" s="131"/>
      <c r="F20" s="132">
        <f>'数据-取费表'!B38</f>
        <v>0.02</v>
      </c>
      <c r="G20" s="133" t="s">
        <v>1512</v>
      </c>
    </row>
    <row r="21" spans="1:7" s="113" customFormat="1" ht="13.5" customHeight="1">
      <c r="A21" s="154" t="s">
        <v>1513</v>
      </c>
      <c r="B21" s="109" t="s">
        <v>1514</v>
      </c>
      <c r="C21" s="134">
        <f>F21</f>
        <v>0.05</v>
      </c>
      <c r="D21" s="135" t="s">
        <v>1515</v>
      </c>
      <c r="E21" s="131"/>
      <c r="F21" s="132">
        <f>'数据-取费表'!B39</f>
        <v>0.05</v>
      </c>
      <c r="G21" s="133" t="s">
        <v>1516</v>
      </c>
    </row>
    <row r="22" spans="1:7" s="113" customFormat="1" ht="13.5" customHeight="1">
      <c r="A22" s="154" t="s">
        <v>1517</v>
      </c>
      <c r="B22" s="109" t="s">
        <v>1518</v>
      </c>
      <c r="C22" s="796">
        <f ca="1">ROUND(SUM(C23:C25),0)</f>
        <v>3187568</v>
      </c>
      <c r="D22" s="134">
        <f ca="1">C26</f>
        <v>1.6000000000000001E-3</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2367939</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788550</v>
      </c>
      <c r="D24" s="137"/>
      <c r="E24" s="137"/>
      <c r="F24" s="138"/>
      <c r="G24" s="139" t="s">
        <v>1522</v>
      </c>
    </row>
    <row r="25" spans="1:7" s="113" customFormat="1" ht="24">
      <c r="A25" s="540" t="s">
        <v>1445</v>
      </c>
      <c r="B25" s="114" t="s">
        <v>1523</v>
      </c>
      <c r="C25" s="797">
        <f ca="1">ROUND(IF('数据-取费表'!B22&lt;=1,C20*F22*'数据-取费表'!B22/2,C20*(POWER((1+F22),'数据-取费表'!B22/2)-1)),0)</f>
        <v>31079</v>
      </c>
      <c r="D25" s="137"/>
      <c r="E25" s="140"/>
      <c r="F25" s="138"/>
      <c r="G25" s="141" t="s">
        <v>1524</v>
      </c>
    </row>
    <row r="26" spans="1:7" s="113" customFormat="1">
      <c r="A26" s="540" t="s">
        <v>348</v>
      </c>
      <c r="B26" s="114" t="s">
        <v>1454</v>
      </c>
      <c r="C26" s="137">
        <f ca="1">ROUND(IF('数据-取费表'!B22&lt;=1,F21*F22*'数据-取费表'!B22/2,F21*(POWER((1+F22),'数据-取费表'!B22/2)-1)),4)</f>
        <v>1.6000000000000001E-3</v>
      </c>
      <c r="D26" s="137"/>
      <c r="E26" s="140"/>
      <c r="F26" s="138"/>
      <c r="G26" s="142"/>
    </row>
    <row r="27" spans="1:7" s="113" customFormat="1" ht="24.75">
      <c r="A27" s="154" t="s">
        <v>1455</v>
      </c>
      <c r="B27" s="143" t="s">
        <v>1456</v>
      </c>
      <c r="C27" s="144">
        <f ca="1">C28</f>
        <v>7089476</v>
      </c>
      <c r="D27" s="134">
        <f ca="1">C29</f>
        <v>7.0000000000000001E-3</v>
      </c>
      <c r="E27" s="135" t="s">
        <v>1457</v>
      </c>
      <c r="F27" s="145">
        <f ca="1">IF(B1="",'数据-取费表'!Q16,INDIRECT("'数据-取费表'!q"&amp;$G$1))</f>
        <v>0.14000000000000001</v>
      </c>
      <c r="G27" s="146" t="s">
        <v>1458</v>
      </c>
    </row>
    <row r="28" spans="1:7" s="113" customFormat="1" ht="13.5" customHeight="1">
      <c r="A28" s="540" t="s">
        <v>344</v>
      </c>
      <c r="B28" s="147" t="s">
        <v>1459</v>
      </c>
      <c r="C28" s="148">
        <f ca="1">ROUND((C5+C19+C20)*F27,0)</f>
        <v>7089476</v>
      </c>
      <c r="D28" s="134"/>
      <c r="E28" s="135"/>
      <c r="F28" s="145"/>
      <c r="G28" s="146"/>
    </row>
    <row r="29" spans="1:7" s="113" customFormat="1" ht="13.5" customHeight="1">
      <c r="A29" s="540" t="s">
        <v>345</v>
      </c>
      <c r="B29" s="147" t="s">
        <v>1460</v>
      </c>
      <c r="C29" s="137">
        <f ca="1">ROUND(C21*F27,4)</f>
        <v>7.0000000000000001E-3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64749315</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557146712</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477784856</v>
      </c>
      <c r="D34" s="116"/>
      <c r="E34" s="119"/>
      <c r="F34" s="156"/>
      <c r="G34" s="118"/>
    </row>
    <row r="35" spans="1:7" ht="13.5" customHeight="1">
      <c r="A35" s="540" t="s">
        <v>349</v>
      </c>
      <c r="B35" s="114" t="s">
        <v>1468</v>
      </c>
      <c r="C35" s="119">
        <f ca="1">ROUND(C34*F35,0)</f>
        <v>19111394</v>
      </c>
      <c r="D35" s="119"/>
      <c r="E35" s="119"/>
      <c r="F35" s="158">
        <f>'数据-取费表'!B33</f>
        <v>0.04</v>
      </c>
      <c r="G35" s="118" t="s">
        <v>1469</v>
      </c>
    </row>
    <row r="36" spans="1:7" ht="24">
      <c r="A36" s="540" t="s">
        <v>350</v>
      </c>
      <c r="B36" s="114" t="s">
        <v>1470</v>
      </c>
      <c r="C36" s="119">
        <f ca="1">ROUND(IF(B1="",SUM('数据-取费表'!AP6:AP13)*F36,IF(INDIRECT("'数据-取费表'!c"&amp;$G$1)="住宅",INDIRECT("'数据-取费表'!k"&amp;$G$1)*INDIRECT("'数据-取费表'!l"&amp;$G$1)*F36,0)),0)</f>
        <v>16349249</v>
      </c>
      <c r="D36" s="119"/>
      <c r="E36" s="119"/>
      <c r="F36" s="158">
        <f>'数据-取费表'!B34</f>
        <v>0.05</v>
      </c>
      <c r="G36" s="159" t="s">
        <v>1471</v>
      </c>
    </row>
    <row r="37" spans="1:7" s="157" customFormat="1" ht="13.5" customHeight="1">
      <c r="A37" s="540" t="s">
        <v>351</v>
      </c>
      <c r="B37" s="114" t="s">
        <v>1472</v>
      </c>
      <c r="C37" s="148">
        <f ca="1">ROUND(E37*D37,0)</f>
        <v>34345516</v>
      </c>
      <c r="D37" s="116">
        <f ca="1">D19</f>
        <v>95404.21</v>
      </c>
      <c r="E37" s="148">
        <f>'数据-取费表'!B35</f>
        <v>360</v>
      </c>
      <c r="F37" s="158"/>
      <c r="G37" s="160"/>
    </row>
    <row r="38" spans="1:7" ht="13.5" customHeight="1">
      <c r="A38" s="540" t="s">
        <v>352</v>
      </c>
      <c r="B38" s="114" t="s">
        <v>1473</v>
      </c>
      <c r="C38" s="119">
        <f ca="1">ROUND(C34*F38,0)</f>
        <v>9555697</v>
      </c>
      <c r="D38" s="119"/>
      <c r="E38" s="119"/>
      <c r="F38" s="158">
        <f>'数据-取费表'!B36</f>
        <v>0.02</v>
      </c>
      <c r="G38" s="118" t="s">
        <v>1469</v>
      </c>
    </row>
    <row r="39" spans="1:7" s="113" customFormat="1" ht="13.5" customHeight="1">
      <c r="A39" s="154" t="s">
        <v>1474</v>
      </c>
      <c r="B39" s="109" t="s">
        <v>1475</v>
      </c>
      <c r="C39" s="131">
        <f ca="1">ROUND(C33*F20,0)</f>
        <v>11142934</v>
      </c>
      <c r="D39" s="131"/>
      <c r="E39" s="131"/>
      <c r="F39" s="132">
        <f>F20</f>
        <v>0.02</v>
      </c>
      <c r="G39" s="133" t="s">
        <v>1476</v>
      </c>
    </row>
    <row r="40" spans="1:7" s="113" customFormat="1" ht="13.5" customHeight="1">
      <c r="A40" s="154" t="s">
        <v>1477</v>
      </c>
      <c r="B40" s="109" t="s">
        <v>1478</v>
      </c>
      <c r="C40" s="939">
        <f>F21</f>
        <v>0.05</v>
      </c>
      <c r="D40" s="135" t="s">
        <v>1479</v>
      </c>
      <c r="E40" s="131"/>
      <c r="F40" s="132">
        <f>F21</f>
        <v>0.05</v>
      </c>
      <c r="G40" s="133" t="s">
        <v>1480</v>
      </c>
    </row>
    <row r="41" spans="1:7" s="113" customFormat="1" ht="13.5" customHeight="1">
      <c r="A41" s="154" t="s">
        <v>1481</v>
      </c>
      <c r="B41" s="109" t="s">
        <v>1482</v>
      </c>
      <c r="C41" s="131">
        <f ca="1">ROUND(SUM(C42:C43),0)</f>
        <v>17787466</v>
      </c>
      <c r="D41" s="134">
        <f ca="1">C44</f>
        <v>1.6000000000000001E-3</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17438692</v>
      </c>
      <c r="D42" s="137"/>
      <c r="E42" s="137"/>
      <c r="F42" s="138"/>
      <c r="G42" s="4848" t="s">
        <v>1527</v>
      </c>
    </row>
    <row r="43" spans="1:7" ht="13.5" customHeight="1">
      <c r="A43" s="540" t="s">
        <v>345</v>
      </c>
      <c r="B43" s="114" t="s">
        <v>1484</v>
      </c>
      <c r="C43" s="137">
        <f ca="1">ROUND(IF('数据-取费表'!B22&lt;=1,C39*F22*'数据-取费表'!B20/2,C39*(POWER((1+F22),'数据-取费表'!B20/2)-1)),0)</f>
        <v>348774</v>
      </c>
      <c r="D43" s="137"/>
      <c r="E43" s="137"/>
      <c r="F43" s="138"/>
      <c r="G43" s="4850"/>
    </row>
    <row r="44" spans="1:7" ht="13.5" customHeight="1">
      <c r="A44" s="540" t="s">
        <v>346</v>
      </c>
      <c r="B44" s="114" t="s">
        <v>1485</v>
      </c>
      <c r="C44" s="137">
        <f ca="1">ROUND(IF('数据-取费表'!B22&lt;=1,C40*F22*'数据-取费表'!B20/2,C40*(POWER((1+F22),'数据-取费表'!B20/2)-1)),4)</f>
        <v>1.6000000000000001E-3</v>
      </c>
      <c r="D44" s="137"/>
      <c r="E44" s="137"/>
      <c r="F44" s="138"/>
      <c r="G44" s="4849"/>
    </row>
    <row r="45" spans="1:7" s="113" customFormat="1" ht="13.5" customHeight="1">
      <c r="A45" s="154" t="s">
        <v>1486</v>
      </c>
      <c r="B45" s="143" t="s">
        <v>1456</v>
      </c>
      <c r="C45" s="144">
        <f ca="1">C46</f>
        <v>79560550</v>
      </c>
      <c r="D45" s="134">
        <f ca="1">C47</f>
        <v>7.0000000000000001E-3</v>
      </c>
      <c r="E45" s="135" t="s">
        <v>1479</v>
      </c>
      <c r="F45" s="145">
        <f ca="1">F27</f>
        <v>0.14000000000000001</v>
      </c>
      <c r="G45" s="146" t="s">
        <v>1487</v>
      </c>
    </row>
    <row r="46" spans="1:7" s="113" customFormat="1" ht="13.5" customHeight="1">
      <c r="A46" s="540" t="s">
        <v>344</v>
      </c>
      <c r="B46" s="147" t="s">
        <v>1488</v>
      </c>
      <c r="C46" s="148">
        <f ca="1">ROUND((C33+C39)*F27,0)</f>
        <v>79560550</v>
      </c>
      <c r="D46" s="162"/>
      <c r="E46" s="135"/>
      <c r="F46" s="145"/>
      <c r="G46" s="146"/>
    </row>
    <row r="47" spans="1:7" s="113" customFormat="1" ht="13.5" customHeight="1">
      <c r="A47" s="540" t="s">
        <v>345</v>
      </c>
      <c r="B47" s="147" t="s">
        <v>1489</v>
      </c>
      <c r="C47" s="137">
        <f ca="1">ROUND(C40*F27,4)</f>
        <v>7.0000000000000001E-3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707523025</v>
      </c>
      <c r="D49" s="131"/>
      <c r="E49" s="131"/>
      <c r="F49" s="163"/>
      <c r="G49" s="133" t="s">
        <v>1492</v>
      </c>
    </row>
    <row r="50" spans="1:7" s="157" customFormat="1">
      <c r="A50" s="154" t="s">
        <v>1493</v>
      </c>
      <c r="B50" s="109" t="s">
        <v>1494</v>
      </c>
      <c r="C50" s="131"/>
      <c r="D50" s="131"/>
      <c r="E50" s="131"/>
      <c r="F50" s="163">
        <f>IF('数据-取费表'!B24=0,'数据-取费表'!N16,1)</f>
        <v>1</v>
      </c>
      <c r="G50" s="146"/>
    </row>
    <row r="51" spans="1:7" ht="16.5" customHeight="1">
      <c r="A51" s="154" t="s">
        <v>1495</v>
      </c>
      <c r="B51" s="109" t="s">
        <v>1529</v>
      </c>
      <c r="C51" s="131">
        <f ca="1">ROUND(C49*F50,0)</f>
        <v>707523025</v>
      </c>
      <c r="D51" s="131"/>
      <c r="E51" s="131"/>
      <c r="F51" s="163"/>
      <c r="G51" s="133" t="s">
        <v>1496</v>
      </c>
    </row>
    <row r="52" spans="1:7" s="107" customFormat="1" ht="16.5" thickBot="1">
      <c r="A52" s="164" t="s">
        <v>1497</v>
      </c>
      <c r="B52" s="165"/>
      <c r="C52" s="166">
        <f ca="1">C31+C51</f>
        <v>772272340</v>
      </c>
      <c r="D52" s="165"/>
      <c r="E52" s="165"/>
      <c r="F52" s="165"/>
      <c r="G52" s="167"/>
    </row>
    <row r="55" spans="1:7" ht="15">
      <c r="B55" s="169" t="s">
        <v>1498</v>
      </c>
      <c r="C55" s="170"/>
    </row>
    <row r="56" spans="1:7">
      <c r="B56" s="172" t="s">
        <v>787</v>
      </c>
      <c r="C56" s="174">
        <f ca="1">1-C57</f>
        <v>8.3999999999999964E-2</v>
      </c>
    </row>
    <row r="57" spans="1:7">
      <c r="B57" s="172" t="s">
        <v>788</v>
      </c>
      <c r="C57" s="173">
        <f ca="1">ROUND(C51/C52,3)</f>
        <v>0.91600000000000004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4" zoomScaleNormal="60" zoomScaleSheetLayoutView="100" workbookViewId="0">
      <selection activeCell="E58" sqref="E58"/>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f>F67</f>
        <v>139467</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f>ROUND(IF(D3="",B2*10000/'数据-汇总表'!E3,B2*10000/D3),0)</f>
        <v>14619</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f>IF(B48="单位面积地价",C50,ROUND(B2*10000/'数据-汇总表'!D3,0))</f>
        <v>49126</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f>ROUND(B2/('数据-汇总表'!D3/666.67),0)</f>
        <v>3275</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870" t="s">
        <v>1677</v>
      </c>
      <c r="D6" s="4871"/>
      <c r="E6" s="4872" t="s">
        <v>1678</v>
      </c>
      <c r="F6" s="4873"/>
      <c r="G6" s="4870" t="s">
        <v>1679</v>
      </c>
      <c r="H6" s="4871"/>
      <c r="I6" s="4870" t="s">
        <v>1680</v>
      </c>
      <c r="J6" s="4871"/>
      <c r="K6" s="3105" t="s">
        <v>1681</v>
      </c>
      <c r="L6" s="2146"/>
      <c r="M6" s="2147"/>
      <c r="N6" s="2147"/>
      <c r="O6" s="2147"/>
      <c r="P6" s="4874" t="s">
        <v>1682</v>
      </c>
      <c r="Q6" s="4875"/>
      <c r="R6" s="4856" t="s">
        <v>1678</v>
      </c>
      <c r="S6" s="4857"/>
      <c r="T6" s="4856" t="s">
        <v>1679</v>
      </c>
      <c r="U6" s="4857"/>
      <c r="V6" s="4882" t="s">
        <v>1680</v>
      </c>
      <c r="W6" s="4882"/>
      <c r="X6" s="963"/>
      <c r="Y6" s="4885" t="s">
        <v>1682</v>
      </c>
      <c r="Z6" s="4886"/>
      <c r="AA6" s="4851" t="s">
        <v>1678</v>
      </c>
      <c r="AB6" s="4852" t="s">
        <v>1679</v>
      </c>
      <c r="AC6" s="4851" t="s">
        <v>1680</v>
      </c>
    </row>
    <row r="7" spans="1:30" ht="15">
      <c r="A7" s="244"/>
      <c r="B7" s="245"/>
      <c r="C7" s="4862" t="s">
        <v>1580</v>
      </c>
      <c r="D7" s="4863"/>
      <c r="E7" s="4860" t="str">
        <f>土地案例!A8</f>
        <v>北京市大兴区大兴新城西片区一期A、B组团土地一级开发项目DX00-0406-0003、DX00-0406-0011地块R2二类居住用地、DX00-0404-0033地块B4综合性商业金融服务业用地、D</v>
      </c>
      <c r="F7" s="4861"/>
      <c r="G7" s="4862" t="str">
        <f>土地案例!A14</f>
        <v>北京市大兴区大兴新城西片区一期A 组团土地一级开发项目DX00-0407-0007 地块R2二类居住用地</v>
      </c>
      <c r="H7" s="4863"/>
      <c r="I7" s="4862" t="str">
        <f>土地案例!A18</f>
        <v>北京市大兴区大兴新城西片区一期A组团土地一级开发项目DX00-0407-0002地块R2二类居住用地</v>
      </c>
      <c r="J7" s="4863"/>
      <c r="K7" s="3105"/>
      <c r="L7" s="2146"/>
      <c r="M7" s="2147"/>
      <c r="N7" s="2147"/>
      <c r="O7" s="2147"/>
      <c r="P7" s="4876"/>
      <c r="Q7" s="4877"/>
      <c r="R7" s="4858"/>
      <c r="S7" s="4859"/>
      <c r="T7" s="4858"/>
      <c r="U7" s="4859"/>
      <c r="V7" s="4882"/>
      <c r="W7" s="4882"/>
      <c r="X7" s="963"/>
      <c r="Y7" s="4887"/>
      <c r="Z7" s="4888"/>
      <c r="AA7" s="4852"/>
      <c r="AB7" s="4852"/>
      <c r="AC7" s="4852"/>
    </row>
    <row r="8" spans="1:30" ht="15.75" thickBot="1">
      <c r="A8" s="246"/>
      <c r="B8" s="247"/>
      <c r="C8" s="4864" t="s">
        <v>1584</v>
      </c>
      <c r="D8" s="4865"/>
      <c r="E8" s="4866" t="s">
        <v>1584</v>
      </c>
      <c r="F8" s="4867"/>
      <c r="G8" s="4864" t="s">
        <v>1584</v>
      </c>
      <c r="H8" s="4865"/>
      <c r="I8" s="4864" t="s">
        <v>1584</v>
      </c>
      <c r="J8" s="4865"/>
      <c r="K8" s="3105" t="s">
        <v>1585</v>
      </c>
      <c r="L8" s="2146"/>
      <c r="M8" s="2147"/>
      <c r="N8" s="2147"/>
      <c r="O8" s="2147"/>
      <c r="P8" s="4878"/>
      <c r="Q8" s="4879"/>
      <c r="R8" s="4858"/>
      <c r="S8" s="4859"/>
      <c r="T8" s="4880"/>
      <c r="U8" s="4881"/>
      <c r="V8" s="4882"/>
      <c r="W8" s="4882"/>
      <c r="X8" s="963"/>
      <c r="Y8" s="4889"/>
      <c r="Z8" s="4890"/>
      <c r="AA8" s="4853"/>
      <c r="AB8" s="4853"/>
      <c r="AC8" s="4853"/>
    </row>
    <row r="9" spans="1:30" s="49" customFormat="1" ht="15.75" thickBot="1">
      <c r="A9" s="3338" t="s">
        <v>1586</v>
      </c>
      <c r="B9" s="3339"/>
      <c r="C9" s="3052">
        <f>'数据-取费表'!B2</f>
        <v>46087</v>
      </c>
      <c r="D9" s="3128">
        <v>100</v>
      </c>
      <c r="E9" s="3082">
        <f>土地案例!J8</f>
        <v>45476</v>
      </c>
      <c r="F9" s="4024">
        <f>SUMIF(71:71,YEAR(E9)&amp;"-"&amp;INT((MONTH(E9)+2)/3),72:72)</f>
        <v>102.01</v>
      </c>
      <c r="G9" s="3369">
        <f>土地案例!J14</f>
        <v>45253</v>
      </c>
      <c r="H9" s="4036">
        <f>SUMIF(71:71,YEAR(G9)&amp;"-"&amp;INT((MONTH(G9)+2)/3),72:72)</f>
        <v>104.4</v>
      </c>
      <c r="I9" s="3369">
        <f>土地案例!J18</f>
        <v>45097</v>
      </c>
      <c r="J9" s="4036">
        <f>SUMIF(71:71,YEAR(I9)&amp;"-"&amp;INT((MONTH(I9)+2)/3),72:72)</f>
        <v>103.83</v>
      </c>
      <c r="K9" s="3373"/>
      <c r="L9" s="2148"/>
      <c r="M9" s="2149"/>
      <c r="N9" s="2149"/>
      <c r="O9" s="2149"/>
      <c r="P9" s="4883" t="s">
        <v>1587</v>
      </c>
      <c r="Q9" s="4891"/>
      <c r="R9" s="4074" t="s">
        <v>13</v>
      </c>
      <c r="S9" s="4077">
        <f t="shared" ref="S9:S17" si="0">F9</f>
        <v>102.01</v>
      </c>
      <c r="T9" s="4074" t="s">
        <v>13</v>
      </c>
      <c r="U9" s="4077">
        <f t="shared" ref="U9:U17" si="1">H9</f>
        <v>104.4</v>
      </c>
      <c r="V9" s="4074" t="s">
        <v>13</v>
      </c>
      <c r="W9" s="4077">
        <f t="shared" ref="W9:W17" si="2">J9</f>
        <v>103.83</v>
      </c>
      <c r="X9" s="504"/>
      <c r="Y9" s="4854" t="s">
        <v>1587</v>
      </c>
      <c r="Z9" s="4855"/>
      <c r="AA9" s="505">
        <f>D9/F9</f>
        <v>0.98029604940692083</v>
      </c>
      <c r="AB9" s="505">
        <f>D9/H9</f>
        <v>0.95785440613026818</v>
      </c>
      <c r="AC9" s="505">
        <f>D9/J9</f>
        <v>0.96311278050659732</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883" t="s">
        <v>1590</v>
      </c>
      <c r="Q10" s="4884"/>
      <c r="R10" s="4074" t="s">
        <v>13</v>
      </c>
      <c r="S10" s="4077">
        <f t="shared" si="0"/>
        <v>100</v>
      </c>
      <c r="T10" s="4074" t="s">
        <v>13</v>
      </c>
      <c r="U10" s="4077">
        <f t="shared" si="1"/>
        <v>100</v>
      </c>
      <c r="V10" s="4074" t="s">
        <v>13</v>
      </c>
      <c r="W10" s="4077">
        <f t="shared" si="2"/>
        <v>100</v>
      </c>
      <c r="X10" s="504"/>
      <c r="Y10" s="4854" t="s">
        <v>1590</v>
      </c>
      <c r="Z10" s="4855"/>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68" t="s">
        <v>1593</v>
      </c>
      <c r="Q11" s="3274" t="str">
        <f t="shared" ref="Q11:Q17" si="6">B11</f>
        <v>用途</v>
      </c>
      <c r="R11" s="4074" t="s">
        <v>13</v>
      </c>
      <c r="S11" s="4077">
        <f t="shared" si="0"/>
        <v>100</v>
      </c>
      <c r="T11" s="4074" t="s">
        <v>13</v>
      </c>
      <c r="U11" s="4077">
        <f t="shared" si="1"/>
        <v>100</v>
      </c>
      <c r="V11" s="4074" t="s">
        <v>13</v>
      </c>
      <c r="W11" s="4077">
        <f t="shared" si="2"/>
        <v>100</v>
      </c>
      <c r="X11" s="504"/>
      <c r="Y11" s="4869"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f>ROUND(100/'数据-取费表'!G16,1)</f>
        <v>100.4</v>
      </c>
      <c r="G12" s="3114"/>
      <c r="H12" s="4038">
        <f>ROUND(100/'数据-取费表'!G16,1)</f>
        <v>100.4</v>
      </c>
      <c r="I12" s="3114"/>
      <c r="J12" s="4038">
        <f>ROUND(100/'数据-取费表'!G16,1)</f>
        <v>100.4</v>
      </c>
      <c r="K12" s="3374"/>
      <c r="L12" s="2150"/>
      <c r="M12" s="2151"/>
      <c r="N12" s="2151"/>
      <c r="O12" s="2204"/>
      <c r="P12" s="4868"/>
      <c r="Q12" s="3274" t="str">
        <f t="shared" si="6"/>
        <v>土地使用年限（年）</v>
      </c>
      <c r="R12" s="4074" t="s">
        <v>13</v>
      </c>
      <c r="S12" s="4077">
        <f t="shared" si="0"/>
        <v>100.4</v>
      </c>
      <c r="T12" s="4074" t="s">
        <v>13</v>
      </c>
      <c r="U12" s="4077">
        <f t="shared" si="1"/>
        <v>100.4</v>
      </c>
      <c r="V12" s="4074" t="s">
        <v>13</v>
      </c>
      <c r="W12" s="4077">
        <f t="shared" si="2"/>
        <v>100.4</v>
      </c>
      <c r="X12" s="504"/>
      <c r="Y12" s="4869"/>
      <c r="Z12" s="28" t="str">
        <f t="shared" si="7"/>
        <v>土地使用年限（年）</v>
      </c>
      <c r="AA12" s="505">
        <f t="shared" si="3"/>
        <v>0.99601593625497997</v>
      </c>
      <c r="AB12" s="505">
        <f t="shared" si="4"/>
        <v>0.99601593625497997</v>
      </c>
      <c r="AC12" s="505">
        <f t="shared" si="5"/>
        <v>0.99601593625497997</v>
      </c>
    </row>
    <row r="13" spans="1:30" ht="15">
      <c r="A13" s="3342"/>
      <c r="B13" s="3276" t="s">
        <v>1596</v>
      </c>
      <c r="C13" s="3056">
        <f>'数据-汇总表'!I7</f>
        <v>2.37</v>
      </c>
      <c r="D13" s="3130">
        <v>100</v>
      </c>
      <c r="E13" s="3056">
        <v>1.6</v>
      </c>
      <c r="F13" s="4038">
        <f>LOOKUP(E13,81:81,82:82)-LOOKUP(C13,81:81,82:82)+100</f>
        <v>103</v>
      </c>
      <c r="G13" s="3085">
        <v>1.6</v>
      </c>
      <c r="H13" s="4038">
        <f>LOOKUP(G13,81:81,82:82)-LOOKUP(C13,81:81,82:82)+100</f>
        <v>103</v>
      </c>
      <c r="I13" s="3056">
        <v>1.6</v>
      </c>
      <c r="J13" s="4038">
        <f>LOOKUP(I13,81:81,82:82)-LOOKUP(C13,81:81,82:82)+100</f>
        <v>103</v>
      </c>
      <c r="K13" s="3398">
        <v>3</v>
      </c>
      <c r="L13" s="2152"/>
      <c r="M13" s="2147"/>
      <c r="N13" s="2147"/>
      <c r="O13" s="2205"/>
      <c r="P13" s="4868"/>
      <c r="Q13" s="3274" t="str">
        <f t="shared" si="6"/>
        <v>容积率</v>
      </c>
      <c r="R13" s="4074" t="s">
        <v>13</v>
      </c>
      <c r="S13" s="4077">
        <f t="shared" si="0"/>
        <v>103</v>
      </c>
      <c r="T13" s="4074" t="s">
        <v>13</v>
      </c>
      <c r="U13" s="4077">
        <f t="shared" si="1"/>
        <v>103</v>
      </c>
      <c r="V13" s="4074" t="s">
        <v>13</v>
      </c>
      <c r="W13" s="4077">
        <f t="shared" si="2"/>
        <v>103</v>
      </c>
      <c r="X13" s="504"/>
      <c r="Y13" s="4869"/>
      <c r="Z13" s="28" t="str">
        <f t="shared" si="7"/>
        <v>容积率</v>
      </c>
      <c r="AA13" s="505">
        <f t="shared" si="3"/>
        <v>0.970873786407767</v>
      </c>
      <c r="AB13" s="505">
        <f t="shared" si="4"/>
        <v>0.970873786407767</v>
      </c>
      <c r="AC13" s="505">
        <f t="shared" si="5"/>
        <v>0.970873786407767</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68"/>
      <c r="Q14" s="3274" t="str">
        <f t="shared" si="6"/>
        <v>配建</v>
      </c>
      <c r="R14" s="4074" t="s">
        <v>13</v>
      </c>
      <c r="S14" s="4077">
        <f t="shared" si="0"/>
        <v>100</v>
      </c>
      <c r="T14" s="4074" t="s">
        <v>13</v>
      </c>
      <c r="U14" s="4077">
        <f t="shared" si="1"/>
        <v>100</v>
      </c>
      <c r="V14" s="4074" t="s">
        <v>13</v>
      </c>
      <c r="W14" s="4077">
        <f t="shared" si="2"/>
        <v>100</v>
      </c>
      <c r="X14" s="504"/>
      <c r="Y14" s="4869"/>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68"/>
      <c r="Q15" s="3274">
        <f t="shared" si="6"/>
        <v>111</v>
      </c>
      <c r="R15" s="4074" t="s">
        <v>13</v>
      </c>
      <c r="S15" s="4077">
        <f t="shared" si="0"/>
        <v>100</v>
      </c>
      <c r="T15" s="4074" t="s">
        <v>13</v>
      </c>
      <c r="U15" s="4077">
        <f t="shared" si="1"/>
        <v>100</v>
      </c>
      <c r="V15" s="4074" t="s">
        <v>13</v>
      </c>
      <c r="W15" s="4077">
        <f t="shared" si="2"/>
        <v>100</v>
      </c>
      <c r="X15" s="504"/>
      <c r="Y15" s="4869"/>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68"/>
      <c r="Q16" s="3274">
        <f t="shared" si="6"/>
        <v>111</v>
      </c>
      <c r="R16" s="4074" t="s">
        <v>13</v>
      </c>
      <c r="S16" s="4077">
        <f t="shared" si="0"/>
        <v>100</v>
      </c>
      <c r="T16" s="4074" t="s">
        <v>13</v>
      </c>
      <c r="U16" s="4077">
        <f t="shared" si="1"/>
        <v>100</v>
      </c>
      <c r="V16" s="4074" t="s">
        <v>13</v>
      </c>
      <c r="W16" s="4077">
        <f t="shared" si="2"/>
        <v>100</v>
      </c>
      <c r="X16" s="504"/>
      <c r="Y16" s="4869"/>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892" t="s">
        <v>1598</v>
      </c>
      <c r="Q17" s="3277" t="str">
        <f t="shared" si="6"/>
        <v>居住社区成熟度</v>
      </c>
      <c r="R17" s="4075" t="s">
        <v>13</v>
      </c>
      <c r="S17" s="4078">
        <f t="shared" si="0"/>
        <v>100</v>
      </c>
      <c r="T17" s="4075" t="s">
        <v>13</v>
      </c>
      <c r="U17" s="4078">
        <f t="shared" si="1"/>
        <v>100</v>
      </c>
      <c r="V17" s="4075" t="s">
        <v>13</v>
      </c>
      <c r="W17" s="4078">
        <f t="shared" si="2"/>
        <v>100</v>
      </c>
      <c r="X17" s="963"/>
      <c r="Y17" s="4894" t="s">
        <v>1598</v>
      </c>
      <c r="Z17" s="964" t="str">
        <f t="shared" si="7"/>
        <v>居住社区成熟度</v>
      </c>
      <c r="AA17" s="961">
        <f t="shared" si="3"/>
        <v>1</v>
      </c>
      <c r="AB17" s="961">
        <f t="shared" si="4"/>
        <v>1</v>
      </c>
      <c r="AC17" s="961">
        <f t="shared" si="5"/>
        <v>1</v>
      </c>
    </row>
    <row r="18" spans="1:29" ht="15">
      <c r="A18" s="3342"/>
      <c r="B18" s="3037"/>
      <c r="C18" s="3061" t="s">
        <v>3610</v>
      </c>
      <c r="D18" s="3135"/>
      <c r="E18" s="3090" t="s">
        <v>3610</v>
      </c>
      <c r="F18" s="4029"/>
      <c r="G18" s="3090" t="s">
        <v>3610</v>
      </c>
      <c r="H18" s="4030"/>
      <c r="I18" s="3096" t="s">
        <v>3610</v>
      </c>
      <c r="J18" s="4029"/>
      <c r="K18" s="3399"/>
      <c r="L18" s="2153"/>
      <c r="M18" s="2147"/>
      <c r="N18" s="2147"/>
      <c r="O18" s="2205"/>
      <c r="P18" s="4893"/>
      <c r="Q18" s="3277"/>
      <c r="R18" s="4075"/>
      <c r="S18" s="4078"/>
      <c r="T18" s="4075"/>
      <c r="U18" s="4078"/>
      <c r="V18" s="4075"/>
      <c r="W18" s="4078"/>
      <c r="X18" s="963"/>
      <c r="Y18" s="4895"/>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893"/>
      <c r="Q19" s="3277" t="str">
        <f>B19</f>
        <v>商业繁华度</v>
      </c>
      <c r="R19" s="4075" t="s">
        <v>13</v>
      </c>
      <c r="S19" s="4078">
        <f>F19</f>
        <v>100</v>
      </c>
      <c r="T19" s="4075" t="s">
        <v>13</v>
      </c>
      <c r="U19" s="4078">
        <f>H19</f>
        <v>100</v>
      </c>
      <c r="V19" s="4075" t="s">
        <v>13</v>
      </c>
      <c r="W19" s="4078">
        <f>J19</f>
        <v>100</v>
      </c>
      <c r="X19" s="963"/>
      <c r="Y19" s="4895"/>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893"/>
      <c r="Q20" s="3277"/>
      <c r="R20" s="4075"/>
      <c r="S20" s="4078"/>
      <c r="T20" s="4075"/>
      <c r="U20" s="4078"/>
      <c r="V20" s="4075"/>
      <c r="W20" s="4078"/>
      <c r="X20" s="963"/>
      <c r="Y20" s="4895"/>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893"/>
      <c r="Q21" s="3277" t="str">
        <f>B21</f>
        <v>办公集聚程度</v>
      </c>
      <c r="R21" s="4075" t="s">
        <v>13</v>
      </c>
      <c r="S21" s="4078">
        <f>F21</f>
        <v>100</v>
      </c>
      <c r="T21" s="4075" t="s">
        <v>13</v>
      </c>
      <c r="U21" s="4078">
        <f>H21</f>
        <v>100</v>
      </c>
      <c r="V21" s="4075" t="s">
        <v>13</v>
      </c>
      <c r="W21" s="4078">
        <f>J21</f>
        <v>100</v>
      </c>
      <c r="X21" s="963"/>
      <c r="Y21" s="4895"/>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893"/>
      <c r="Q22" s="3277"/>
      <c r="R22" s="4075"/>
      <c r="S22" s="4078"/>
      <c r="T22" s="4075"/>
      <c r="U22" s="4078"/>
      <c r="V22" s="4075"/>
      <c r="W22" s="4078"/>
      <c r="X22" s="963"/>
      <c r="Y22" s="4895"/>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98</v>
      </c>
      <c r="G23" s="3087"/>
      <c r="H23" s="4030">
        <f>SUMIF(95:95,G24,96:96)-SUMIF(95:95,C24,96:96)+100</f>
        <v>98</v>
      </c>
      <c r="I23" s="3093"/>
      <c r="J23" s="4030">
        <f>SUMIF(95:95,I24,96:96)-SUMIF(95:95,C24,96:96)+100</f>
        <v>98</v>
      </c>
      <c r="K23" s="3398">
        <v>2</v>
      </c>
      <c r="L23" s="2153"/>
      <c r="M23" s="2147"/>
      <c r="N23" s="2147"/>
      <c r="O23" s="2205"/>
      <c r="P23" s="4893"/>
      <c r="Q23" s="3277" t="str">
        <f>B23</f>
        <v>交通便捷度</v>
      </c>
      <c r="R23" s="4075" t="s">
        <v>13</v>
      </c>
      <c r="S23" s="4078">
        <f>F23</f>
        <v>98</v>
      </c>
      <c r="T23" s="4075" t="s">
        <v>13</v>
      </c>
      <c r="U23" s="4078">
        <f>H23</f>
        <v>98</v>
      </c>
      <c r="V23" s="4075" t="s">
        <v>13</v>
      </c>
      <c r="W23" s="4078">
        <f>J23</f>
        <v>98</v>
      </c>
      <c r="X23" s="963"/>
      <c r="Y23" s="4895"/>
      <c r="Z23" s="964" t="str">
        <f>Q23</f>
        <v>交通便捷度</v>
      </c>
      <c r="AA23" s="961">
        <f t="shared" si="3"/>
        <v>1.0204081632653061</v>
      </c>
      <c r="AB23" s="961">
        <f t="shared" si="4"/>
        <v>1.0204081632653061</v>
      </c>
      <c r="AC23" s="961">
        <f t="shared" si="5"/>
        <v>1.0204081632653061</v>
      </c>
    </row>
    <row r="24" spans="1:29" ht="15">
      <c r="A24" s="3342"/>
      <c r="B24" s="3040"/>
      <c r="C24" s="3061" t="s">
        <v>3610</v>
      </c>
      <c r="D24" s="3136"/>
      <c r="E24" s="3090" t="s">
        <v>4170</v>
      </c>
      <c r="F24" s="4029"/>
      <c r="G24" s="3090" t="s">
        <v>4170</v>
      </c>
      <c r="H24" s="4029"/>
      <c r="I24" s="3090" t="s">
        <v>4170</v>
      </c>
      <c r="J24" s="4029"/>
      <c r="K24" s="3399"/>
      <c r="L24" s="2153"/>
      <c r="M24" s="2147"/>
      <c r="N24" s="2147"/>
      <c r="O24" s="2205"/>
      <c r="P24" s="4893"/>
      <c r="Q24" s="3277"/>
      <c r="R24" s="4075"/>
      <c r="S24" s="4078"/>
      <c r="T24" s="4075"/>
      <c r="U24" s="4078"/>
      <c r="V24" s="4075"/>
      <c r="W24" s="4078"/>
      <c r="X24" s="963"/>
      <c r="Y24" s="4895"/>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v>2</v>
      </c>
      <c r="L25" s="2153"/>
      <c r="M25" s="2147"/>
      <c r="N25" s="2147"/>
      <c r="O25" s="2205"/>
      <c r="P25" s="4893"/>
      <c r="Q25" s="3277" t="str">
        <f t="shared" ref="Q25:Q39" si="8">B25</f>
        <v>区域土地利用方向</v>
      </c>
      <c r="R25" s="4075" t="s">
        <v>13</v>
      </c>
      <c r="S25" s="4078">
        <f>F25</f>
        <v>100</v>
      </c>
      <c r="T25" s="4075" t="s">
        <v>13</v>
      </c>
      <c r="U25" s="4078">
        <f>H25</f>
        <v>100</v>
      </c>
      <c r="V25" s="4075" t="s">
        <v>13</v>
      </c>
      <c r="W25" s="4078">
        <f>J25</f>
        <v>100</v>
      </c>
      <c r="X25" s="963"/>
      <c r="Y25" s="4895"/>
      <c r="Z25" s="964" t="str">
        <f>Q25</f>
        <v>区域土地利用方向</v>
      </c>
      <c r="AA25" s="961">
        <f t="shared" si="3"/>
        <v>1</v>
      </c>
      <c r="AB25" s="961">
        <f t="shared" si="4"/>
        <v>1</v>
      </c>
      <c r="AC25" s="961">
        <f t="shared" si="5"/>
        <v>1</v>
      </c>
    </row>
    <row r="26" spans="1:29" ht="15">
      <c r="A26" s="3346"/>
      <c r="B26" s="3039"/>
      <c r="C26" s="3078" t="s">
        <v>3611</v>
      </c>
      <c r="D26" s="3135"/>
      <c r="E26" s="3078" t="s">
        <v>3611</v>
      </c>
      <c r="F26" s="4029"/>
      <c r="G26" s="3078" t="s">
        <v>3611</v>
      </c>
      <c r="H26" s="4029"/>
      <c r="I26" s="3078" t="s">
        <v>3611</v>
      </c>
      <c r="J26" s="4029"/>
      <c r="K26" s="3400"/>
      <c r="L26" s="2153"/>
      <c r="M26" s="2147"/>
      <c r="N26" s="2147"/>
      <c r="O26" s="2205"/>
      <c r="P26" s="4893"/>
      <c r="Q26" s="3277"/>
      <c r="R26" s="4075"/>
      <c r="S26" s="4078"/>
      <c r="T26" s="4075"/>
      <c r="U26" s="4078"/>
      <c r="V26" s="4075"/>
      <c r="W26" s="4078"/>
      <c r="X26" s="963"/>
      <c r="Y26" s="4895"/>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v>2</v>
      </c>
      <c r="L27" s="2153"/>
      <c r="M27" s="2147"/>
      <c r="N27" s="2147"/>
      <c r="O27" s="2205"/>
      <c r="P27" s="4893"/>
      <c r="Q27" s="3277" t="str">
        <f t="shared" si="8"/>
        <v>自然及人文环境状况</v>
      </c>
      <c r="R27" s="4075" t="s">
        <v>13</v>
      </c>
      <c r="S27" s="4078">
        <f>F27</f>
        <v>100</v>
      </c>
      <c r="T27" s="4075" t="s">
        <v>13</v>
      </c>
      <c r="U27" s="4078">
        <f>H27</f>
        <v>100</v>
      </c>
      <c r="V27" s="4075" t="s">
        <v>13</v>
      </c>
      <c r="W27" s="4078">
        <f>J27</f>
        <v>100</v>
      </c>
      <c r="X27" s="963"/>
      <c r="Y27" s="4895"/>
      <c r="Z27" s="964" t="str">
        <f>Q27</f>
        <v>自然及人文环境状况</v>
      </c>
      <c r="AA27" s="961">
        <f t="shared" si="3"/>
        <v>1</v>
      </c>
      <c r="AB27" s="961">
        <f t="shared" si="4"/>
        <v>1</v>
      </c>
      <c r="AC27" s="961">
        <f t="shared" si="5"/>
        <v>1</v>
      </c>
    </row>
    <row r="28" spans="1:29" ht="15">
      <c r="A28" s="3346"/>
      <c r="B28" s="3039"/>
      <c r="C28" s="3061" t="s">
        <v>3610</v>
      </c>
      <c r="D28" s="3135"/>
      <c r="E28" s="3061" t="s">
        <v>3610</v>
      </c>
      <c r="F28" s="4029"/>
      <c r="G28" s="3061" t="s">
        <v>3610</v>
      </c>
      <c r="H28" s="4029"/>
      <c r="I28" s="3061" t="s">
        <v>3610</v>
      </c>
      <c r="J28" s="4029"/>
      <c r="K28" s="3399"/>
      <c r="L28" s="2153"/>
      <c r="M28" s="2147"/>
      <c r="N28" s="2147"/>
      <c r="O28" s="2205"/>
      <c r="P28" s="4893"/>
      <c r="Q28" s="3277"/>
      <c r="R28" s="4075"/>
      <c r="S28" s="4078"/>
      <c r="T28" s="4075"/>
      <c r="U28" s="4078"/>
      <c r="V28" s="4075"/>
      <c r="W28" s="4078"/>
      <c r="X28" s="963"/>
      <c r="Y28" s="4895"/>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98</v>
      </c>
      <c r="G29" s="3087"/>
      <c r="H29" s="4030">
        <f>SUMIF(101:101,G30,102:102)-SUMIF(101:101,C30,102:102)+100</f>
        <v>98</v>
      </c>
      <c r="I29" s="3093"/>
      <c r="J29" s="4030">
        <f>SUMIF(101:101,I30,102:102)-SUMIF(101:101,C30,102:102)+100</f>
        <v>98</v>
      </c>
      <c r="K29" s="3398">
        <v>2</v>
      </c>
      <c r="L29" s="2148"/>
      <c r="M29" s="2149"/>
      <c r="N29" s="2149"/>
      <c r="O29" s="2203"/>
      <c r="P29" s="4893"/>
      <c r="Q29" s="3274" t="str">
        <f t="shared" si="8"/>
        <v>公共配套设施</v>
      </c>
      <c r="R29" s="4074" t="s">
        <v>13</v>
      </c>
      <c r="S29" s="4077">
        <f>F29</f>
        <v>98</v>
      </c>
      <c r="T29" s="4074" t="s">
        <v>13</v>
      </c>
      <c r="U29" s="4077">
        <f>H29</f>
        <v>98</v>
      </c>
      <c r="V29" s="4074" t="s">
        <v>13</v>
      </c>
      <c r="W29" s="4077">
        <f>J29</f>
        <v>98</v>
      </c>
      <c r="X29" s="504"/>
      <c r="Y29" s="4895"/>
      <c r="Z29" s="28" t="str">
        <f>Q29</f>
        <v>公共配套设施</v>
      </c>
      <c r="AA29" s="961">
        <f>D29/F29</f>
        <v>1.0204081632653061</v>
      </c>
      <c r="AB29" s="961">
        <f>D29/H29</f>
        <v>1.0204081632653061</v>
      </c>
      <c r="AC29" s="961">
        <f>D29/J29</f>
        <v>1.0204081632653061</v>
      </c>
    </row>
    <row r="30" spans="1:29" s="49" customFormat="1" ht="15">
      <c r="A30" s="3348"/>
      <c r="B30" s="3039"/>
      <c r="C30" s="3349" t="s">
        <v>3610</v>
      </c>
      <c r="D30" s="3135"/>
      <c r="E30" s="3113" t="s">
        <v>4170</v>
      </c>
      <c r="F30" s="4029"/>
      <c r="G30" s="3113" t="s">
        <v>4170</v>
      </c>
      <c r="H30" s="4029"/>
      <c r="I30" s="3113" t="s">
        <v>4170</v>
      </c>
      <c r="J30" s="4029"/>
      <c r="K30" s="3399"/>
      <c r="L30" s="2148"/>
      <c r="M30" s="2149"/>
      <c r="N30" s="2149"/>
      <c r="O30" s="2203"/>
      <c r="P30" s="4893"/>
      <c r="Q30" s="3274"/>
      <c r="R30" s="4074"/>
      <c r="S30" s="4077"/>
      <c r="T30" s="4074"/>
      <c r="U30" s="4077"/>
      <c r="V30" s="4074"/>
      <c r="W30" s="4077"/>
      <c r="X30" s="504"/>
      <c r="Y30" s="4895"/>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v>1</v>
      </c>
      <c r="L31" s="2148"/>
      <c r="M31" s="2149"/>
      <c r="N31" s="2149"/>
      <c r="O31" s="2203"/>
      <c r="P31" s="4893"/>
      <c r="Q31" s="3274" t="str">
        <f t="shared" ref="Q31" si="9">B31</f>
        <v>基础设施水平</v>
      </c>
      <c r="R31" s="4074" t="s">
        <v>13</v>
      </c>
      <c r="S31" s="4077">
        <f>F31</f>
        <v>100</v>
      </c>
      <c r="T31" s="4074" t="s">
        <v>13</v>
      </c>
      <c r="U31" s="4077">
        <f>H31</f>
        <v>100</v>
      </c>
      <c r="V31" s="4074" t="s">
        <v>13</v>
      </c>
      <c r="W31" s="4077">
        <f>J31</f>
        <v>100</v>
      </c>
      <c r="X31" s="504"/>
      <c r="Y31" s="4895"/>
      <c r="Z31" s="28" t="str">
        <f>Q31</f>
        <v>基础设施水平</v>
      </c>
      <c r="AA31" s="961">
        <f>D31/F31</f>
        <v>1</v>
      </c>
      <c r="AB31" s="961">
        <f>D31/H31</f>
        <v>1</v>
      </c>
      <c r="AC31" s="961">
        <f>D31/J31</f>
        <v>1</v>
      </c>
    </row>
    <row r="32" spans="1:29" s="49" customFormat="1" ht="15">
      <c r="A32" s="3348"/>
      <c r="B32" s="3039"/>
      <c r="C32" s="3349" t="s">
        <v>3612</v>
      </c>
      <c r="D32" s="3135"/>
      <c r="E32" s="3349" t="s">
        <v>3612</v>
      </c>
      <c r="F32" s="4029"/>
      <c r="G32" s="3349" t="s">
        <v>3612</v>
      </c>
      <c r="H32" s="4029"/>
      <c r="I32" s="3349" t="s">
        <v>3612</v>
      </c>
      <c r="J32" s="4029"/>
      <c r="K32" s="3399"/>
      <c r="L32" s="2148"/>
      <c r="M32" s="2149"/>
      <c r="N32" s="2149"/>
      <c r="O32" s="2203"/>
      <c r="P32" s="4893"/>
      <c r="Q32" s="3274"/>
      <c r="R32" s="4074"/>
      <c r="S32" s="4077"/>
      <c r="T32" s="4074"/>
      <c r="U32" s="4077"/>
      <c r="V32" s="4074"/>
      <c r="W32" s="4077"/>
      <c r="X32" s="504"/>
      <c r="Y32" s="4895"/>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89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95"/>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893"/>
      <c r="Q34" s="3277" t="str">
        <f t="shared" si="8"/>
        <v>毗邻道路的类型与等级</v>
      </c>
      <c r="R34" s="4075" t="s">
        <v>13</v>
      </c>
      <c r="S34" s="4078">
        <f t="shared" si="10"/>
        <v>100</v>
      </c>
      <c r="T34" s="4075" t="s">
        <v>13</v>
      </c>
      <c r="U34" s="4078">
        <f t="shared" si="11"/>
        <v>100</v>
      </c>
      <c r="V34" s="4075" t="s">
        <v>13</v>
      </c>
      <c r="W34" s="4078">
        <f t="shared" si="12"/>
        <v>100</v>
      </c>
      <c r="X34" s="963"/>
      <c r="Y34" s="4895"/>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893"/>
      <c r="Q35" s="3277"/>
      <c r="R35" s="4075"/>
      <c r="S35" s="4078"/>
      <c r="T35" s="4075"/>
      <c r="U35" s="4078"/>
      <c r="V35" s="4075"/>
      <c r="W35" s="4078"/>
      <c r="X35" s="963"/>
      <c r="Y35" s="4895"/>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893"/>
      <c r="Q36" s="3277" t="str">
        <f t="shared" si="8"/>
        <v>土地级别</v>
      </c>
      <c r="R36" s="4075" t="s">
        <v>13</v>
      </c>
      <c r="S36" s="4078">
        <f t="shared" si="10"/>
        <v>100</v>
      </c>
      <c r="T36" s="4075" t="s">
        <v>13</v>
      </c>
      <c r="U36" s="4078">
        <f t="shared" si="11"/>
        <v>100</v>
      </c>
      <c r="V36" s="4075" t="s">
        <v>13</v>
      </c>
      <c r="W36" s="4078">
        <f t="shared" si="12"/>
        <v>100</v>
      </c>
      <c r="X36" s="963"/>
      <c r="Y36" s="4895"/>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893"/>
      <c r="Q37" s="3277">
        <f t="shared" si="8"/>
        <v>111</v>
      </c>
      <c r="R37" s="4075" t="s">
        <v>13</v>
      </c>
      <c r="S37" s="4078">
        <f t="shared" si="10"/>
        <v>100</v>
      </c>
      <c r="T37" s="4075" t="s">
        <v>13</v>
      </c>
      <c r="U37" s="4078">
        <f t="shared" si="11"/>
        <v>100</v>
      </c>
      <c r="V37" s="4075" t="s">
        <v>13</v>
      </c>
      <c r="W37" s="4078">
        <f t="shared" si="12"/>
        <v>100</v>
      </c>
      <c r="X37" s="963"/>
      <c r="Y37" s="4895"/>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896" t="s">
        <v>1603</v>
      </c>
      <c r="Q38" s="3277">
        <f t="shared" si="8"/>
        <v>111</v>
      </c>
      <c r="R38" s="4075" t="s">
        <v>13</v>
      </c>
      <c r="S38" s="4078">
        <f t="shared" si="10"/>
        <v>100</v>
      </c>
      <c r="T38" s="4075" t="s">
        <v>13</v>
      </c>
      <c r="U38" s="4078">
        <f t="shared" si="11"/>
        <v>100</v>
      </c>
      <c r="V38" s="4075" t="s">
        <v>13</v>
      </c>
      <c r="W38" s="4078">
        <f t="shared" si="12"/>
        <v>100</v>
      </c>
      <c r="X38" s="963"/>
      <c r="Y38" s="4898"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897"/>
      <c r="Q39" s="3277">
        <f t="shared" si="8"/>
        <v>111</v>
      </c>
      <c r="R39" s="4076" t="s">
        <v>13</v>
      </c>
      <c r="S39" s="4079">
        <f t="shared" si="10"/>
        <v>100</v>
      </c>
      <c r="T39" s="4076" t="s">
        <v>13</v>
      </c>
      <c r="U39" s="4079">
        <f t="shared" si="11"/>
        <v>100</v>
      </c>
      <c r="V39" s="4076" t="s">
        <v>13</v>
      </c>
      <c r="W39" s="4079">
        <f t="shared" si="12"/>
        <v>100</v>
      </c>
      <c r="X39" s="507"/>
      <c r="Y39" s="4898"/>
      <c r="Z39" s="508">
        <f t="shared" si="13"/>
        <v>111</v>
      </c>
      <c r="AA39" s="961">
        <f t="shared" si="3"/>
        <v>1</v>
      </c>
      <c r="AB39" s="961">
        <f t="shared" si="4"/>
        <v>1</v>
      </c>
      <c r="AC39" s="961">
        <f t="shared" si="5"/>
        <v>1</v>
      </c>
    </row>
    <row r="40" spans="1:29" ht="15">
      <c r="A40" s="3356" t="s">
        <v>1601</v>
      </c>
      <c r="B40" s="3039" t="s">
        <v>1781</v>
      </c>
      <c r="C40" s="3357">
        <f>'数据-汇总表'!D3</f>
        <v>28389.67</v>
      </c>
      <c r="D40" s="3139">
        <v>100</v>
      </c>
      <c r="E40" s="3357">
        <f>土地案例!D8</f>
        <v>67135.210000000006</v>
      </c>
      <c r="F40" s="4039">
        <f>LOOKUP(E40,118:118,119:119)-LOOKUP(C40,118:118,119:119)+100</f>
        <v>100</v>
      </c>
      <c r="G40" s="3357">
        <f>土地案例!D14</f>
        <v>26907.21</v>
      </c>
      <c r="H40" s="4039">
        <f>LOOKUP(G40,118:118,119:119)-LOOKUP(C40,118:118,119:119)+100</f>
        <v>100</v>
      </c>
      <c r="I40" s="3370">
        <f>土地案例!D18</f>
        <v>27822.39</v>
      </c>
      <c r="J40" s="4039">
        <f>LOOKUP(I40,118:118,119:119)-LOOKUP(C40,118:118,119:119)+100</f>
        <v>100</v>
      </c>
      <c r="K40" s="3100"/>
      <c r="L40" s="2153"/>
      <c r="M40" s="2147"/>
      <c r="N40" s="2147"/>
      <c r="O40" s="2205"/>
      <c r="P40" s="4897"/>
      <c r="Q40" s="3277" t="str">
        <f>B40</f>
        <v>宗地面积</v>
      </c>
      <c r="R40" s="4075" t="s">
        <v>13</v>
      </c>
      <c r="S40" s="4078">
        <f t="shared" si="10"/>
        <v>100</v>
      </c>
      <c r="T40" s="4075" t="s">
        <v>13</v>
      </c>
      <c r="U40" s="4078">
        <f t="shared" si="11"/>
        <v>100</v>
      </c>
      <c r="V40" s="4075" t="s">
        <v>13</v>
      </c>
      <c r="W40" s="4078">
        <f t="shared" si="12"/>
        <v>100</v>
      </c>
      <c r="X40" s="963"/>
      <c r="Y40" s="4898"/>
      <c r="Z40" s="964" t="str">
        <f t="shared" si="13"/>
        <v>宗地面积</v>
      </c>
      <c r="AA40" s="961">
        <f t="shared" si="3"/>
        <v>1</v>
      </c>
      <c r="AB40" s="961">
        <f t="shared" si="4"/>
        <v>1</v>
      </c>
      <c r="AC40" s="961">
        <f t="shared" si="5"/>
        <v>1</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897"/>
      <c r="Q41" s="3277" t="str">
        <f t="shared" ref="Q41:Q47" si="14">B41</f>
        <v>宗地形状</v>
      </c>
      <c r="R41" s="4075" t="s">
        <v>13</v>
      </c>
      <c r="S41" s="4078">
        <f t="shared" si="10"/>
        <v>100</v>
      </c>
      <c r="T41" s="4075" t="s">
        <v>13</v>
      </c>
      <c r="U41" s="4078">
        <f t="shared" si="11"/>
        <v>100</v>
      </c>
      <c r="V41" s="4075" t="s">
        <v>13</v>
      </c>
      <c r="W41" s="4078">
        <f t="shared" si="12"/>
        <v>100</v>
      </c>
      <c r="X41" s="963"/>
      <c r="Y41" s="4898"/>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897"/>
      <c r="Q42" s="3277" t="str">
        <f t="shared" si="14"/>
        <v>临街宽度及深度</v>
      </c>
      <c r="R42" s="4075" t="s">
        <v>13</v>
      </c>
      <c r="S42" s="4078">
        <f t="shared" si="10"/>
        <v>100</v>
      </c>
      <c r="T42" s="4075" t="s">
        <v>13</v>
      </c>
      <c r="U42" s="4078">
        <f t="shared" si="11"/>
        <v>100</v>
      </c>
      <c r="V42" s="4075" t="s">
        <v>13</v>
      </c>
      <c r="W42" s="4078">
        <f t="shared" si="12"/>
        <v>100</v>
      </c>
      <c r="X42" s="963"/>
      <c r="Y42" s="4898"/>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897"/>
      <c r="Q43" s="3277" t="str">
        <f t="shared" si="14"/>
        <v>宗地开发程度</v>
      </c>
      <c r="R43" s="4074" t="s">
        <v>13</v>
      </c>
      <c r="S43" s="4077">
        <f t="shared" si="10"/>
        <v>100</v>
      </c>
      <c r="T43" s="4074" t="s">
        <v>13</v>
      </c>
      <c r="U43" s="4077">
        <f t="shared" si="11"/>
        <v>100</v>
      </c>
      <c r="V43" s="4074" t="s">
        <v>13</v>
      </c>
      <c r="W43" s="4077">
        <f t="shared" si="12"/>
        <v>100</v>
      </c>
      <c r="X43" s="504"/>
      <c r="Y43" s="4898"/>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897" t="s">
        <v>1603</v>
      </c>
      <c r="Q44" s="3277" t="str">
        <f t="shared" si="14"/>
        <v>工程地质条件</v>
      </c>
      <c r="R44" s="4075" t="s">
        <v>13</v>
      </c>
      <c r="S44" s="4078">
        <f t="shared" si="10"/>
        <v>100</v>
      </c>
      <c r="T44" s="4075" t="s">
        <v>13</v>
      </c>
      <c r="U44" s="4078">
        <f t="shared" si="11"/>
        <v>100</v>
      </c>
      <c r="V44" s="4075" t="s">
        <v>13</v>
      </c>
      <c r="W44" s="4078">
        <f t="shared" si="12"/>
        <v>100</v>
      </c>
      <c r="X44" s="963"/>
      <c r="Y44" s="4898"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897"/>
      <c r="Q45" s="3277">
        <f t="shared" si="14"/>
        <v>111</v>
      </c>
      <c r="R45" s="4075" t="s">
        <v>13</v>
      </c>
      <c r="S45" s="4078">
        <f t="shared" si="10"/>
        <v>100</v>
      </c>
      <c r="T45" s="4075" t="s">
        <v>13</v>
      </c>
      <c r="U45" s="4078">
        <f t="shared" si="11"/>
        <v>100</v>
      </c>
      <c r="V45" s="4075" t="s">
        <v>13</v>
      </c>
      <c r="W45" s="4078">
        <f t="shared" si="12"/>
        <v>100</v>
      </c>
      <c r="X45" s="963"/>
      <c r="Y45" s="4898"/>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897"/>
      <c r="Q46" s="3277">
        <f t="shared" si="14"/>
        <v>111</v>
      </c>
      <c r="R46" s="4075" t="s">
        <v>13</v>
      </c>
      <c r="S46" s="4078">
        <f t="shared" si="10"/>
        <v>100</v>
      </c>
      <c r="T46" s="4075" t="s">
        <v>13</v>
      </c>
      <c r="U46" s="4078">
        <f t="shared" si="11"/>
        <v>100</v>
      </c>
      <c r="V46" s="4075" t="s">
        <v>13</v>
      </c>
      <c r="W46" s="4078">
        <f t="shared" si="12"/>
        <v>100</v>
      </c>
      <c r="X46" s="963"/>
      <c r="Y46" s="4898"/>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897"/>
      <c r="Q47" s="3277">
        <f t="shared" si="14"/>
        <v>111</v>
      </c>
      <c r="R47" s="4076" t="s">
        <v>13</v>
      </c>
      <c r="S47" s="4079">
        <f t="shared" si="10"/>
        <v>100</v>
      </c>
      <c r="T47" s="4076" t="s">
        <v>13</v>
      </c>
      <c r="U47" s="4079">
        <f t="shared" si="11"/>
        <v>100</v>
      </c>
      <c r="V47" s="4076" t="s">
        <v>13</v>
      </c>
      <c r="W47" s="4079">
        <f t="shared" si="12"/>
        <v>100</v>
      </c>
      <c r="X47" s="507"/>
      <c r="Y47" s="4898"/>
      <c r="Z47" s="508">
        <f t="shared" si="13"/>
        <v>111</v>
      </c>
      <c r="AA47" s="961">
        <f t="shared" si="3"/>
        <v>1</v>
      </c>
      <c r="AB47" s="961">
        <f t="shared" si="4"/>
        <v>1</v>
      </c>
      <c r="AC47" s="961">
        <f t="shared" si="5"/>
        <v>1</v>
      </c>
    </row>
    <row r="48" spans="1:29" ht="15">
      <c r="A48" s="292" t="s">
        <v>1751</v>
      </c>
      <c r="B48" s="1536" t="s">
        <v>4171</v>
      </c>
      <c r="C48" s="455" t="s">
        <v>0</v>
      </c>
      <c r="D48" s="294"/>
      <c r="E48" s="3458">
        <f>土地案例!Q8</f>
        <v>18681</v>
      </c>
      <c r="F48" s="3402"/>
      <c r="G48" s="3459">
        <f>土地案例!Q14</f>
        <v>22531</v>
      </c>
      <c r="H48" s="3403"/>
      <c r="I48" s="3458">
        <f>土地案例!Q18</f>
        <v>22849</v>
      </c>
      <c r="J48" s="3403"/>
      <c r="K48" s="3104"/>
      <c r="L48" s="2155"/>
      <c r="M48" s="2156"/>
      <c r="N48" s="2147"/>
      <c r="O48" s="2156"/>
      <c r="P48" s="4868" t="str">
        <f>A48</f>
        <v>成交单价</v>
      </c>
      <c r="Q48" s="4868"/>
      <c r="R48" s="4899">
        <f>E48</f>
        <v>18681</v>
      </c>
      <c r="S48" s="4899"/>
      <c r="T48" s="4899">
        <f>G48</f>
        <v>22531</v>
      </c>
      <c r="U48" s="4899"/>
      <c r="V48" s="4899">
        <f>I48</f>
        <v>22849</v>
      </c>
      <c r="W48" s="4899"/>
      <c r="X48" s="493"/>
      <c r="Y48" s="509"/>
      <c r="Z48" s="493"/>
      <c r="AA48" s="493"/>
      <c r="AB48" s="493"/>
      <c r="AC48" s="493"/>
    </row>
    <row r="49" spans="1:29" ht="15.75" thickBot="1">
      <c r="A49" s="295" t="s">
        <v>1700</v>
      </c>
      <c r="B49" s="456"/>
      <c r="C49" s="4051">
        <f>R50</f>
        <v>20776</v>
      </c>
      <c r="D49" s="4197" t="s">
        <v>2041</v>
      </c>
      <c r="E49" s="4051">
        <f>R49</f>
        <v>18439</v>
      </c>
      <c r="F49" s="3042"/>
      <c r="G49" s="4040">
        <f>T49</f>
        <v>21730</v>
      </c>
      <c r="H49" s="3042"/>
      <c r="I49" s="4051">
        <f>V49</f>
        <v>22158</v>
      </c>
      <c r="J49" s="3042"/>
      <c r="K49" s="3097">
        <f>F49+H49+J49</f>
        <v>0</v>
      </c>
      <c r="L49" s="2155"/>
      <c r="M49" s="2156"/>
      <c r="N49" s="2156"/>
      <c r="O49" s="2156"/>
      <c r="P49" s="4868" t="str">
        <f>A49</f>
        <v>比较价值（元/平方米）</v>
      </c>
      <c r="Q49" s="4868"/>
      <c r="R49" s="4899">
        <f>ROUND(PRODUCT(R48,AA9:AA47),0)</f>
        <v>18439</v>
      </c>
      <c r="S49" s="4899"/>
      <c r="T49" s="4899">
        <f>ROUND(PRODUCT(T48,AB9:AB47),0)</f>
        <v>21730</v>
      </c>
      <c r="U49" s="4899"/>
      <c r="V49" s="4899">
        <f>ROUND(PRODUCT(V48,AC9:AC47),0)</f>
        <v>22158</v>
      </c>
      <c r="W49" s="4899"/>
      <c r="X49" s="493"/>
      <c r="Y49" s="493"/>
      <c r="Z49" s="493"/>
      <c r="AA49" s="493"/>
      <c r="AB49" s="493"/>
      <c r="AC49" s="493"/>
    </row>
    <row r="50" spans="1:29" ht="15.75" thickBot="1">
      <c r="A50" s="297" t="s">
        <v>1786</v>
      </c>
      <c r="B50" s="298"/>
      <c r="C50" s="4052">
        <f>R50</f>
        <v>20776</v>
      </c>
      <c r="D50" s="299"/>
      <c r="E50" s="299"/>
      <c r="F50" s="299"/>
      <c r="G50" s="299"/>
      <c r="H50" s="299"/>
      <c r="I50" s="299"/>
      <c r="J50" s="299"/>
      <c r="K50" s="3375"/>
      <c r="L50" s="2155"/>
      <c r="M50" s="2156"/>
      <c r="N50" s="2156"/>
      <c r="O50" s="2156"/>
      <c r="P50" s="4900" t="str">
        <f>A50</f>
        <v>估价对象XX用房的比较价值（楼面单价，元/平方米）</v>
      </c>
      <c r="Q50" s="4901"/>
      <c r="R50" s="4902">
        <f>ROUND(IF(D49="简单平均",AVERAGE(R49:W49),R49*F49+T49*H49+V49*J49),0)</f>
        <v>20776</v>
      </c>
      <c r="S50" s="4902"/>
      <c r="T50" s="4902"/>
      <c r="U50" s="4902"/>
      <c r="V50" s="4902"/>
      <c r="W50" s="4902"/>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f>IF(E48&lt;E49,E49/E48-1,E48/E49-1)</f>
        <v>1.3124355984597935E-2</v>
      </c>
      <c r="F53" s="305" t="str">
        <f>IF(OR(E53&gt;=0.3,E53&lt;=-0.3),"超过30%","")</f>
        <v/>
      </c>
      <c r="G53" s="304">
        <f>IF(G48&lt;G49,G49/G48-1,G48/G49-1)</f>
        <v>3.6861481822365372E-2</v>
      </c>
      <c r="H53" s="305" t="str">
        <f>IF(OR(G53&gt;=0.3,G53&lt;=-0.3),"超过30%","")</f>
        <v/>
      </c>
      <c r="I53" s="304">
        <f>IF(I48&lt;I49,I49/I48-1,I48/I49-1)</f>
        <v>3.1185125011282677E-2</v>
      </c>
      <c r="J53" s="305" t="str">
        <f>IF(OR(I53&gt;=0.3,I53&lt;=-0.3),"超过30%","")</f>
        <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f>IF(E49&lt;G49,G49/E49-1,E49/G49-1)</f>
        <v>0.17848039481533706</v>
      </c>
      <c r="F54" s="305" t="str">
        <f>IF(OR(E54&gt;=0.2,E54&lt;=-0.2),"超过20%","")</f>
        <v/>
      </c>
      <c r="G54" s="304">
        <f>IF(G49&lt;I49,I49/G49-1,G49/I49-1)</f>
        <v>1.9696272434422513E-2</v>
      </c>
      <c r="H54" s="305" t="str">
        <f>IF(OR(G54&gt;=0.2,G54&lt;=-0.2),"超过20%","")</f>
        <v/>
      </c>
      <c r="I54" s="304">
        <f>IF(I49&lt;E49,E49/I49-1,I49/E49-1)</f>
        <v>0.20169206573024567</v>
      </c>
      <c r="J54" s="305" t="str">
        <f>IF(OR(I54&gt;=0.2,I54&lt;=-0.2),"超过20%","")</f>
        <v>超过20%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f>IF(E48&lt;G48,G48/E48-1,E48/G48-1)</f>
        <v>0.20609175097692845</v>
      </c>
      <c r="F55" s="305" t="str">
        <f>IF(OR(E55&gt;=0.3,E55&lt;=-0.3),"超过30%","")</f>
        <v/>
      </c>
      <c r="G55" s="304">
        <f>IF(G48&lt;I48,I48/G48-1,G48/I48-1)</f>
        <v>1.4113887532732683E-2</v>
      </c>
      <c r="H55" s="305" t="str">
        <f>IF(OR(G55&gt;=0.3,G55&lt;=-0.3),"超过30%","")</f>
        <v/>
      </c>
      <c r="I55" s="304">
        <f>IF(I48&lt;E48,E48/I48-1,I48/E48-1)</f>
        <v>0.22311439430437341</v>
      </c>
      <c r="J55" s="305" t="str">
        <f>IF(OR(I55&gt;=0.3,I55&lt;=-0.3),"超过30%","")</f>
        <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03" t="s">
        <v>1793</v>
      </c>
      <c r="H57" s="4904"/>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2">
        <f>C50</f>
        <v>20776</v>
      </c>
      <c r="C58" s="3073">
        <v>1</v>
      </c>
      <c r="D58" s="3314">
        <v>1</v>
      </c>
      <c r="E58" s="3313">
        <f>'数据-汇总表'!E8+'数据-汇总表'!E9</f>
        <v>66183.3</v>
      </c>
      <c r="F58" s="3335">
        <f t="shared" ref="F58:F66" si="15">ROUND(B58*E58/10000,0)</f>
        <v>137502</v>
      </c>
      <c r="G58" s="4905"/>
      <c r="H58" s="4906"/>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2">
        <f>ROUND($C$50*C59*D59,0)</f>
        <v>3116</v>
      </c>
      <c r="C59" s="3312">
        <f t="shared" ref="C59:C66" si="16">IF($C$57="北京市系数",I59,J59)</f>
        <v>0.6</v>
      </c>
      <c r="D59" s="3315">
        <v>0.25</v>
      </c>
      <c r="E59" s="3317">
        <f>'数据-汇总表'!G20</f>
        <v>3037.08</v>
      </c>
      <c r="F59" s="3335">
        <f t="shared" si="15"/>
        <v>946</v>
      </c>
      <c r="G59" s="2371" t="s">
        <v>1798</v>
      </c>
      <c r="H59" s="607" t="str">
        <f>项目基本情况!B37</f>
        <v>六级</v>
      </c>
      <c r="I59" s="3330">
        <f>SUMIF(修正!A59:A70,H59,修正!B59:B70)</f>
        <v>0.6</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2">
        <f t="shared" ref="B60:B66" si="17">ROUND($C$50*C60*D60,0)</f>
        <v>1558</v>
      </c>
      <c r="C60" s="3312">
        <f t="shared" si="16"/>
        <v>0.3</v>
      </c>
      <c r="D60" s="3315">
        <v>0.25</v>
      </c>
      <c r="E60" s="3317"/>
      <c r="F60" s="3335">
        <f t="shared" si="15"/>
        <v>0</v>
      </c>
      <c r="G60" s="2372"/>
      <c r="H60" s="607" t="str">
        <f>项目基本情况!B37</f>
        <v>六级</v>
      </c>
      <c r="I60" s="3330">
        <f>SUMIF(修正!A59:A70,H60,修正!C59:C70)</f>
        <v>0.3</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2">
        <f t="shared" si="17"/>
        <v>1299</v>
      </c>
      <c r="C61" s="3312">
        <f t="shared" si="16"/>
        <v>0.25</v>
      </c>
      <c r="D61" s="3315">
        <v>0.25</v>
      </c>
      <c r="E61" s="3317"/>
      <c r="F61" s="3335">
        <f t="shared" si="15"/>
        <v>0</v>
      </c>
      <c r="G61" s="2372"/>
      <c r="H61" s="607" t="str">
        <f>项目基本情况!B37</f>
        <v>六级</v>
      </c>
      <c r="I61" s="3330">
        <f>SUMIF(修正!A59:A70,H61,修正!D59:D70)</f>
        <v>0.25</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2">
        <f t="shared" si="17"/>
        <v>0</v>
      </c>
      <c r="C62" s="3312">
        <f t="shared" si="16"/>
        <v>0</v>
      </c>
      <c r="D62" s="3315">
        <v>0.25</v>
      </c>
      <c r="E62" s="3318">
        <f>'数据-汇总表'!E11</f>
        <v>0</v>
      </c>
      <c r="F62" s="3335">
        <f t="shared" si="15"/>
        <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2">
        <f t="shared" si="17"/>
        <v>1299</v>
      </c>
      <c r="C63" s="3312">
        <f t="shared" si="16"/>
        <v>0.25</v>
      </c>
      <c r="D63" s="3315">
        <v>0.25</v>
      </c>
      <c r="E63" s="3318">
        <f>'数据-汇总表'!E12</f>
        <v>1136.82</v>
      </c>
      <c r="F63" s="3335">
        <f t="shared" si="15"/>
        <v>148</v>
      </c>
      <c r="G63" s="3328" t="s">
        <v>3271</v>
      </c>
      <c r="H63" s="607" t="str">
        <f>IF(G63="商业",项目基本情况!B37,IF(G63="办公",项目基本情况!C37,IF(G63="住宅",项目基本情况!D37,项目基本情况!E37)))</f>
        <v>六级</v>
      </c>
      <c r="I63" s="3330">
        <f>SUMIF(修正!A59:A70,H63,修正!F59:F70)</f>
        <v>0.25</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2">
        <f t="shared" si="17"/>
        <v>779</v>
      </c>
      <c r="C64" s="3312">
        <f t="shared" si="16"/>
        <v>0.15</v>
      </c>
      <c r="D64" s="3315">
        <v>0.25</v>
      </c>
      <c r="E64" s="3318">
        <f>'数据-汇总表'!E13</f>
        <v>11179.69</v>
      </c>
      <c r="F64" s="3335">
        <f t="shared" si="15"/>
        <v>871</v>
      </c>
      <c r="G64" s="3328" t="s">
        <v>1806</v>
      </c>
      <c r="H64" s="607" t="str">
        <f>IF(G64="商业",项目基本情况!B37,IF(G64="办公",项目基本情况!C37,IF(G64="住宅",项目基本情况!D37,项目基本情况!E37)))</f>
        <v>六级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2">
        <f t="shared" si="17"/>
        <v>779</v>
      </c>
      <c r="C65" s="3312">
        <f t="shared" si="16"/>
        <v>0.15</v>
      </c>
      <c r="D65" s="3315">
        <v>0.25</v>
      </c>
      <c r="E65" s="3318">
        <f>'数据-汇总表'!E14</f>
        <v>0</v>
      </c>
      <c r="F65" s="3335">
        <f t="shared" si="15"/>
        <v>0</v>
      </c>
      <c r="G65" s="3327" t="s">
        <v>1798</v>
      </c>
      <c r="H65" s="607" t="str">
        <f>项目基本情况!B37</f>
        <v>六级</v>
      </c>
      <c r="I65" s="3330">
        <f>SUMIF(修正!A59:A70,H65,修正!G59:G70)</f>
        <v>0.15</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1808</v>
      </c>
      <c r="B66" s="4092">
        <f t="shared" si="17"/>
        <v>0</v>
      </c>
      <c r="C66" s="3312">
        <f t="shared" si="16"/>
        <v>0</v>
      </c>
      <c r="D66" s="3315">
        <v>0.25</v>
      </c>
      <c r="E66" s="3318">
        <f>'数据-汇总表'!E15</f>
        <v>0</v>
      </c>
      <c r="F66" s="3335">
        <f t="shared" si="15"/>
        <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1809</v>
      </c>
      <c r="B67" s="465" t="s">
        <v>20</v>
      </c>
      <c r="C67" s="465" t="s">
        <v>21</v>
      </c>
      <c r="D67" s="3336" t="s">
        <v>386</v>
      </c>
      <c r="E67" s="3319">
        <f>IF(B48="楼面地价",SUM(E58:E66),'数据-汇总表'!D3)</f>
        <v>81536.890000000014</v>
      </c>
      <c r="F67" s="3320">
        <f>IF(B48="楼面地价",SUM(F58:F66),ROUND(C50*E67/10000,0))</f>
        <v>139467</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f>ROUND('地价-分区'!AP46,2)</f>
        <v>102.01</v>
      </c>
      <c r="J72" s="394"/>
      <c r="K72" s="4093"/>
      <c r="L72" s="394">
        <f>ROUND('地价-分区'!AP49,2)</f>
        <v>104.4</v>
      </c>
      <c r="M72" s="823"/>
      <c r="N72" s="394">
        <f>ROUND('地价-分区'!AP51,2)</f>
        <v>103.83</v>
      </c>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97</v>
      </c>
      <c r="E82" s="346">
        <f t="shared" si="21"/>
        <v>94</v>
      </c>
      <c r="F82" s="346">
        <f t="shared" si="21"/>
        <v>91</v>
      </c>
      <c r="G82" s="346">
        <f t="shared" si="21"/>
        <v>88</v>
      </c>
      <c r="H82" s="346">
        <f t="shared" si="21"/>
        <v>85</v>
      </c>
      <c r="I82" s="346">
        <f t="shared" si="21"/>
        <v>82</v>
      </c>
      <c r="J82" s="346">
        <f t="shared" si="21"/>
        <v>79</v>
      </c>
      <c r="K82" s="3388">
        <f t="shared" si="21"/>
        <v>76</v>
      </c>
      <c r="L82" s="346">
        <f t="shared" si="21"/>
        <v>73</v>
      </c>
      <c r="M82" s="346">
        <f t="shared" si="21"/>
        <v>70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1812</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98</v>
      </c>
      <c r="E96" s="346">
        <f>D96-$K23</f>
        <v>96</v>
      </c>
      <c r="F96" s="346">
        <f>E96-$K23</f>
        <v>94</v>
      </c>
      <c r="G96" s="346">
        <f>F96-$K23</f>
        <v>92</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1813</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98</v>
      </c>
      <c r="E98" s="346">
        <f>D98-$K25</f>
        <v>96</v>
      </c>
      <c r="F98" s="346">
        <f>E98-$K25</f>
        <v>94</v>
      </c>
      <c r="G98" s="346">
        <f>F98-$K25</f>
        <v>92</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1814</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98</v>
      </c>
      <c r="E100" s="346">
        <f>D100-$K27</f>
        <v>96</v>
      </c>
      <c r="F100" s="346">
        <f>E100-$K27</f>
        <v>94</v>
      </c>
      <c r="G100" s="346">
        <f>F100-$K27</f>
        <v>92</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98</v>
      </c>
      <c r="E102" s="346">
        <f>D102-$K29</f>
        <v>96</v>
      </c>
      <c r="F102" s="346">
        <f>E102-$K29</f>
        <v>94</v>
      </c>
      <c r="G102" s="346">
        <f>F102-$K29</f>
        <v>92</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99</v>
      </c>
      <c r="E104" s="346">
        <f>D104-$K31</f>
        <v>98</v>
      </c>
      <c r="F104" s="346">
        <f>E104-$K31</f>
        <v>97</v>
      </c>
      <c r="G104" s="346">
        <f>F104-$K31</f>
        <v>96</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28.5">
      <c r="A117" s="329" t="s">
        <v>1601</v>
      </c>
      <c r="B117" s="330" t="s">
        <v>1819</v>
      </c>
      <c r="C117" s="331" t="str">
        <f>C118&amp;"(含)"&amp;"-"&amp;D118</f>
        <v>0(含)-30000</v>
      </c>
      <c r="D117" s="331" t="str">
        <f t="shared" ref="D117:M117" si="25">D118&amp;"(含)"&amp;"-"&amp;E118</f>
        <v>30000(含)-60000</v>
      </c>
      <c r="E117" s="331" t="str">
        <f t="shared" si="25"/>
        <v>60000(含)-90000</v>
      </c>
      <c r="F117" s="331" t="str">
        <f t="shared" si="25"/>
        <v>90000(含)-120000</v>
      </c>
      <c r="G117" s="331" t="str">
        <f t="shared" si="25"/>
        <v>120000(含)-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v>0</v>
      </c>
      <c r="D118" s="394">
        <v>30000</v>
      </c>
      <c r="E118" s="394">
        <v>60000</v>
      </c>
      <c r="F118" s="394">
        <v>90000</v>
      </c>
      <c r="G118" s="394">
        <v>120000</v>
      </c>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v>99</v>
      </c>
      <c r="D119" s="390">
        <v>100</v>
      </c>
      <c r="E119" s="390">
        <v>99</v>
      </c>
      <c r="F119" s="390">
        <v>98</v>
      </c>
      <c r="G119" s="390">
        <v>97</v>
      </c>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171" priority="18" stopIfTrue="1" operator="containsText" text="超过">
      <formula>NOT(ISERROR(SEARCH("超过",F53)))</formula>
    </cfRule>
  </conditionalFormatting>
  <conditionalFormatting sqref="J55">
    <cfRule type="containsText" dxfId="170" priority="17" stopIfTrue="1" operator="containsText" text="超过">
      <formula>NOT(ISERROR(SEARCH("超过",J55)))</formula>
    </cfRule>
  </conditionalFormatting>
  <conditionalFormatting sqref="H55">
    <cfRule type="containsText" dxfId="169" priority="16" stopIfTrue="1" operator="containsText" text="超过">
      <formula>NOT(ISERROR(SEARCH("超过",H55)))</formula>
    </cfRule>
  </conditionalFormatting>
  <conditionalFormatting sqref="F55">
    <cfRule type="containsText" dxfId="168" priority="15" stopIfTrue="1" operator="containsText" text="超过">
      <formula>NOT(ISERROR(SEARCH("超过",F55)))</formula>
    </cfRule>
  </conditionalFormatting>
  <conditionalFormatting sqref="F54 H54 J54">
    <cfRule type="containsText" dxfId="167" priority="14" stopIfTrue="1" operator="containsText" text="超过">
      <formula>NOT(ISERROR(SEARCH("超过",F54)))</formula>
    </cfRule>
  </conditionalFormatting>
  <conditionalFormatting sqref="E53">
    <cfRule type="expression" dxfId="166" priority="13" stopIfTrue="1">
      <formula>$F$53="超过30%"</formula>
    </cfRule>
  </conditionalFormatting>
  <conditionalFormatting sqref="G55">
    <cfRule type="expression" dxfId="165" priority="12" stopIfTrue="1">
      <formula>$H$55="超过30%"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3">
    <cfRule type="expression" dxfId="162" priority="9" stopIfTrue="1">
      <formula>$H$55+$H$53="超过30%"</formula>
    </cfRule>
  </conditionalFormatting>
  <conditionalFormatting sqref="G54">
    <cfRule type="expression" dxfId="161" priority="8" stopIfTrue="1">
      <formula>$H$54="超过20%"</formula>
    </cfRule>
  </conditionalFormatting>
  <conditionalFormatting sqref="I53">
    <cfRule type="expression" dxfId="160" priority="7" stopIfTrue="1">
      <formula>$J$53="超过30%"</formula>
    </cfRule>
  </conditionalFormatting>
  <conditionalFormatting sqref="I54">
    <cfRule type="expression" dxfId="159" priority="6" stopIfTrue="1">
      <formula>$J$54="超过20%"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9:F47 H9:H47 J9:J47">
    <cfRule type="cellIs" dxfId="15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topLeftCell="A7" zoomScaleNormal="100" zoomScaleSheetLayoutView="100" workbookViewId="0">
      <selection activeCell="C9" sqref="C9"/>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10</v>
      </c>
    </row>
    <row r="2" spans="1:33" ht="18" customHeight="1">
      <c r="A2" s="100" t="s">
        <v>1431</v>
      </c>
      <c r="B2" s="2757">
        <f ca="1">IF(D2="含税",C37,C36)</f>
        <v>140392</v>
      </c>
      <c r="C2" s="175" t="s">
        <v>1531</v>
      </c>
      <c r="D2" s="3587" t="s">
        <v>4096</v>
      </c>
      <c r="E2" s="2225"/>
      <c r="G2" s="2225"/>
      <c r="H2" s="2225"/>
      <c r="I2" s="2225"/>
      <c r="J2" s="2225"/>
      <c r="K2" s="2225"/>
    </row>
    <row r="3" spans="1:33" ht="18" customHeight="1">
      <c r="A3" s="102" t="s">
        <v>1433</v>
      </c>
      <c r="B3" s="2757">
        <f ca="1">ROUND(B2*10000/IF(C1="",'数据-汇总表'!E3,INDIRECT("'数据-取费表'!K"&amp;$K$1)),0)</f>
        <v>14715</v>
      </c>
      <c r="C3" s="175" t="s">
        <v>1532</v>
      </c>
      <c r="E3" s="541"/>
      <c r="I3" s="2225"/>
      <c r="J3" s="2225"/>
      <c r="K3" s="2225"/>
    </row>
    <row r="4" spans="1:33" ht="18" customHeight="1">
      <c r="A4" s="3640" t="s">
        <v>3626</v>
      </c>
      <c r="B4" s="3645">
        <f ca="1">ROUND(B2*10000/IF(C1="",'数据-汇总表'!D3,INDIRECT("'数据-取费表'!R"&amp;$K$1)),0)</f>
        <v>49452</v>
      </c>
      <c r="C4" s="3644" t="s">
        <v>1532</v>
      </c>
      <c r="E4" s="541"/>
      <c r="I4" s="2225"/>
      <c r="J4" s="2225"/>
      <c r="K4" s="2225"/>
    </row>
    <row r="5" spans="1:33" ht="18" customHeight="1" thickBot="1">
      <c r="A5" s="98"/>
      <c r="B5" s="3641">
        <f ca="1">ROUND(B2/(IF(C1="",'数据-汇总表'!D3,INDIRECT("'数据-取费表'!R"&amp;$K$1))/666.67),0)</f>
        <v>3297</v>
      </c>
      <c r="C5" s="3643" t="s">
        <v>3624</v>
      </c>
      <c r="E5" s="541"/>
      <c r="I5" s="2225"/>
      <c r="J5" s="2225"/>
      <c r="K5" s="2225"/>
    </row>
    <row r="6" spans="1:33" s="542" customFormat="1" ht="16.5" customHeight="1">
      <c r="A6" s="2890" t="s">
        <v>3373</v>
      </c>
      <c r="B6" s="2889"/>
      <c r="C6" s="4907" t="s">
        <v>3375</v>
      </c>
      <c r="D6" s="4907"/>
      <c r="E6" s="4907"/>
      <c r="F6" s="4907"/>
      <c r="G6" s="4907"/>
      <c r="H6" s="4907"/>
      <c r="I6" s="4907"/>
      <c r="J6" s="4907"/>
      <c r="K6" s="4908"/>
    </row>
    <row r="7" spans="1:33" s="545" customFormat="1" ht="15">
      <c r="A7" s="2727" t="s">
        <v>1533</v>
      </c>
      <c r="B7" s="2897" t="s">
        <v>1534</v>
      </c>
      <c r="C7" s="1441" t="s">
        <v>3271</v>
      </c>
      <c r="D7" s="1441" t="s">
        <v>660</v>
      </c>
      <c r="E7" s="1441" t="s">
        <v>4091</v>
      </c>
      <c r="F7" s="1441" t="s">
        <v>4089</v>
      </c>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f>40000/1.09</f>
        <v>36697.247706422015</v>
      </c>
      <c r="D8" s="2944">
        <f>20000/1.09</f>
        <v>18348.623853211007</v>
      </c>
      <c r="E8" s="2944">
        <f>9000/1.09</f>
        <v>8256.880733944954</v>
      </c>
      <c r="F8" s="2944">
        <f>2500/1.09</f>
        <v>2293.5779816513759</v>
      </c>
      <c r="G8" s="2944"/>
      <c r="H8" s="2944"/>
      <c r="I8" s="2944"/>
      <c r="J8" s="2944"/>
      <c r="K8" s="2945"/>
      <c r="L8" s="547"/>
      <c r="M8" s="547">
        <f>'数据-汇总表'!F20</f>
        <v>4488.0200000000004</v>
      </c>
      <c r="N8" s="547">
        <v>25000</v>
      </c>
      <c r="O8" s="547">
        <f>N8*M8</f>
        <v>112200500.00000001</v>
      </c>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SUMIF('数据-汇总表'!$C19:$C33,假设开发法!C7,'数据-汇总表'!$E19:$E33)</f>
        <v>61695.28</v>
      </c>
      <c r="D9" s="2946">
        <f>SUMIF('数据-汇总表'!$C19:$C33,假设开发法!D7,'数据-汇总表'!$E19:$E33)</f>
        <v>7525.1</v>
      </c>
      <c r="E9" s="2946">
        <f>SUMIF('数据-汇总表'!$C19:$C33,假设开发法!E7,'数据-汇总表'!$E19:$E33)</f>
        <v>1136.82</v>
      </c>
      <c r="F9" s="2946">
        <f>SUMIF('数据-汇总表'!$C19:$C33,假设开发法!F7,'数据-汇总表'!$E19:$E33)</f>
        <v>11179.69</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f>'数据-汇总表'!G20</f>
        <v>3037.08</v>
      </c>
      <c r="N9" s="547">
        <f>N8*0.5</f>
        <v>12500</v>
      </c>
      <c r="O9" s="547">
        <f>N9*M9</f>
        <v>37963500</v>
      </c>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3958</v>
      </c>
      <c r="B10" s="4440" t="s">
        <v>3957</v>
      </c>
      <c r="C10" s="4441">
        <f>C8*C9/10000</f>
        <v>226404.69724770641</v>
      </c>
      <c r="D10" s="4441">
        <f>D8*D9/10000</f>
        <v>13807.522935779816</v>
      </c>
      <c r="E10" s="4441">
        <f>E8*E9/10000</f>
        <v>938.65871559633013</v>
      </c>
      <c r="F10" s="4442">
        <f>F8*F9/10000</f>
        <v>2564.149082568807</v>
      </c>
      <c r="G10" s="4442"/>
      <c r="H10" s="4442"/>
      <c r="I10" s="4442"/>
      <c r="J10" s="4442"/>
      <c r="K10" s="4443"/>
      <c r="L10" s="4444"/>
      <c r="M10" s="547">
        <f>M8+M9</f>
        <v>7525.1</v>
      </c>
      <c r="N10" s="4444">
        <f>O10/M10</f>
        <v>19955.083653373375</v>
      </c>
      <c r="O10" s="4444">
        <f>O8+O9</f>
        <v>150164000</v>
      </c>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11" t="s">
        <v>3388</v>
      </c>
      <c r="B11" s="4912"/>
      <c r="C11" s="4912"/>
      <c r="D11" s="4912"/>
      <c r="E11" s="4912"/>
      <c r="F11" s="4912"/>
      <c r="G11" s="4912"/>
      <c r="H11" s="4912"/>
      <c r="I11" s="4912"/>
      <c r="J11" s="4912"/>
      <c r="K11" s="4913"/>
    </row>
    <row r="12" spans="1:33" s="4437" customFormat="1" ht="13.5" customHeight="1">
      <c r="A12" s="3470" t="s">
        <v>3508</v>
      </c>
      <c r="B12" s="4434" t="s">
        <v>1537</v>
      </c>
      <c r="C12" s="4438" t="s">
        <v>3954</v>
      </c>
      <c r="D12" s="4434" t="s">
        <v>1539</v>
      </c>
      <c r="E12" s="4434" t="s">
        <v>1540</v>
      </c>
      <c r="F12" s="4434" t="s">
        <v>1541</v>
      </c>
      <c r="G12" s="4435" t="s">
        <v>3399</v>
      </c>
      <c r="H12" s="4434"/>
      <c r="I12" s="4434"/>
      <c r="J12" s="4434"/>
      <c r="K12" s="4436"/>
    </row>
    <row r="13" spans="1:33" s="550" customFormat="1" ht="13.5" customHeight="1">
      <c r="A13" s="2727">
        <v>1</v>
      </c>
      <c r="B13" s="2914" t="s">
        <v>3374</v>
      </c>
      <c r="C13" s="2899">
        <f>SUM(C10:K10)</f>
        <v>243715.02798165136</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58332</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47778</v>
      </c>
      <c r="D16" s="551"/>
      <c r="E16" s="216"/>
      <c r="F16" s="2908">
        <f ca="1">1-IF('数据-取费表'!B24=0,1,IF(C1="",'数据-取费表'!N16,INDIRECT("'数据-取费表'!n"&amp;$K$1)))</f>
        <v>1</v>
      </c>
      <c r="G16" s="2915"/>
      <c r="H16" s="2915"/>
      <c r="I16" s="2915"/>
      <c r="J16" s="2915"/>
      <c r="K16" s="2916"/>
    </row>
    <row r="17" spans="1:33" s="552" customFormat="1" ht="13.5" customHeight="1">
      <c r="A17" s="546" t="s">
        <v>1535</v>
      </c>
      <c r="B17" s="2931" t="s">
        <v>3390</v>
      </c>
      <c r="C17" s="2939">
        <f ca="1">ROUND(C16*F17,0)</f>
        <v>1911</v>
      </c>
      <c r="D17" s="551"/>
      <c r="E17" s="216"/>
      <c r="F17" s="2908">
        <f>'数据-取费表'!B33</f>
        <v>0.04</v>
      </c>
      <c r="G17" s="3673" t="s">
        <v>3675</v>
      </c>
      <c r="H17" s="2915"/>
      <c r="I17" s="2915"/>
      <c r="J17" s="2915"/>
      <c r="K17" s="2916"/>
    </row>
    <row r="18" spans="1:33" s="552" customFormat="1" ht="13.5" customHeight="1">
      <c r="A18" s="546" t="s">
        <v>1536</v>
      </c>
      <c r="B18" s="2931" t="s">
        <v>3391</v>
      </c>
      <c r="C18" s="2939">
        <f ca="1">ROUND(IF(C1="",SUMIF('数据-取费表'!C:C,"住宅",'数据-取费表'!P:P)*F18,IF(INDIRECT("'数据-取费表'!c"&amp;$K$1)="住宅",INDIRECT("'数据-取费表'!P"&amp;$K$1)*F18,0)),0)</f>
        <v>1635</v>
      </c>
      <c r="D18" s="569"/>
      <c r="E18" s="216"/>
      <c r="F18" s="2908">
        <f>'数据-取费表'!B34</f>
        <v>0.05</v>
      </c>
      <c r="G18" s="2915" t="s">
        <v>1542</v>
      </c>
      <c r="H18" s="2915"/>
      <c r="I18" s="2915"/>
      <c r="J18" s="2915"/>
      <c r="K18" s="2916"/>
    </row>
    <row r="19" spans="1:33" s="552" customFormat="1" ht="13.5" customHeight="1">
      <c r="A19" s="546" t="s">
        <v>3378</v>
      </c>
      <c r="B19" s="2931" t="s">
        <v>3392</v>
      </c>
      <c r="C19" s="2939">
        <f ca="1">C20+C23+C24</f>
        <v>5096</v>
      </c>
      <c r="D19" s="569"/>
      <c r="E19" s="216"/>
      <c r="F19" s="2908"/>
      <c r="G19" s="2915"/>
      <c r="H19" s="2915"/>
      <c r="I19" s="2915"/>
      <c r="J19" s="2915"/>
      <c r="K19" s="2916"/>
    </row>
    <row r="20" spans="1:33" s="552" customFormat="1" ht="13.5" customHeight="1">
      <c r="A20" s="2893" t="s">
        <v>3381</v>
      </c>
      <c r="B20" s="2918" t="s">
        <v>1547</v>
      </c>
      <c r="C20" s="2939">
        <f ca="1">C21+C22-IF(C1="",'数据-取费表'!B29,IF(G20="已全部缴纳",C21+C22,H20))</f>
        <v>1661</v>
      </c>
      <c r="D20" s="569"/>
      <c r="E20" s="12"/>
      <c r="F20" s="2909"/>
      <c r="G20" s="2919"/>
      <c r="H20" s="2920"/>
      <c r="I20" s="2921" t="s">
        <v>1548</v>
      </c>
      <c r="J20" s="216"/>
      <c r="K20" s="2917"/>
    </row>
    <row r="21" spans="1:33" s="552" customFormat="1" ht="13.5" customHeight="1">
      <c r="A21" s="2933" t="s">
        <v>3384</v>
      </c>
      <c r="B21" s="2934" t="s">
        <v>3395</v>
      </c>
      <c r="C21" s="2940">
        <f ca="1">ROUND(D21*E21/10000,0)</f>
        <v>987</v>
      </c>
      <c r="D21" s="2942">
        <f ca="1">IF(C1="",'数据-汇总表'!E5,IF(INDIRECT("'数据-取费表'!c"&amp;$K$1)="住宅",INDIRECT("'数据-取费表'!k"&amp;$K$1),0))</f>
        <v>61695.28</v>
      </c>
      <c r="E21" s="2940">
        <f>'数据-取费表'!B27</f>
        <v>160</v>
      </c>
      <c r="F21" s="2935"/>
      <c r="G21" s="190"/>
      <c r="H21" s="190"/>
      <c r="I21" s="190"/>
      <c r="J21" s="190"/>
      <c r="K21" s="2027"/>
    </row>
    <row r="22" spans="1:33" s="552" customFormat="1" ht="13.5" customHeight="1">
      <c r="A22" s="2933" t="s">
        <v>3385</v>
      </c>
      <c r="B22" s="2934" t="s">
        <v>3396</v>
      </c>
      <c r="C22" s="2940">
        <f ca="1">ROUND(D22*E22/10000,0)</f>
        <v>674</v>
      </c>
      <c r="D22" s="2942">
        <f ca="1">IF(C1="",'数据-汇总表'!E6,IF(INDIRECT("'数据-取费表'!c"&amp;$K$1)="住宅",INDIRECT("'数据-取费表'!s"&amp;$K$1),INDIRECT("'数据-取费表'!k"&amp;$K$1)+INDIRECT("'数据-取费表'!s"&amp;$K$1)))</f>
        <v>33708.930000000008</v>
      </c>
      <c r="E22" s="2940">
        <f>'数据-取费表'!B28</f>
        <v>200</v>
      </c>
      <c r="F22" s="2935"/>
      <c r="G22" s="190"/>
      <c r="H22" s="190"/>
      <c r="I22" s="190"/>
      <c r="J22" s="190"/>
      <c r="K22" s="2027"/>
    </row>
    <row r="23" spans="1:33" s="553" customFormat="1" ht="13.5" customHeight="1">
      <c r="A23" s="2893" t="s">
        <v>3382</v>
      </c>
      <c r="B23" s="2918" t="s">
        <v>1543</v>
      </c>
      <c r="C23" s="2939">
        <f ca="1">ROUND(D23*E23*F16/10000,0)</f>
        <v>3435</v>
      </c>
      <c r="D23" s="2943">
        <f ca="1">IF(C1="",'数据-汇总表'!E3,INDIRECT("'数据-取费表'!K"&amp;$K$1)+INDIRECT("'数据-取费表'!S"&amp;$K$1))</f>
        <v>95404.21</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1545</v>
      </c>
      <c r="C24" s="2939">
        <f ca="1">ROUND(D24*E24/10000,0)</f>
        <v>0</v>
      </c>
      <c r="D24" s="2943">
        <f ca="1">D23</f>
        <v>95404.21</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956</v>
      </c>
      <c r="D25" s="2894"/>
      <c r="E25" s="2895"/>
      <c r="F25" s="2908">
        <f>'数据-取费表'!B36</f>
        <v>0.02</v>
      </c>
      <c r="G25" s="2894"/>
      <c r="H25" s="2894"/>
      <c r="I25" s="2894"/>
      <c r="J25" s="2894"/>
      <c r="K25" s="2922"/>
    </row>
    <row r="26" spans="1:33" s="553" customFormat="1" ht="13.5" customHeight="1">
      <c r="A26" s="2891" t="s">
        <v>3380</v>
      </c>
      <c r="B26" s="2931" t="s">
        <v>3394</v>
      </c>
      <c r="C26" s="2904">
        <f ca="1">ROUND(C16*F26,0)</f>
        <v>956</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1167</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12186</v>
      </c>
      <c r="D28" s="177"/>
      <c r="E28" s="177"/>
      <c r="F28" s="2907">
        <f>'数据-取费表'!B39</f>
        <v>0.05</v>
      </c>
      <c r="G28" s="2915" t="s">
        <v>3667</v>
      </c>
      <c r="H28" s="2915"/>
      <c r="I28" s="2915"/>
      <c r="J28" s="2915"/>
      <c r="K28" s="2916"/>
    </row>
    <row r="29" spans="1:33" s="552" customFormat="1" ht="13.5" customHeight="1">
      <c r="A29" s="2727">
        <v>6</v>
      </c>
      <c r="B29" s="2892" t="s">
        <v>3377</v>
      </c>
      <c r="C29" s="2938" t="str">
        <f ca="1">C31&amp;"+"&amp;C30&amp;"V"</f>
        <v>2244+0.0655V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6.5500000000000003E-2</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3397</v>
      </c>
      <c r="C31" s="2901">
        <f ca="1">ROUND(IF('数据-取费表'!B22&lt;=1,(C15+C27+C28)*F29*'数据-取费表'!B24/2,(C15+C27+C28)*(POWER((1+F29),'数据-取费表'!B24/2)-1)),0)</f>
        <v>2244</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4909" t="s">
        <v>3387</v>
      </c>
      <c r="H32" s="4909"/>
      <c r="I32" s="4909"/>
      <c r="J32" s="4909"/>
      <c r="K32" s="4910"/>
    </row>
    <row r="33" spans="1:11" s="180" customFormat="1" ht="13.5" customHeight="1">
      <c r="A33" s="2727">
        <v>8</v>
      </c>
      <c r="B33" s="2896" t="s">
        <v>1554</v>
      </c>
      <c r="C33" s="2941" t="str">
        <f ca="1">C35&amp;"+"&amp;C34&amp;"V"</f>
        <v>10036+0.1443V</v>
      </c>
      <c r="D33" s="176"/>
      <c r="E33" s="177"/>
      <c r="F33" s="2911">
        <f ca="1">IF(C1="",'数据-取费表'!Q16,INDIRECT("'数据-取费表'!q"&amp;$K$1))</f>
        <v>0.14000000000000001</v>
      </c>
      <c r="G33" s="25"/>
      <c r="H33" s="25"/>
      <c r="I33" s="25"/>
      <c r="J33" s="25"/>
      <c r="K33" s="27"/>
    </row>
    <row r="34" spans="1:11" s="181" customFormat="1" ht="13.5" customHeight="1">
      <c r="A34" s="2937" t="s">
        <v>355</v>
      </c>
      <c r="B34" s="2918" t="s">
        <v>1555</v>
      </c>
      <c r="C34" s="2905">
        <f ca="1">ROUND((1+F14)*F33*'数据-取费表'!B24/'数据-取费表'!B22,4)</f>
        <v>0.14430000000000001</v>
      </c>
      <c r="D34" s="178"/>
      <c r="E34" s="554"/>
      <c r="F34" s="2910"/>
      <c r="G34" s="216" t="s">
        <v>1556</v>
      </c>
      <c r="H34" s="216"/>
      <c r="I34" s="216"/>
      <c r="J34" s="216"/>
      <c r="K34" s="2917"/>
    </row>
    <row r="35" spans="1:11" s="181" customFormat="1" ht="13.5" customHeight="1">
      <c r="A35" s="2937" t="s">
        <v>1535</v>
      </c>
      <c r="B35" s="2918" t="s">
        <v>3397</v>
      </c>
      <c r="C35" s="2906">
        <f ca="1">ROUND((C15+C27+C28)*F33,0)</f>
        <v>10036</v>
      </c>
      <c r="D35" s="178"/>
      <c r="E35" s="554"/>
      <c r="F35" s="2910"/>
      <c r="G35" s="216"/>
      <c r="H35" s="216"/>
      <c r="I35" s="216"/>
      <c r="J35" s="216"/>
      <c r="K35" s="2917"/>
    </row>
    <row r="36" spans="1:11" s="550" customFormat="1" ht="15">
      <c r="A36" s="2727">
        <v>9</v>
      </c>
      <c r="B36" s="2914" t="s">
        <v>3386</v>
      </c>
      <c r="C36" s="2899">
        <f ca="1">ROUND((C13-C15-C27-C28-C31-C35-C32)/(1+F14+C30+C34),0)</f>
        <v>128800</v>
      </c>
      <c r="D36" s="2915"/>
      <c r="E36" s="2915"/>
      <c r="F36" s="176"/>
      <c r="G36" s="2948" t="s">
        <v>3398</v>
      </c>
      <c r="H36" s="2915"/>
      <c r="I36" s="2915"/>
      <c r="J36" s="2915"/>
      <c r="K36" s="2916"/>
    </row>
    <row r="37" spans="1:11" s="3025" customFormat="1" ht="15.75" thickBot="1">
      <c r="A37" s="2928">
        <v>10</v>
      </c>
      <c r="B37" s="2929" t="s">
        <v>3473</v>
      </c>
      <c r="C37" s="3022">
        <f ca="1">ROUND(C36*(1+F37),0)</f>
        <v>140392</v>
      </c>
      <c r="D37" s="3023"/>
      <c r="E37" s="3024"/>
      <c r="F37" s="2930">
        <v>0.09</v>
      </c>
      <c r="G37" s="2914" t="s">
        <v>3474</v>
      </c>
      <c r="H37" s="2915"/>
      <c r="I37" s="2915"/>
      <c r="J37" s="2915"/>
      <c r="K37" s="2916"/>
    </row>
    <row r="38" spans="1:11" ht="12.75" customHeight="1"/>
    <row r="44" spans="1:11" s="3468" customFormat="1" ht="19.5" thickBot="1">
      <c r="A44" s="3473" t="s">
        <v>3481</v>
      </c>
      <c r="B44" s="2020"/>
      <c r="C44" s="3474"/>
      <c r="D44" s="2020"/>
      <c r="E44" s="2020"/>
      <c r="F44" s="2020"/>
      <c r="G44" s="2020"/>
    </row>
    <row r="45" spans="1:11" s="3468" customFormat="1" ht="15">
      <c r="A45" s="3470" t="s">
        <v>3508</v>
      </c>
      <c r="B45" s="2912" t="s">
        <v>1537</v>
      </c>
      <c r="C45" s="2913" t="s">
        <v>1538</v>
      </c>
      <c r="D45" s="1239" t="s">
        <v>1539</v>
      </c>
      <c r="E45" s="1239" t="s">
        <v>1540</v>
      </c>
      <c r="F45" s="1239" t="s">
        <v>1541</v>
      </c>
      <c r="G45" s="2949" t="s">
        <v>3399</v>
      </c>
    </row>
    <row r="46" spans="1:11" s="3468" customFormat="1">
      <c r="A46" s="660">
        <v>1</v>
      </c>
      <c r="B46" s="2932" t="s">
        <v>3482</v>
      </c>
      <c r="C46" s="2903">
        <f>C13</f>
        <v>243715.02798165136</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58332</v>
      </c>
      <c r="D49" s="660"/>
      <c r="E49" s="660"/>
      <c r="F49" s="660"/>
      <c r="G49" s="660"/>
    </row>
    <row r="50" spans="1:7" s="3468" customFormat="1">
      <c r="A50" s="3472" t="s">
        <v>3494</v>
      </c>
      <c r="B50" s="2932" t="s">
        <v>3498</v>
      </c>
      <c r="C50" s="2903">
        <f ca="1">C16</f>
        <v>47778</v>
      </c>
      <c r="D50" s="660"/>
      <c r="E50" s="660"/>
      <c r="F50" s="660"/>
      <c r="G50" s="660"/>
    </row>
    <row r="51" spans="1:7" s="3468" customFormat="1">
      <c r="A51" s="3472" t="s">
        <v>3509</v>
      </c>
      <c r="B51" s="660" t="s">
        <v>3495</v>
      </c>
      <c r="C51" s="2903">
        <f t="shared" ref="C51:C53" ca="1" si="0">C17</f>
        <v>1911</v>
      </c>
      <c r="D51" s="660"/>
      <c r="E51" s="660"/>
      <c r="F51" s="660"/>
      <c r="G51" s="660"/>
    </row>
    <row r="52" spans="1:7" s="3468" customFormat="1">
      <c r="A52" s="3472" t="s">
        <v>3510</v>
      </c>
      <c r="B52" s="660" t="s">
        <v>3496</v>
      </c>
      <c r="C52" s="2903">
        <f t="shared" ca="1" si="0"/>
        <v>1635</v>
      </c>
      <c r="D52" s="660"/>
      <c r="E52" s="660"/>
      <c r="F52" s="660"/>
      <c r="G52" s="660"/>
    </row>
    <row r="53" spans="1:7" s="3468" customFormat="1">
      <c r="A53" s="3472" t="s">
        <v>3511</v>
      </c>
      <c r="B53" s="660" t="s">
        <v>3497</v>
      </c>
      <c r="C53" s="2903">
        <f t="shared" ca="1" si="0"/>
        <v>5096</v>
      </c>
      <c r="D53" s="660"/>
      <c r="E53" s="660"/>
      <c r="F53" s="660"/>
      <c r="G53" s="660"/>
    </row>
    <row r="54" spans="1:7" s="3468" customFormat="1">
      <c r="A54" s="3668" t="s">
        <v>3384</v>
      </c>
      <c r="B54" s="3669" t="s">
        <v>3501</v>
      </c>
      <c r="C54" s="3670">
        <f ca="1">C20</f>
        <v>1661</v>
      </c>
      <c r="D54" s="660"/>
      <c r="E54" s="660"/>
      <c r="F54" s="660"/>
      <c r="G54" s="660"/>
    </row>
    <row r="55" spans="1:7" s="3468" customFormat="1">
      <c r="A55" s="3668" t="s">
        <v>3385</v>
      </c>
      <c r="B55" s="3669" t="s">
        <v>3502</v>
      </c>
      <c r="C55" s="3670">
        <f ca="1">C23</f>
        <v>3435</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956</v>
      </c>
      <c r="D57" s="660"/>
      <c r="E57" s="660"/>
      <c r="F57" s="660"/>
      <c r="G57" s="660"/>
    </row>
    <row r="58" spans="1:7" s="3468" customFormat="1">
      <c r="A58" s="3472" t="s">
        <v>3513</v>
      </c>
      <c r="B58" s="660" t="s">
        <v>3500</v>
      </c>
      <c r="C58" s="2903">
        <f ca="1">C26</f>
        <v>956</v>
      </c>
      <c r="D58" s="660"/>
      <c r="E58" s="660"/>
      <c r="F58" s="660"/>
      <c r="G58" s="660"/>
    </row>
    <row r="59" spans="1:7" s="3468" customFormat="1">
      <c r="A59" s="3471" t="s">
        <v>3492</v>
      </c>
      <c r="B59" s="2932" t="s">
        <v>3486</v>
      </c>
      <c r="C59" s="2903">
        <f ca="1">C27</f>
        <v>1167</v>
      </c>
      <c r="D59" s="660"/>
      <c r="E59" s="660"/>
      <c r="F59" s="660"/>
      <c r="G59" s="660"/>
    </row>
    <row r="60" spans="1:7" s="3468" customFormat="1">
      <c r="A60" s="3471" t="s">
        <v>3504</v>
      </c>
      <c r="B60" s="2932" t="s">
        <v>3505</v>
      </c>
      <c r="C60" s="2903">
        <f ca="1">C61+C62</f>
        <v>12186</v>
      </c>
      <c r="D60" s="660"/>
      <c r="E60" s="660"/>
      <c r="F60" s="660"/>
      <c r="G60" s="660"/>
    </row>
    <row r="61" spans="1:7" s="3468" customFormat="1">
      <c r="A61" s="3472" t="s">
        <v>3494</v>
      </c>
      <c r="B61" s="2932" t="s">
        <v>3489</v>
      </c>
      <c r="C61" s="2903">
        <f ca="1">C28</f>
        <v>12186</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2244+0.0655V</v>
      </c>
      <c r="D63" s="660"/>
      <c r="E63" s="660"/>
      <c r="F63" s="660"/>
      <c r="G63" s="660"/>
    </row>
    <row r="64" spans="1:7" s="3468" customFormat="1">
      <c r="A64" s="660">
        <v>4</v>
      </c>
      <c r="B64" s="2932" t="s">
        <v>3490</v>
      </c>
      <c r="C64" s="2903" t="str">
        <f ca="1">C33</f>
        <v>10036+0.1443V</v>
      </c>
      <c r="D64" s="660"/>
      <c r="E64" s="660"/>
      <c r="F64" s="660"/>
      <c r="G64" s="660"/>
    </row>
    <row r="65" spans="1:7" s="3468" customFormat="1">
      <c r="A65" s="660">
        <v>5</v>
      </c>
      <c r="B65" s="2932" t="s">
        <v>3491</v>
      </c>
      <c r="C65" s="2903">
        <f ca="1">C36</f>
        <v>128800</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4" t="s">
        <v>3816</v>
      </c>
      <c r="D4" s="2961" t="s">
        <v>3879</v>
      </c>
      <c r="E4" s="4363" t="s">
        <v>3880</v>
      </c>
      <c r="F4" s="4364"/>
      <c r="G4" s="4365"/>
      <c r="H4" s="2960" t="s">
        <v>3877</v>
      </c>
      <c r="I4" s="2961" t="s">
        <v>3878</v>
      </c>
      <c r="J4" s="3844" t="s">
        <v>3816</v>
      </c>
      <c r="K4" s="2961" t="s">
        <v>3879</v>
      </c>
      <c r="L4" s="4363" t="s">
        <v>3880</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3402</v>
      </c>
      <c r="C5" s="4465">
        <f ca="1">ROUND(C6+C10+C12,0)</f>
        <v>0</v>
      </c>
      <c r="D5" s="4366" t="s">
        <v>3883</v>
      </c>
      <c r="E5" s="4367"/>
      <c r="F5" s="4368"/>
      <c r="G5" s="4365"/>
      <c r="H5" s="4263">
        <v>1</v>
      </c>
      <c r="I5" s="4271" t="s">
        <v>3402</v>
      </c>
      <c r="J5" s="4465">
        <f ca="1">ROUND(J6+J10+J12,0)</f>
        <v>0</v>
      </c>
      <c r="K5" s="4366" t="s">
        <v>3883</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206">
        <f ca="1">C7-C9</f>
        <v>0</v>
      </c>
      <c r="D6" s="2952" t="s">
        <v>3798</v>
      </c>
      <c r="E6" s="2950" t="s">
        <v>3400</v>
      </c>
      <c r="F6" s="3272">
        <f ca="1">INDIRECT("'数据-取费表'!u"&amp;$G$1)</f>
        <v>0</v>
      </c>
      <c r="G6" s="991"/>
      <c r="H6" s="745" t="s">
        <v>392</v>
      </c>
      <c r="I6" s="2951" t="s">
        <v>3794</v>
      </c>
      <c r="J6" s="4456">
        <f ca="1">J7-J9</f>
        <v>0</v>
      </c>
      <c r="K6" s="2952" t="s">
        <v>3798</v>
      </c>
      <c r="L6" s="2950" t="s">
        <v>3400</v>
      </c>
      <c r="M6" s="3272">
        <f ca="1">INDIRECT("'数据-取费表'!z"&amp;$G$1)</f>
        <v>0</v>
      </c>
    </row>
    <row r="7" spans="1:37" ht="18" customHeight="1">
      <c r="A7" s="4923" t="s">
        <v>391</v>
      </c>
      <c r="B7" s="4916" t="s">
        <v>3792</v>
      </c>
      <c r="C7" s="4918">
        <f ca="1">ROUND(F6*F7*F8/10000,2)</f>
        <v>0</v>
      </c>
      <c r="D7" s="4919" t="s">
        <v>3471</v>
      </c>
      <c r="E7" s="4451" t="s">
        <v>682</v>
      </c>
      <c r="F7" s="3972">
        <f ca="1">IF(INDIRECT("'数据-取费表'!ah"&amp;$G$1)="",INDIRECT("'数据-取费表'!k"&amp;$G$1),INDIRECT("'数据-取费表'!ah"&amp;$G$1))</f>
        <v>0</v>
      </c>
      <c r="G7" s="991"/>
      <c r="H7" s="4923" t="s">
        <v>391</v>
      </c>
      <c r="I7" s="4916" t="s">
        <v>3792</v>
      </c>
      <c r="J7" s="4925">
        <f ca="1">ROUND(M6*M8*M7/10000,2)</f>
        <v>0</v>
      </c>
      <c r="K7" s="4919" t="s">
        <v>3471</v>
      </c>
      <c r="L7" s="190" t="s">
        <v>682</v>
      </c>
      <c r="M7" s="3972">
        <f ca="1">F7</f>
        <v>0</v>
      </c>
    </row>
    <row r="8" spans="1:37" ht="18" customHeight="1">
      <c r="A8" s="4924"/>
      <c r="B8" s="4917"/>
      <c r="C8" s="4918"/>
      <c r="D8" s="4919"/>
      <c r="E8" s="190" t="str">
        <f ca="1">IF(F8=1,"年",IF(F8=12,"月","天"))</f>
        <v>天</v>
      </c>
      <c r="F8" s="3677">
        <f ca="1">INDIRECT("'数据-取费表'!ai"&amp;$G$1)</f>
        <v>0</v>
      </c>
      <c r="G8" s="991"/>
      <c r="H8" s="4924"/>
      <c r="I8" s="4917"/>
      <c r="J8" s="4925"/>
      <c r="K8" s="4919"/>
      <c r="L8" s="190" t="str">
        <f ca="1">IF(M8=1,"年",IF(M8=12,"月","天"))</f>
        <v>天</v>
      </c>
      <c r="M8" s="3677">
        <f ca="1">INDIRECT("'数据-取费表'!ai"&amp;$G$1)</f>
        <v>0</v>
      </c>
    </row>
    <row r="9" spans="1:37" ht="18" customHeight="1">
      <c r="A9" s="2937" t="s">
        <v>3401</v>
      </c>
      <c r="B9" s="4455" t="s">
        <v>3793</v>
      </c>
      <c r="C9" s="4454">
        <f ca="1">ROUND(C7*F9,2)</f>
        <v>0</v>
      </c>
      <c r="D9" s="2952" t="s">
        <v>3797</v>
      </c>
      <c r="E9" s="190" t="s">
        <v>684</v>
      </c>
      <c r="F9" s="3004">
        <f ca="1">INDIRECT("'数据-取费表'!w"&amp;$G$1)</f>
        <v>0</v>
      </c>
      <c r="G9" s="991"/>
      <c r="H9" s="2937" t="s">
        <v>3401</v>
      </c>
      <c r="I9" s="4455" t="s">
        <v>3793</v>
      </c>
      <c r="J9" s="4456">
        <f ca="1">ROUND(J7*M9,2)</f>
        <v>0</v>
      </c>
      <c r="K9" s="2952" t="s">
        <v>3797</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2020</v>
      </c>
      <c r="E10" s="201" t="s">
        <v>686</v>
      </c>
      <c r="F10" s="3000"/>
      <c r="G10" s="991"/>
      <c r="H10" s="745" t="s">
        <v>396</v>
      </c>
      <c r="I10" s="972" t="s">
        <v>685</v>
      </c>
      <c r="J10" s="4458">
        <f ca="1">ROUND(IF(M10="押一",J6/12*M11,IF(M10="押二",J6/12*2*M11,IF(M10="押三",J6/12*3*M11,J11*M11))),2)</f>
        <v>0</v>
      </c>
      <c r="K10" s="973" t="s">
        <v>2019</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3884</v>
      </c>
      <c r="C13" s="4204">
        <f ca="1">ROUND(C14+C22+C24+C26,0)</f>
        <v>0</v>
      </c>
      <c r="D13" s="4369" t="s">
        <v>3885</v>
      </c>
      <c r="E13" s="4370"/>
      <c r="F13" s="4368"/>
      <c r="G13" s="4365"/>
      <c r="H13" s="754" t="s">
        <v>3676</v>
      </c>
      <c r="I13" s="755" t="s">
        <v>3884</v>
      </c>
      <c r="J13" s="4204">
        <f ca="1">ROUND(J14+J22+J24+J26,0)</f>
        <v>0</v>
      </c>
      <c r="K13" s="4371" t="s">
        <v>3886</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3968</v>
      </c>
      <c r="C14" s="4456">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3968</v>
      </c>
      <c r="J14" s="4456">
        <f ca="1">ROUND(IF(AND(项目基本情况!B11="自然人",项目基本情况!B10="北京市",M56="住宅"),J6*M14/(1+'数据-取费表'!C43),J15+J19+J20),2)</f>
        <v>0</v>
      </c>
      <c r="K14" s="2977" t="s">
        <v>3444</v>
      </c>
      <c r="L14" s="4598" t="str">
        <f>E14</f>
        <v/>
      </c>
      <c r="M14" s="4188" t="str">
        <f>IF(M56="非住宅","",IF(M6*M7*M8/12/(1+'数据-取费表'!F30)&gt;100000,4%,2.5%))</f>
        <v/>
      </c>
    </row>
    <row r="15" spans="1:37" s="1003" customFormat="1" ht="18" customHeight="1">
      <c r="A15" s="2937" t="s">
        <v>3403</v>
      </c>
      <c r="B15" s="2950" t="s">
        <v>3964</v>
      </c>
      <c r="C15" s="4456">
        <f ca="1">C18</f>
        <v>0</v>
      </c>
      <c r="D15" s="4460" t="s">
        <v>3973</v>
      </c>
      <c r="E15" s="4461"/>
      <c r="F15" s="4499"/>
      <c r="G15" s="1002"/>
      <c r="H15" s="2937" t="s">
        <v>391</v>
      </c>
      <c r="I15" s="2950" t="s">
        <v>3964</v>
      </c>
      <c r="J15" s="4456">
        <f ca="1">J18</f>
        <v>0</v>
      </c>
      <c r="K15" s="4460" t="s">
        <v>3963</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3855</v>
      </c>
      <c r="E16" s="2958" t="s">
        <v>3406</v>
      </c>
      <c r="F16" s="3002">
        <v>0.09</v>
      </c>
      <c r="G16" s="991"/>
      <c r="H16" s="2739" t="s">
        <v>3288</v>
      </c>
      <c r="I16" s="2954" t="s">
        <v>3404</v>
      </c>
      <c r="J16" s="2957">
        <f ca="1">ROUND(J6*M16,2)</f>
        <v>0</v>
      </c>
      <c r="K16" s="4341" t="s">
        <v>3861</v>
      </c>
      <c r="L16" s="2958" t="s">
        <v>3406</v>
      </c>
      <c r="M16" s="3002">
        <v>0.09</v>
      </c>
    </row>
    <row r="17" spans="1:37" s="1003" customFormat="1" ht="18" customHeight="1">
      <c r="A17" s="2739" t="s">
        <v>3289</v>
      </c>
      <c r="B17" s="2954" t="s">
        <v>3405</v>
      </c>
      <c r="C17" s="2978">
        <f ca="1">ROUND(C22*F16+((C24+C26)*F17),2)</f>
        <v>0</v>
      </c>
      <c r="D17" s="4340" t="s">
        <v>3856</v>
      </c>
      <c r="E17" s="2959"/>
      <c r="F17" s="3002">
        <v>0.06</v>
      </c>
      <c r="G17" s="1002"/>
      <c r="H17" s="2739" t="s">
        <v>3289</v>
      </c>
      <c r="I17" s="2954" t="s">
        <v>3405</v>
      </c>
      <c r="J17" s="2978">
        <f ca="1">ROUND(J22*M16+((J24+J26)*M17),2)</f>
        <v>0</v>
      </c>
      <c r="K17" s="4340"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f ca="1">ROUND((C16-C17)*F18,2)</f>
        <v>0</v>
      </c>
      <c r="D18" s="2977" t="s">
        <v>3983</v>
      </c>
      <c r="E18" s="190" t="s">
        <v>3984</v>
      </c>
      <c r="F18" s="3002">
        <f>'数据-取费表'!B44</f>
        <v>0.12000000000000001</v>
      </c>
      <c r="G18" s="1002"/>
      <c r="H18" s="2739" t="s">
        <v>3961</v>
      </c>
      <c r="I18" s="2954" t="s">
        <v>3960</v>
      </c>
      <c r="J18" s="2978">
        <f ca="1">ROUND((J16-J17)*M18,2)</f>
        <v>0</v>
      </c>
      <c r="K18" s="2977" t="s">
        <v>3983</v>
      </c>
      <c r="L18" s="190" t="s">
        <v>3984</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6">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3966</v>
      </c>
      <c r="C20" s="4458">
        <f ca="1">IF(AND(项目基本情况!B11="自然人",M56="住宅"),"——",ROUND(F20*F21/10000,2))</f>
        <v>0</v>
      </c>
      <c r="D20" s="211" t="s">
        <v>716</v>
      </c>
      <c r="E20" s="190" t="s">
        <v>717</v>
      </c>
      <c r="F20" s="3003">
        <f>'数据-取费表'!B53</f>
        <v>1.5</v>
      </c>
      <c r="G20" s="991"/>
      <c r="H20" s="4462" t="s">
        <v>666</v>
      </c>
      <c r="I20" s="983" t="s">
        <v>3966</v>
      </c>
      <c r="J20" s="4458">
        <f ca="1">ROUND(M20*M21/10000,2)</f>
        <v>0</v>
      </c>
      <c r="K20" s="211" t="s">
        <v>716</v>
      </c>
      <c r="L20" s="190" t="s">
        <v>717</v>
      </c>
      <c r="M20" s="3003">
        <f>'数据-取费表'!B53</f>
        <v>1.5</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f ca="1">ROUND(C51*F22,2)</f>
        <v>0</v>
      </c>
      <c r="D22" s="4284" t="s">
        <v>3817</v>
      </c>
      <c r="E22" s="190" t="s">
        <v>697</v>
      </c>
      <c r="F22" s="3004">
        <f ca="1">INDIRECT("'数据-取费表'!Ak"&amp;$G$1)</f>
        <v>0</v>
      </c>
      <c r="G22" s="1002"/>
      <c r="H22" s="4210" t="s">
        <v>396</v>
      </c>
      <c r="I22" s="60" t="s">
        <v>723</v>
      </c>
      <c r="J22" s="4211">
        <f ca="1">ROUND(J35*M22,2)</f>
        <v>0</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3818</v>
      </c>
      <c r="F23" s="3677">
        <f ca="1">C51</f>
        <v>0</v>
      </c>
      <c r="G23" s="1002"/>
      <c r="H23" s="213"/>
      <c r="I23" s="199"/>
      <c r="J23" s="4212"/>
      <c r="K23" s="4285"/>
      <c r="L23" s="2950" t="s">
        <v>3818</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f ca="1">ROUND(C53*F24,2)</f>
        <v>0</v>
      </c>
      <c r="D24" s="4284" t="s">
        <v>3442</v>
      </c>
      <c r="E24" s="190" t="s">
        <v>729</v>
      </c>
      <c r="F24" s="3004">
        <f ca="1">INDIRECT("'数据-取费表'!Al"&amp;$G$1)</f>
        <v>0</v>
      </c>
      <c r="G24" s="991"/>
      <c r="H24" s="4210" t="s">
        <v>431</v>
      </c>
      <c r="I24" s="60" t="s">
        <v>727</v>
      </c>
      <c r="J24" s="4211">
        <f ca="1">ROUND(J37*M24,2)</f>
        <v>0</v>
      </c>
      <c r="K24" s="4284" t="s">
        <v>3821</v>
      </c>
      <c r="L24" s="190" t="s">
        <v>729</v>
      </c>
      <c r="M24" s="3004">
        <f ca="1">INDIRECT("'数据-取费表'!Al"&amp;$G$1)</f>
        <v>0</v>
      </c>
    </row>
    <row r="25" spans="1:37" ht="18" customHeight="1">
      <c r="A25" s="213"/>
      <c r="B25" s="199"/>
      <c r="C25" s="4212"/>
      <c r="D25" s="4285"/>
      <c r="E25" s="4283" t="s">
        <v>3819</v>
      </c>
      <c r="F25" s="3677">
        <f ca="1">C53</f>
        <v>0</v>
      </c>
      <c r="G25" s="991"/>
      <c r="H25" s="213"/>
      <c r="I25" s="199"/>
      <c r="J25" s="4212"/>
      <c r="K25" s="4285"/>
      <c r="L25" s="4283" t="s">
        <v>3819</v>
      </c>
      <c r="M25" s="3677">
        <f ca="1">J37</f>
        <v>0</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3677</v>
      </c>
      <c r="B27" s="769" t="s">
        <v>3887</v>
      </c>
      <c r="C27" s="4204">
        <f ca="1">C5-C13</f>
        <v>0</v>
      </c>
      <c r="D27" s="4373" t="s">
        <v>3888</v>
      </c>
      <c r="E27" s="4374"/>
      <c r="F27" s="4375"/>
      <c r="G27" s="4376"/>
      <c r="H27" s="754" t="s">
        <v>3300</v>
      </c>
      <c r="I27" s="769" t="s">
        <v>3887</v>
      </c>
      <c r="J27" s="4204">
        <f ca="1">J5-J13</f>
        <v>0</v>
      </c>
      <c r="K27" s="4373" t="s">
        <v>3888</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87">
        <f ca="1">IF(C5&lt;&gt;0,ROUND(C27*(1-((1+F30)/(1+F28))^F29)/(F28-F30),0),0)</f>
        <v>0</v>
      </c>
      <c r="D28" s="4379" t="s">
        <v>3890</v>
      </c>
      <c r="E28" s="2962" t="s">
        <v>3891</v>
      </c>
      <c r="F28" s="3004">
        <f ca="1">INDIRECT("'数据-取费表'!I"&amp;$G$1)</f>
        <v>0</v>
      </c>
      <c r="G28" s="4365"/>
      <c r="H28" s="4263" t="s">
        <v>3678</v>
      </c>
      <c r="I28" s="4266" t="s">
        <v>3892</v>
      </c>
      <c r="J28" s="4287">
        <f ca="1">IF(J5&lt;&gt;0,ROUND(J27*(1-((1+M30)/(1+M28))^M29)/(M28-M30),0),0)</f>
        <v>0</v>
      </c>
      <c r="K28" s="4379" t="s">
        <v>3890</v>
      </c>
      <c r="L28" s="4380" t="s">
        <v>3891</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3893</v>
      </c>
      <c r="E29" s="2962" t="s">
        <v>3894</v>
      </c>
      <c r="F29" s="3005">
        <f ca="1">IF(INDIRECT("'数据-取费表'!af"&amp;$G$1)=0,INDIRECT("'数据-取费表'!ae"&amp;$G$1),INDIRECT("'数据-取费表'!af"&amp;$G$1))</f>
        <v>0</v>
      </c>
      <c r="G29" s="4365"/>
      <c r="H29" s="4264"/>
      <c r="I29" s="4267"/>
      <c r="J29" s="4288"/>
      <c r="K29" s="68" t="s">
        <v>3895</v>
      </c>
      <c r="L29" s="2962" t="s">
        <v>3894</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68"/>
      <c r="L30" s="2962" t="s">
        <v>3896</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f ca="1">ROUND(C28*(1+F31),0)</f>
        <v>0</v>
      </c>
      <c r="D31" s="4382" t="s">
        <v>3682</v>
      </c>
      <c r="E31" s="4383" t="str">
        <f>IF(D31="其他类型公式—收益价值×（1+9%）","销项税率","征收率")</f>
        <v>销项税率</v>
      </c>
      <c r="F31" s="3004">
        <f>IF(D31="其他类型公式—收益价值×（1+9%）",9%,3%)</f>
        <v>0.09</v>
      </c>
      <c r="G31" s="4376"/>
      <c r="H31" s="203" t="s">
        <v>3679</v>
      </c>
      <c r="I31" s="2962" t="s">
        <v>3898</v>
      </c>
      <c r="J31" s="4464">
        <f ca="1">ROUND(J28/(1+F28)^F29,0)</f>
        <v>0</v>
      </c>
      <c r="K31" s="4280" t="s">
        <v>3811</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3899</v>
      </c>
      <c r="E32" s="222" t="s">
        <v>3900</v>
      </c>
      <c r="F32" s="3006">
        <f ca="1">INDIRECT("'数据-取费表'!k"&amp;$G$1)</f>
        <v>0</v>
      </c>
      <c r="G32" s="4376"/>
      <c r="H32" s="4182" t="s">
        <v>3680</v>
      </c>
      <c r="I32" s="4183" t="s">
        <v>3901</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c r="A34" s="4358" t="s">
        <v>3877</v>
      </c>
      <c r="B34" s="4359" t="s">
        <v>3878</v>
      </c>
      <c r="C34" s="4360" t="s">
        <v>3816</v>
      </c>
      <c r="D34" s="4359" t="s">
        <v>3879</v>
      </c>
      <c r="E34" s="4361" t="s">
        <v>3880</v>
      </c>
      <c r="F34" s="4362"/>
      <c r="G34" s="4365"/>
      <c r="H34" s="4358" t="s">
        <v>3877</v>
      </c>
      <c r="I34" s="4359" t="s">
        <v>3878</v>
      </c>
      <c r="J34" s="4360" t="s">
        <v>3816</v>
      </c>
      <c r="K34" s="4359" t="s">
        <v>3879</v>
      </c>
      <c r="L34" s="4361" t="s">
        <v>3880</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3407</v>
      </c>
      <c r="B35" s="2962" t="s">
        <v>3408</v>
      </c>
      <c r="C35" s="4270">
        <f ca="1">SUM(C36:C41)</f>
        <v>0</v>
      </c>
      <c r="D35" s="4280" t="s">
        <v>3415</v>
      </c>
      <c r="E35" s="1053"/>
      <c r="F35" s="3538"/>
      <c r="G35" s="991"/>
      <c r="H35" s="4281" t="s">
        <v>3407</v>
      </c>
      <c r="I35" s="4282"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3863</v>
      </c>
      <c r="C37" s="2939">
        <f ca="1">ROUND(C36*F37,0)</f>
        <v>0</v>
      </c>
      <c r="D37" s="190" t="s">
        <v>696</v>
      </c>
      <c r="E37" s="190" t="s">
        <v>697</v>
      </c>
      <c r="F37" s="3002">
        <f>'数据-取费表'!B33</f>
        <v>0.04</v>
      </c>
      <c r="G37" s="991"/>
      <c r="H37" s="2985" t="s">
        <v>3449</v>
      </c>
      <c r="I37" s="4286" t="s">
        <v>3820</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3813</v>
      </c>
      <c r="F39" s="3003">
        <f>'数据-取费表'!B35</f>
        <v>360</v>
      </c>
      <c r="G39" s="991"/>
    </row>
    <row r="40" spans="1:37" ht="18" customHeight="1">
      <c r="A40" s="2937" t="s">
        <v>3412</v>
      </c>
      <c r="B40" s="2954" t="s">
        <v>3413</v>
      </c>
      <c r="C40" s="2939">
        <f ca="1">ROUND(C36*F40,0)</f>
        <v>0</v>
      </c>
      <c r="D40" s="190" t="s">
        <v>696</v>
      </c>
      <c r="E40" s="190" t="s">
        <v>697</v>
      </c>
      <c r="F40" s="3002">
        <f>'数据-取费表'!B36</f>
        <v>0.02</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2963" t="s">
        <v>3814</v>
      </c>
      <c r="E43" s="2962" t="s">
        <v>3815</v>
      </c>
      <c r="F43" s="3004">
        <f>'数据-取费表'!B39</f>
        <v>0.05</v>
      </c>
      <c r="G43" s="991"/>
      <c r="H43" s="832"/>
      <c r="I43" s="832"/>
      <c r="J43" s="832"/>
      <c r="K43" s="2020"/>
      <c r="L43" s="832"/>
      <c r="M43" s="832"/>
    </row>
    <row r="44" spans="1:37" ht="18" customHeight="1">
      <c r="A44" s="203" t="s">
        <v>3430</v>
      </c>
      <c r="B44" s="2965" t="s">
        <v>3416</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1">
        <f>ROUND(F50/(1+'数据-取费表'!C43),4)</f>
        <v>0</v>
      </c>
      <c r="D50" s="4343" t="s">
        <v>3869</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3881</v>
      </c>
      <c r="E52" s="2962" t="s">
        <v>3882</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5" thickBot="1">
      <c r="A55" s="1010" t="s">
        <v>794</v>
      </c>
      <c r="C55" s="4229" t="e">
        <f ca="1">IF(D2="含税",C83-C31,C80-C28)</f>
        <v>#DIV/0!</v>
      </c>
      <c r="D55" s="1012" t="str">
        <f>C2</f>
        <v>万元</v>
      </c>
      <c r="E55" s="1006"/>
      <c r="F55" s="1006"/>
      <c r="I55" s="1013" t="s">
        <v>795</v>
      </c>
      <c r="J55" s="1014"/>
      <c r="K55" s="1015"/>
      <c r="L55" s="4248" t="e">
        <f ca="1">IF(M56="住宅",0,IF(L57&gt;J60,L69,J69))</f>
        <v>#DIV/0!</v>
      </c>
      <c r="O55" s="4401" t="s">
        <v>1325</v>
      </c>
      <c r="P55" s="4402" t="s">
        <v>3906</v>
      </c>
      <c r="Q55" s="4403" t="s">
        <v>3907</v>
      </c>
      <c r="R55" s="4403" t="s">
        <v>3908</v>
      </c>
    </row>
    <row r="56" spans="1:18" s="991" customFormat="1" ht="13.5" thickBot="1">
      <c r="A56" s="4388" t="s">
        <v>3877</v>
      </c>
      <c r="B56" s="4389" t="s">
        <v>3878</v>
      </c>
      <c r="C56" s="4360" t="s">
        <v>3816</v>
      </c>
      <c r="D56" s="4389" t="s">
        <v>3879</v>
      </c>
      <c r="E56" s="4390" t="s">
        <v>3880</v>
      </c>
      <c r="F56" s="739"/>
      <c r="G56" s="515"/>
      <c r="I56" s="1020" t="s">
        <v>800</v>
      </c>
      <c r="J56" s="1021"/>
      <c r="K56" s="1022" t="s">
        <v>801</v>
      </c>
      <c r="L56" s="4249">
        <f ca="1">INDIRECT("'数据-取费表'!d"&amp;$G$1)</f>
        <v>0</v>
      </c>
      <c r="M56" s="987" t="str">
        <f>IF(ISNUMBER(FIND("住宅",C1)),"住宅","非住宅")</f>
        <v>非住宅</v>
      </c>
      <c r="O56" s="4404" t="s">
        <v>397</v>
      </c>
      <c r="P56" s="4405" t="s">
        <v>3909</v>
      </c>
      <c r="Q56" s="4407">
        <f ca="1">C28+J31</f>
        <v>0</v>
      </c>
      <c r="R56" s="4406" t="s">
        <v>3910</v>
      </c>
    </row>
    <row r="57" spans="1:18" s="991" customFormat="1" ht="42.75" thickBot="1">
      <c r="A57" s="687" t="s">
        <v>432</v>
      </c>
      <c r="B57" s="4266" t="s">
        <v>3902</v>
      </c>
      <c r="C57" s="4391">
        <f ca="1">ROUND(C58+C62+C64,0)</f>
        <v>0</v>
      </c>
      <c r="D57" s="4366" t="s">
        <v>3903</v>
      </c>
      <c r="E57" s="4392"/>
      <c r="F57" s="672"/>
      <c r="G57" s="515"/>
      <c r="H57" s="516"/>
      <c r="I57" s="1027" t="s">
        <v>804</v>
      </c>
      <c r="J57" s="1028"/>
      <c r="K57" s="1029" t="s">
        <v>805</v>
      </c>
      <c r="L57" s="4238">
        <f ca="1">INDIRECT("'数据-取费表'!f"&amp;$G$1)</f>
        <v>0</v>
      </c>
      <c r="O57" s="4404" t="s">
        <v>398</v>
      </c>
      <c r="P57" s="4405" t="s">
        <v>3911</v>
      </c>
      <c r="Q57" s="4407" t="e">
        <f ca="1">J69</f>
        <v>#DIV/0!</v>
      </c>
      <c r="R57" s="4406" t="s">
        <v>3912</v>
      </c>
    </row>
    <row r="58" spans="1:18" s="991" customFormat="1" ht="15.75" thickBot="1">
      <c r="A58" s="4215" t="s">
        <v>3803</v>
      </c>
      <c r="B58" s="2951" t="s">
        <v>3794</v>
      </c>
      <c r="C58" s="4207">
        <f ca="1">C59-C61</f>
        <v>0</v>
      </c>
      <c r="D58" s="2952" t="s">
        <v>3798</v>
      </c>
      <c r="E58" s="2974" t="s">
        <v>3440</v>
      </c>
      <c r="F58" s="3682"/>
      <c r="G58" s="1031"/>
      <c r="H58" s="516"/>
      <c r="I58" s="1027" t="s">
        <v>808</v>
      </c>
      <c r="J58" s="4236"/>
      <c r="K58" s="1029" t="s">
        <v>809</v>
      </c>
      <c r="L58" s="4250"/>
      <c r="O58" s="1034" t="s">
        <v>399</v>
      </c>
      <c r="P58" s="1025" t="s">
        <v>810</v>
      </c>
      <c r="Q58" s="3698">
        <f ca="1">C51</f>
        <v>0</v>
      </c>
      <c r="R58" s="1026" t="s">
        <v>803</v>
      </c>
    </row>
    <row r="59" spans="1:18" s="991" customFormat="1" ht="13.5" thickBot="1">
      <c r="A59" s="4222" t="s">
        <v>3403</v>
      </c>
      <c r="B59" s="4920" t="s">
        <v>3792</v>
      </c>
      <c r="C59" s="4921">
        <f ca="1">ROUND(F58*F60*F59/10000,2)</f>
        <v>0</v>
      </c>
      <c r="D59" s="4919" t="s">
        <v>3471</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920"/>
      <c r="C60" s="4922"/>
      <c r="D60" s="4919"/>
      <c r="E60" s="691" t="str">
        <f ca="1">IF(F60=1,"年",IF(F60=12,"月","天"))</f>
        <v>天</v>
      </c>
      <c r="F60" s="3677">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18" s="991" customFormat="1" ht="13.5" thickBot="1">
      <c r="A61" s="4224" t="s">
        <v>3401</v>
      </c>
      <c r="B61" s="4457" t="s">
        <v>3793</v>
      </c>
      <c r="C61" s="4208">
        <f ca="1">ROUND(C59*F61,2)</f>
        <v>0</v>
      </c>
      <c r="D61" s="2952" t="s">
        <v>3797</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3448</v>
      </c>
      <c r="B62" s="980" t="s">
        <v>685</v>
      </c>
      <c r="C62" s="4456">
        <f ca="1">ROUND(IF(F62="押一",C58/12*F11,IF(F62="押二",C58/12*2*F11,IF(F62="押三",C58/12*3*F11,C63*F11))),2)</f>
        <v>0</v>
      </c>
      <c r="D62" s="973" t="s">
        <v>2019</v>
      </c>
      <c r="E62" s="201" t="s">
        <v>686</v>
      </c>
      <c r="F62" s="3683"/>
      <c r="I62" s="1045" t="s">
        <v>821</v>
      </c>
      <c r="J62" s="4240">
        <f ca="1">IF(M56="住宅",IF(D1="——",MAX(J60,L57),MAX(J60,L57-'数据-取费表'!B24)),IF(D1="——",MIN(J60,L57),MIN(J60,L57-'数据-取费表'!B24)))</f>
        <v>0</v>
      </c>
      <c r="K62" s="4914" t="s">
        <v>822</v>
      </c>
      <c r="L62" s="4915"/>
      <c r="O62" s="4404" t="s">
        <v>403</v>
      </c>
      <c r="P62" s="4408" t="s">
        <v>3916</v>
      </c>
      <c r="Q62" s="4407" t="e">
        <f ca="1">ROUND((Q56+Q57)*(1+F31),0)</f>
        <v>#DIV/0!</v>
      </c>
      <c r="R62" s="4406" t="s">
        <v>3917</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3804</v>
      </c>
      <c r="B64" s="976" t="s">
        <v>688</v>
      </c>
      <c r="C64" s="4205"/>
      <c r="D64" s="973"/>
      <c r="E64" s="4452"/>
      <c r="F64" s="1046"/>
      <c r="I64" s="1049" t="s">
        <v>825</v>
      </c>
      <c r="J64" s="4242" t="e">
        <f ca="1">ROUND(IF(J56="钢混",J66/J59,1-(1-2%)*(J59-J66)/J59),3)</f>
        <v>#DIV/0!</v>
      </c>
      <c r="K64" s="1051" t="s">
        <v>826</v>
      </c>
      <c r="L64" s="1052"/>
      <c r="O64" s="4401" t="s">
        <v>1325</v>
      </c>
      <c r="P64" s="4402" t="s">
        <v>3906</v>
      </c>
      <c r="Q64" s="4403" t="s">
        <v>3907</v>
      </c>
      <c r="R64" s="4403" t="s">
        <v>3908</v>
      </c>
    </row>
    <row r="65" spans="1:18" s="991" customFormat="1" ht="25.5" thickTop="1" thickBot="1">
      <c r="A65" s="203" t="s">
        <v>3676</v>
      </c>
      <c r="B65" s="668" t="s">
        <v>3884</v>
      </c>
      <c r="C65" s="4464">
        <f ca="1">ROUND(C66+C74+C76+C78,0)</f>
        <v>0</v>
      </c>
      <c r="D65" s="668" t="s">
        <v>3904</v>
      </c>
      <c r="E65" s="671"/>
      <c r="F65" s="672"/>
      <c r="I65" s="1055" t="s">
        <v>827</v>
      </c>
      <c r="J65" s="4243"/>
      <c r="K65" s="1027" t="s">
        <v>828</v>
      </c>
      <c r="L65" s="4238">
        <f ca="1">IF(L57&lt;J60,"——",L57-J62)</f>
        <v>0</v>
      </c>
      <c r="O65" s="4404" t="s">
        <v>397</v>
      </c>
      <c r="P65" s="4405" t="s">
        <v>3909</v>
      </c>
      <c r="Q65" s="4407">
        <f ca="1">C28+J31</f>
        <v>0</v>
      </c>
      <c r="R65" s="4406" t="s">
        <v>3910</v>
      </c>
    </row>
    <row r="66" spans="1:18" s="991" customFormat="1" ht="24.75" thickBot="1">
      <c r="A66" s="546" t="s">
        <v>392</v>
      </c>
      <c r="B66" s="2932" t="s">
        <v>3968</v>
      </c>
      <c r="C66" s="4456">
        <f ca="1">ROUND(IF(AND(项目基本情况!B11="自然人",项目基本情况!B10="北京市",M56="住宅"),C58*F66,C67+C71+C72),2)</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4462" t="s">
        <v>391</v>
      </c>
      <c r="B67" s="2950" t="s">
        <v>3964</v>
      </c>
      <c r="C67" s="4456">
        <f ca="1">C70</f>
        <v>0</v>
      </c>
      <c r="D67" s="4460"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4456">
        <f ca="1">ROUND(C58*F68,2)</f>
        <v>0</v>
      </c>
      <c r="D68" s="1053" t="s">
        <v>3867</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4456">
        <f ca="1">ROUND(C74*F68+((C76+C78)*F69),2)</f>
        <v>0</v>
      </c>
      <c r="D69" s="4340" t="s">
        <v>3868</v>
      </c>
      <c r="E69" s="2959"/>
      <c r="F69" s="3002">
        <f t="shared" ref="F69" si="0">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4456">
        <f ca="1">ROUND((C68-C69)*F70,2)</f>
        <v>0</v>
      </c>
      <c r="D70" s="2977" t="s">
        <v>3983</v>
      </c>
      <c r="E70" s="190" t="s">
        <v>3984</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3971</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3916</v>
      </c>
      <c r="Q71" s="4409" t="e">
        <f ca="1">ROUND((Q65+Q66)*(1+F31),0)</f>
        <v>#DIV/0!</v>
      </c>
      <c r="R71" s="4406" t="s">
        <v>3917</v>
      </c>
    </row>
    <row r="72" spans="1:18" s="991" customFormat="1" ht="13.5" thickBot="1">
      <c r="A72" s="4462" t="s">
        <v>769</v>
      </c>
      <c r="B72" s="4449" t="s">
        <v>3966</v>
      </c>
      <c r="C72" s="4458">
        <f ca="1">IF(项目基本情况!B11="自然人","——",ROUND(F72*F73/10000,2))</f>
        <v>0</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f ca="1">ROUND(F74*F75,2)</f>
        <v>0</v>
      </c>
      <c r="D74" s="4213" t="s">
        <v>3439</v>
      </c>
      <c r="E74" s="4226" t="s">
        <v>3799</v>
      </c>
      <c r="F74" s="4227">
        <f ca="1">C51</f>
        <v>0</v>
      </c>
      <c r="I74" s="1068" t="s">
        <v>851</v>
      </c>
      <c r="J74" s="3685">
        <v>40</v>
      </c>
      <c r="K74" s="3685">
        <v>30</v>
      </c>
      <c r="L74" s="3685">
        <v>50</v>
      </c>
      <c r="M74" s="1071">
        <v>0.02</v>
      </c>
      <c r="O74" s="4404" t="s">
        <v>397</v>
      </c>
      <c r="P74" s="4405" t="s">
        <v>3909</v>
      </c>
      <c r="Q74" s="4407">
        <f ca="1">C28+J31</f>
        <v>0</v>
      </c>
      <c r="R74" s="4406" t="s">
        <v>3910</v>
      </c>
    </row>
    <row r="75" spans="1:18" s="991" customFormat="1" ht="15" thickBot="1">
      <c r="A75" s="4220"/>
      <c r="B75" s="666"/>
      <c r="C75" s="4212"/>
      <c r="D75" s="4214"/>
      <c r="E75" s="660" t="s">
        <v>768</v>
      </c>
      <c r="F75" s="3004">
        <f ca="1">F22</f>
        <v>0</v>
      </c>
      <c r="O75" s="4404" t="s">
        <v>398</v>
      </c>
      <c r="P75" s="4405" t="s">
        <v>3913</v>
      </c>
      <c r="Q75" s="4409" t="e">
        <f ca="1">L69</f>
        <v>#DIV/0!</v>
      </c>
      <c r="R75" s="4406" t="s">
        <v>3915</v>
      </c>
    </row>
    <row r="76" spans="1:18" s="991" customFormat="1" ht="13.5" thickBot="1">
      <c r="A76" s="4219" t="s">
        <v>777</v>
      </c>
      <c r="B76" s="659" t="s">
        <v>727</v>
      </c>
      <c r="C76" s="4211">
        <f ca="1">ROUND(F76*F77,2)</f>
        <v>0</v>
      </c>
      <c r="D76" s="4213" t="s">
        <v>3442</v>
      </c>
      <c r="E76" s="4226" t="s">
        <v>3800</v>
      </c>
      <c r="F76" s="4228">
        <f ca="1">C53</f>
        <v>0</v>
      </c>
      <c r="O76" s="1024"/>
      <c r="P76" s="1025"/>
      <c r="Q76" s="3694"/>
      <c r="R76" s="1026"/>
    </row>
    <row r="77" spans="1:18" s="991" customFormat="1" ht="16.5" thickBot="1">
      <c r="A77" s="4221"/>
      <c r="B77" s="666"/>
      <c r="C77" s="4212"/>
      <c r="D77" s="4214"/>
      <c r="E77" s="660" t="s">
        <v>729</v>
      </c>
      <c r="F77" s="3004">
        <f ca="1">F24</f>
        <v>0</v>
      </c>
      <c r="O77" s="1034" t="s">
        <v>399</v>
      </c>
      <c r="P77" s="1025" t="s">
        <v>834</v>
      </c>
      <c r="Q77" s="3698">
        <f ca="1">L60</f>
        <v>0</v>
      </c>
      <c r="R77" s="1026" t="s">
        <v>854</v>
      </c>
    </row>
    <row r="78" spans="1:18" s="991" customFormat="1" ht="13.5" thickBot="1">
      <c r="A78" s="4221" t="s">
        <v>778</v>
      </c>
      <c r="B78" s="660" t="s">
        <v>713</v>
      </c>
      <c r="C78" s="4456">
        <f ca="1">ROUND(C57*F78,2)</f>
        <v>0</v>
      </c>
      <c r="D78" s="674" t="s">
        <v>3865</v>
      </c>
      <c r="E78" s="660" t="s">
        <v>697</v>
      </c>
      <c r="F78" s="3004">
        <f ca="1">F26</f>
        <v>0</v>
      </c>
      <c r="O78" s="1034"/>
      <c r="P78" s="1025"/>
      <c r="Q78" s="3698"/>
      <c r="R78" s="1026"/>
    </row>
    <row r="79" spans="1:18" s="991" customFormat="1" ht="16.5" thickBot="1">
      <c r="A79" s="667" t="s">
        <v>3801</v>
      </c>
      <c r="B79" s="677" t="s">
        <v>737</v>
      </c>
      <c r="C79" s="4464">
        <f ca="1">C57-C65</f>
        <v>0</v>
      </c>
      <c r="D79" s="677" t="s">
        <v>3905</v>
      </c>
      <c r="E79" s="4393"/>
      <c r="F79" s="4394"/>
      <c r="O79" s="1034" t="s">
        <v>400</v>
      </c>
      <c r="P79" s="1073" t="s">
        <v>855</v>
      </c>
      <c r="Q79" s="3698">
        <f ca="1">ROUND(Q80-Q81*Q82,0)</f>
        <v>0</v>
      </c>
      <c r="R79" s="1026" t="s">
        <v>408</v>
      </c>
    </row>
    <row r="80" spans="1:18" s="991" customFormat="1" ht="13.5" thickBot="1">
      <c r="A80" s="3453" t="s">
        <v>3802</v>
      </c>
      <c r="B80" s="658" t="s">
        <v>759</v>
      </c>
      <c r="C80" s="4269" t="e">
        <f ca="1">ROUND(C79*(1-((1+F82)/(1+F80))^F81)/(F80-F82),0)</f>
        <v>#DIV/0!</v>
      </c>
      <c r="D80" s="4395" t="s">
        <v>3890</v>
      </c>
      <c r="E80" s="668" t="s">
        <v>3891</v>
      </c>
      <c r="F80" s="3004">
        <f ca="1">F28</f>
        <v>0</v>
      </c>
      <c r="O80" s="1034" t="s">
        <v>405</v>
      </c>
      <c r="P80" s="1073" t="s">
        <v>856</v>
      </c>
      <c r="Q80" s="3698">
        <f ca="1">C27</f>
        <v>0</v>
      </c>
      <c r="R80" s="1026" t="s">
        <v>803</v>
      </c>
    </row>
    <row r="81" spans="1:18" s="991" customFormat="1" ht="13.5" thickBot="1">
      <c r="A81" s="3454"/>
      <c r="B81" s="662"/>
      <c r="C81" s="4465"/>
      <c r="D81" s="4396" t="s">
        <v>3895</v>
      </c>
      <c r="E81" s="668" t="s">
        <v>3894</v>
      </c>
      <c r="F81" s="3005">
        <f ca="1">F29</f>
        <v>0</v>
      </c>
      <c r="O81" s="1034" t="s">
        <v>406</v>
      </c>
      <c r="P81" s="1073" t="s">
        <v>857</v>
      </c>
      <c r="Q81" s="3698">
        <f ca="1">C52</f>
        <v>0</v>
      </c>
      <c r="R81" s="1026" t="s">
        <v>803</v>
      </c>
    </row>
    <row r="82" spans="1:18" s="991" customFormat="1" ht="13.5" thickBot="1">
      <c r="A82" s="3455"/>
      <c r="B82" s="3020"/>
      <c r="C82" s="3020"/>
      <c r="D82" s="4397"/>
      <c r="E82" s="668" t="s">
        <v>3896</v>
      </c>
      <c r="F82" s="2999"/>
      <c r="O82" s="1034" t="s">
        <v>407</v>
      </c>
      <c r="P82" s="1073" t="s">
        <v>858</v>
      </c>
      <c r="Q82" s="3695">
        <f ca="1">C88</f>
        <v>0</v>
      </c>
      <c r="R82" s="1026"/>
    </row>
    <row r="83" spans="1:18" s="991" customFormat="1" ht="13.5" thickBot="1">
      <c r="A83" s="664" t="s">
        <v>3805</v>
      </c>
      <c r="B83" s="2979" t="s">
        <v>3446</v>
      </c>
      <c r="C83" s="4204" t="e">
        <f ca="1">ROUND(C80*(1+F31),0)</f>
        <v>#DIV/0!</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#DIV/0!</v>
      </c>
      <c r="D84" s="4400" t="s">
        <v>3899</v>
      </c>
      <c r="E84" s="682" t="s">
        <v>3900</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3916</v>
      </c>
      <c r="Q86" s="4407" t="e">
        <f ca="1">ROUND((Q74+Q75)*(1+F31),0)</f>
        <v>#DIV/0!</v>
      </c>
      <c r="R86" s="4406" t="s">
        <v>3917</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3" priority="56">
      <formula>$L$57&gt;$J$60</formula>
    </cfRule>
  </conditionalFormatting>
  <conditionalFormatting sqref="I64 I69">
    <cfRule type="expression" dxfId="152" priority="57">
      <formula>$J$60&gt;$L$57</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-2</v>
      </c>
      <c r="G1" s="985">
        <f>MATCH(C1,'数据-取费表'!A6:A16,0)+5</f>
        <v>10</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28" customFormat="1" ht="18" customHeight="1">
      <c r="A4" s="2960" t="s">
        <v>3877</v>
      </c>
      <c r="B4" s="2961" t="s">
        <v>3878</v>
      </c>
      <c r="C4" s="3844" t="s">
        <v>3986</v>
      </c>
      <c r="D4" s="2961" t="s">
        <v>3879</v>
      </c>
      <c r="E4" s="4363" t="s">
        <v>3880</v>
      </c>
      <c r="F4" s="4427"/>
      <c r="G4" s="4416"/>
      <c r="H4" s="2960" t="s">
        <v>3877</v>
      </c>
      <c r="I4" s="2961" t="s">
        <v>3878</v>
      </c>
      <c r="J4" s="3844" t="s">
        <v>3986</v>
      </c>
      <c r="K4" s="2961" t="s">
        <v>3879</v>
      </c>
      <c r="L4" s="4429" t="s">
        <v>3880</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3402</v>
      </c>
      <c r="C5" s="4465">
        <f ca="1">C6+C10+C12</f>
        <v>0</v>
      </c>
      <c r="D5" s="4366" t="s">
        <v>3883</v>
      </c>
      <c r="E5" s="4367"/>
      <c r="F5" s="4368"/>
      <c r="G5" s="4365"/>
      <c r="H5" s="4263">
        <v>1</v>
      </c>
      <c r="I5" s="4266" t="s">
        <v>3918</v>
      </c>
      <c r="J5" s="4465">
        <f ca="1">J6+J10+J12</f>
        <v>0</v>
      </c>
      <c r="K5" s="4366" t="s">
        <v>3883</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3794</v>
      </c>
      <c r="C6" s="4601">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923" t="s">
        <v>391</v>
      </c>
      <c r="B7" s="4916" t="s">
        <v>3792</v>
      </c>
      <c r="C7" s="4926">
        <f ca="1">ROUND(F6*F7*F8,0)</f>
        <v>0</v>
      </c>
      <c r="D7" s="4919" t="s">
        <v>3471</v>
      </c>
      <c r="E7" s="4451" t="s">
        <v>682</v>
      </c>
      <c r="F7" s="3972">
        <f ca="1">IF(INDIRECT("'数据-取费表'!ah"&amp;$G$1)="",INDIRECT("'数据-取费表'!k"&amp;$G$1),INDIRECT("'数据-取费表'!ah"&amp;$G$1))</f>
        <v>0</v>
      </c>
      <c r="G7" s="991"/>
      <c r="H7" s="4923" t="s">
        <v>391</v>
      </c>
      <c r="I7" s="4916" t="s">
        <v>3792</v>
      </c>
      <c r="J7" s="4927">
        <f ca="1">ROUND(M6*M8*M7,0)</f>
        <v>0</v>
      </c>
      <c r="K7" s="4919" t="s">
        <v>3471</v>
      </c>
      <c r="L7" s="190" t="s">
        <v>682</v>
      </c>
      <c r="M7" s="4600">
        <f ca="1">F7</f>
        <v>0</v>
      </c>
    </row>
    <row r="8" spans="1:37" ht="18" customHeight="1">
      <c r="A8" s="4924"/>
      <c r="B8" s="4917"/>
      <c r="C8" s="4926"/>
      <c r="D8" s="4919"/>
      <c r="E8" s="190" t="str">
        <f ca="1">IF(F8=1,"年",IF(F8=12,"月","天"))</f>
        <v>天</v>
      </c>
      <c r="F8" s="3677">
        <f ca="1">INDIRECT("'数据-取费表'!ai"&amp;$G$1)</f>
        <v>0</v>
      </c>
      <c r="G8" s="991"/>
      <c r="H8" s="4924"/>
      <c r="I8" s="4917"/>
      <c r="J8" s="4927"/>
      <c r="K8" s="4919"/>
      <c r="L8" s="190" t="str">
        <f ca="1">IF(M8=1,"年",IF(M8=12,"月","天"))</f>
        <v>天</v>
      </c>
      <c r="M8" s="3705">
        <f ca="1">INDIRECT("'数据-取费表'!ai"&amp;$G$1)</f>
        <v>0</v>
      </c>
    </row>
    <row r="9" spans="1:37" ht="18" customHeight="1">
      <c r="A9" s="2937" t="s">
        <v>3401</v>
      </c>
      <c r="B9" s="4455" t="s">
        <v>3793</v>
      </c>
      <c r="C9" s="4465">
        <f ca="1">ROUND(C7*F9,0)</f>
        <v>0</v>
      </c>
      <c r="D9" s="2952" t="s">
        <v>3797</v>
      </c>
      <c r="E9" s="190" t="s">
        <v>684</v>
      </c>
      <c r="F9" s="3004">
        <f ca="1">INDIRECT("'数据-取费表'!w"&amp;$G$1)</f>
        <v>0</v>
      </c>
      <c r="G9" s="991"/>
      <c r="H9" s="2937" t="s">
        <v>3401</v>
      </c>
      <c r="I9" s="4455" t="s">
        <v>3793</v>
      </c>
      <c r="J9" s="4464">
        <f ca="1">ROUND(J7*M9,0)</f>
        <v>0</v>
      </c>
      <c r="K9" s="2952" t="s">
        <v>3797</v>
      </c>
      <c r="L9" s="201" t="s">
        <v>684</v>
      </c>
      <c r="M9" s="3699">
        <f ca="1">INDIRECT("'数据-取费表'!ab"&amp;$G$1)</f>
        <v>0</v>
      </c>
    </row>
    <row r="10" spans="1:37" ht="18" customHeight="1">
      <c r="A10" s="745" t="s">
        <v>396</v>
      </c>
      <c r="B10" s="972" t="s">
        <v>685</v>
      </c>
      <c r="C10" s="4464">
        <f ca="1">ROUND(IF(F10="押一",C6/12*F11,IF(F10="押二",C6/12*2*F11,IF(F10="押三",C6/12*3*F11,C11*F11))),0)</f>
        <v>0</v>
      </c>
      <c r="D10" s="973" t="s">
        <v>2019</v>
      </c>
      <c r="E10" s="201" t="s">
        <v>686</v>
      </c>
      <c r="F10" s="787"/>
      <c r="G10" s="991"/>
      <c r="H10" s="745" t="s">
        <v>396</v>
      </c>
      <c r="I10" s="972" t="s">
        <v>685</v>
      </c>
      <c r="J10" s="4269">
        <f ca="1">ROUND(IF(M10="押一",J6/12*M11,IF(M10="押二",J6/12*2*M11,IF(M10="押三",J6/12*3*M11,J11*M11))),0)</f>
        <v>0</v>
      </c>
      <c r="K10" s="973" t="s">
        <v>2019</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3919</v>
      </c>
      <c r="C13" s="4204">
        <f ca="1">ROUND(C14+C22+C24+C26,0)</f>
        <v>0</v>
      </c>
      <c r="D13" s="4605" t="s">
        <v>3920</v>
      </c>
      <c r="E13" s="4370"/>
      <c r="F13" s="4368"/>
      <c r="G13" s="4365"/>
      <c r="H13" s="754" t="s">
        <v>3676</v>
      </c>
      <c r="I13" s="755" t="s">
        <v>3919</v>
      </c>
      <c r="J13" s="4204">
        <f ca="1">ROUND(J14+J22+J24+J26,0)</f>
        <v>0</v>
      </c>
      <c r="K13" s="4604" t="s">
        <v>3921</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3967</v>
      </c>
      <c r="C14" s="2939">
        <f ca="1">ROUND(IF(AND(项目基本情况!B11="自然人",项目基本情况!B10="北京市",M56="住宅"),C6*F14,C15+C19+C20),2)</f>
        <v>0</v>
      </c>
      <c r="D14" s="4453" t="s">
        <v>3445</v>
      </c>
      <c r="E14" s="4598" t="str">
        <f>IF(M56="非住宅","","综合税率")</f>
        <v/>
      </c>
      <c r="F14" s="4188" t="str">
        <f>IF(M56="非住宅","",IF(F6*F7*F8/12/(1+'数据-取费表'!F30)&gt;100000,4%,2.5%))</f>
        <v/>
      </c>
      <c r="G14" s="991"/>
      <c r="H14" s="692" t="s">
        <v>392</v>
      </c>
      <c r="I14" s="2950" t="s">
        <v>3972</v>
      </c>
      <c r="J14" s="2939">
        <f ca="1">ROUND(IF(AND(项目基本情况!B11="自然人",项目基本情况!B10="北京市",M56="住宅"),J6*M14/(1+'数据-取费表'!C43),J15+J19+J20),0)</f>
        <v>0</v>
      </c>
      <c r="K14" s="2977" t="s">
        <v>3444</v>
      </c>
      <c r="L14" s="4598" t="str">
        <f>E14</f>
        <v/>
      </c>
      <c r="M14" s="4188" t="str">
        <f>IF(M56="非住宅","",IF(M6*M7*M8/12/(1+'数据-取费表'!F30)&gt;100000,4%,2.5%))</f>
        <v/>
      </c>
    </row>
    <row r="15" spans="1:37" s="1003" customFormat="1" ht="18" customHeight="1">
      <c r="A15" s="2937" t="s">
        <v>391</v>
      </c>
      <c r="B15" s="2950" t="s">
        <v>3964</v>
      </c>
      <c r="C15" s="2939">
        <f ca="1">C18</f>
        <v>0</v>
      </c>
      <c r="D15" s="4460" t="s">
        <v>3963</v>
      </c>
      <c r="E15" s="4461"/>
      <c r="F15" s="4499"/>
      <c r="G15" s="1002"/>
      <c r="H15" s="2937" t="s">
        <v>391</v>
      </c>
      <c r="I15" s="2950" t="s">
        <v>3964</v>
      </c>
      <c r="J15" s="2939">
        <f ca="1">J18</f>
        <v>0</v>
      </c>
      <c r="K15" s="2952" t="s">
        <v>3963</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0</v>
      </c>
      <c r="D16" s="1053" t="s">
        <v>3857</v>
      </c>
      <c r="E16" s="2958" t="s">
        <v>3406</v>
      </c>
      <c r="F16" s="3002">
        <v>0.09</v>
      </c>
      <c r="G16" s="991"/>
      <c r="H16" s="2739" t="s">
        <v>3288</v>
      </c>
      <c r="I16" s="2954" t="s">
        <v>3404</v>
      </c>
      <c r="J16" s="2887">
        <f ca="1">ROUND(J6*M16,0)</f>
        <v>0</v>
      </c>
      <c r="K16" s="4340" t="s">
        <v>3858</v>
      </c>
      <c r="L16" s="2958" t="s">
        <v>3406</v>
      </c>
      <c r="M16" s="3701">
        <v>0.09</v>
      </c>
    </row>
    <row r="17" spans="1:37" s="1003" customFormat="1" ht="18" customHeight="1">
      <c r="A17" s="2739" t="s">
        <v>3289</v>
      </c>
      <c r="B17" s="2954" t="s">
        <v>3405</v>
      </c>
      <c r="C17" s="3268">
        <f ca="1">ROUND(C22*F16+((C24+C26)*F17),0)</f>
        <v>0</v>
      </c>
      <c r="D17" s="4340" t="s">
        <v>3860</v>
      </c>
      <c r="E17" s="2959"/>
      <c r="F17" s="3002">
        <v>0.06</v>
      </c>
      <c r="G17" s="1002"/>
      <c r="H17" s="2739" t="s">
        <v>3289</v>
      </c>
      <c r="I17" s="2954" t="s">
        <v>3405</v>
      </c>
      <c r="J17" s="3268">
        <f ca="1">ROUND(J22*M16+((J24+J26)*M17),0)</f>
        <v>0</v>
      </c>
      <c r="K17" s="4342"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f ca="1">ROUND((C16-C17)*F18,0)</f>
        <v>0</v>
      </c>
      <c r="D18" s="2977" t="s">
        <v>3983</v>
      </c>
      <c r="E18" s="190" t="s">
        <v>3984</v>
      </c>
      <c r="F18" s="3002">
        <f>'数据-取费表'!B44</f>
        <v>0.12000000000000001</v>
      </c>
      <c r="G18" s="1002"/>
      <c r="H18" s="2739" t="s">
        <v>3961</v>
      </c>
      <c r="I18" s="2954" t="s">
        <v>3960</v>
      </c>
      <c r="J18" s="3268">
        <f ca="1">ROUND((J16-J17)*M18,0)</f>
        <v>0</v>
      </c>
      <c r="K18" s="2977" t="s">
        <v>3983</v>
      </c>
      <c r="L18" s="190" t="s">
        <v>3984</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f ca="1">IF(K19="按不含税租金收入（有效毛租金收入）计税",ROUND(J6*M19,0),ROUND(C51*M19*0.7,0))</f>
        <v>0</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3966</v>
      </c>
      <c r="C20" s="3269">
        <f ca="1">IF(AND(项目基本情况!B11="自然人",M56="住宅"),"——",ROUND(F20*F21,0))</f>
        <v>0</v>
      </c>
      <c r="D20" s="211" t="s">
        <v>716</v>
      </c>
      <c r="E20" s="190" t="s">
        <v>717</v>
      </c>
      <c r="F20" s="3684">
        <f>'数据-取费表'!B53</f>
        <v>1.5</v>
      </c>
      <c r="G20" s="991"/>
      <c r="H20" s="4462" t="s">
        <v>666</v>
      </c>
      <c r="I20" s="4283" t="s">
        <v>3966</v>
      </c>
      <c r="J20" s="3269">
        <f ca="1">ROUND(M20*M21,0)</f>
        <v>0</v>
      </c>
      <c r="K20" s="211" t="s">
        <v>716</v>
      </c>
      <c r="L20" s="190" t="s">
        <v>717</v>
      </c>
      <c r="M20" s="3703">
        <f>'数据-取费表'!B53</f>
        <v>1.5</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f ca="1">ROUND(C51*F22,0)</f>
        <v>0</v>
      </c>
      <c r="D22" s="4284" t="s">
        <v>724</v>
      </c>
      <c r="E22" s="190" t="s">
        <v>697</v>
      </c>
      <c r="F22" s="3004">
        <f ca="1">INDIRECT("'数据-取费表'!Ak"&amp;$G$1)</f>
        <v>0</v>
      </c>
      <c r="G22" s="1002"/>
      <c r="H22" s="4210" t="s">
        <v>396</v>
      </c>
      <c r="I22" s="60" t="s">
        <v>723</v>
      </c>
      <c r="J22" s="4230">
        <f ca="1">ROUND(J35*M22,0)</f>
        <v>0</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3818</v>
      </c>
      <c r="F23" s="3677">
        <f ca="1">C51</f>
        <v>0</v>
      </c>
      <c r="G23" s="1002"/>
      <c r="H23" s="213"/>
      <c r="I23" s="199"/>
      <c r="J23" s="4231"/>
      <c r="K23" s="4285"/>
      <c r="L23" s="2950" t="s">
        <v>3818</v>
      </c>
      <c r="M23" s="3705">
        <f ca="1">J35</f>
        <v>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f ca="1">ROUND(C53*F24,0)</f>
        <v>0</v>
      </c>
      <c r="D24" s="4284" t="s">
        <v>3442</v>
      </c>
      <c r="E24" s="190" t="s">
        <v>697</v>
      </c>
      <c r="F24" s="3004">
        <f ca="1">INDIRECT("'数据-取费表'!Al"&amp;$G$1)</f>
        <v>0</v>
      </c>
      <c r="G24" s="991"/>
      <c r="H24" s="4210" t="s">
        <v>431</v>
      </c>
      <c r="I24" s="60" t="s">
        <v>727</v>
      </c>
      <c r="J24" s="4230">
        <f ca="1">ROUND(J37*M24,0)</f>
        <v>0</v>
      </c>
      <c r="K24" s="4284" t="s">
        <v>728</v>
      </c>
      <c r="L24" s="190" t="s">
        <v>697</v>
      </c>
      <c r="M24" s="4252">
        <f ca="1">INDIRECT("'数据-取费表'!Al"&amp;$G$1)</f>
        <v>0</v>
      </c>
    </row>
    <row r="25" spans="1:37" ht="18" customHeight="1">
      <c r="A25" s="213"/>
      <c r="B25" s="199"/>
      <c r="C25" s="4231"/>
      <c r="D25" s="4285"/>
      <c r="E25" s="4283" t="s">
        <v>3819</v>
      </c>
      <c r="F25" s="3677">
        <f ca="1">C53</f>
        <v>0</v>
      </c>
      <c r="G25" s="991"/>
      <c r="H25" s="213"/>
      <c r="I25" s="199"/>
      <c r="J25" s="4231"/>
      <c r="K25" s="4285"/>
      <c r="L25" s="4283" t="s">
        <v>3819</v>
      </c>
      <c r="M25" s="3705">
        <f ca="1">J37</f>
        <v>0</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3300</v>
      </c>
      <c r="B27" s="769" t="s">
        <v>3922</v>
      </c>
      <c r="C27" s="4204">
        <f ca="1">C5-C13</f>
        <v>0</v>
      </c>
      <c r="D27" s="4604" t="s">
        <v>3905</v>
      </c>
      <c r="E27" s="4374"/>
      <c r="F27" s="4375"/>
      <c r="G27" s="4376"/>
      <c r="H27" s="754" t="s">
        <v>3300</v>
      </c>
      <c r="I27" s="769" t="s">
        <v>3922</v>
      </c>
      <c r="J27" s="4204">
        <f ca="1">J5-J13</f>
        <v>0</v>
      </c>
      <c r="K27" s="4604" t="s">
        <v>3905</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3678</v>
      </c>
      <c r="B28" s="4266" t="s">
        <v>3889</v>
      </c>
      <c r="C28" s="4269" t="e">
        <f ca="1">ROUND(C27*(1-((1+F30)/(1+F28))^F29)/(F28-F30),0)</f>
        <v>#DIV/0!</v>
      </c>
      <c r="D28" s="4379" t="s">
        <v>3923</v>
      </c>
      <c r="E28" s="2962" t="s">
        <v>3891</v>
      </c>
      <c r="F28" s="3004">
        <f ca="1">INDIRECT("'数据-取费表'!I"&amp;$G$1)</f>
        <v>0</v>
      </c>
      <c r="G28" s="4365"/>
      <c r="H28" s="4263" t="s">
        <v>3678</v>
      </c>
      <c r="I28" s="4271" t="s">
        <v>3810</v>
      </c>
      <c r="J28" s="4287">
        <f ca="1">IF(J5&lt;&gt;0,ROUND(J27*(1-((1+M30)/(1+M28))^M29)/(M28-M30),0),0)</f>
        <v>0</v>
      </c>
      <c r="K28" s="4379" t="s">
        <v>3923</v>
      </c>
      <c r="L28" s="4380" t="s">
        <v>3891</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3894</v>
      </c>
      <c r="F29" s="3005">
        <f ca="1">IF(INDIRECT("'数据-取费表'!af"&amp;$G$1)=0,INDIRECT("'数据-取费表'!ae"&amp;$G$1),INDIRECT("'数据-取费表'!af"&amp;$G$1))</f>
        <v>0</v>
      </c>
      <c r="G29" s="4365"/>
      <c r="H29" s="4264"/>
      <c r="I29" s="4267"/>
      <c r="J29" s="4288"/>
      <c r="K29" s="4381"/>
      <c r="L29" s="2962" t="s">
        <v>3894</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3896</v>
      </c>
      <c r="F30" s="3004">
        <f ca="1">INDIRECT("'数据-取费表'!v"&amp;$G$1)</f>
        <v>0</v>
      </c>
      <c r="G30" s="4365"/>
      <c r="H30" s="4265"/>
      <c r="I30" s="4268"/>
      <c r="J30" s="4289"/>
      <c r="K30" s="769"/>
      <c r="L30" s="2962" t="s">
        <v>3896</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3679</v>
      </c>
      <c r="B31" s="4186" t="s">
        <v>3897</v>
      </c>
      <c r="C31" s="4189" t="e">
        <f ca="1">ROUND(C28*(1+F31),0)</f>
        <v>#DIV/0!</v>
      </c>
      <c r="D31" s="4382" t="s">
        <v>3682</v>
      </c>
      <c r="E31" s="4383" t="str">
        <f>IF(D31="其他类型公式—收益价值×（1+9%）","销项税率","征收率")</f>
        <v>销项税率</v>
      </c>
      <c r="F31" s="4413">
        <f>IF(D31="其他类型公式—收益价值×（1+9%）",9%,3%)</f>
        <v>0.09</v>
      </c>
      <c r="G31" s="4376"/>
      <c r="H31" s="203" t="s">
        <v>3679</v>
      </c>
      <c r="I31" s="2962" t="s">
        <v>3898</v>
      </c>
      <c r="J31" s="4464">
        <f ca="1">ROUND(J28/(1+F28)^F29,0)</f>
        <v>0</v>
      </c>
      <c r="K31" s="2921" t="s">
        <v>3924</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#DIV/0!</v>
      </c>
      <c r="D32" s="4384" t="s">
        <v>3899</v>
      </c>
      <c r="E32" s="222" t="s">
        <v>3900</v>
      </c>
      <c r="F32" s="3006">
        <f ca="1">INDIRECT("'数据-取费表'!k"&amp;$G$1)</f>
        <v>0</v>
      </c>
      <c r="G32" s="4376"/>
      <c r="H32" s="4182" t="s">
        <v>3681</v>
      </c>
      <c r="I32" s="4183" t="s">
        <v>3901</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#DIV/0!</v>
      </c>
      <c r="G33" s="991"/>
    </row>
    <row r="34" spans="1:37" s="122" customFormat="1" ht="18" customHeight="1" thickBot="1">
      <c r="A34" s="4358" t="s">
        <v>3925</v>
      </c>
      <c r="B34" s="4359" t="s">
        <v>3926</v>
      </c>
      <c r="C34" s="4360" t="s">
        <v>3986</v>
      </c>
      <c r="D34" s="4359" t="s">
        <v>3927</v>
      </c>
      <c r="E34" s="4361" t="s">
        <v>3928</v>
      </c>
      <c r="F34" s="4362"/>
      <c r="G34" s="4365"/>
      <c r="H34" s="4358" t="s">
        <v>3925</v>
      </c>
      <c r="I34" s="4359" t="s">
        <v>3926</v>
      </c>
      <c r="J34" s="4360" t="s">
        <v>3986</v>
      </c>
      <c r="K34" s="4359" t="s">
        <v>3927</v>
      </c>
      <c r="L34" s="4361" t="s">
        <v>3928</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3407</v>
      </c>
      <c r="B35" s="2961" t="s">
        <v>3408</v>
      </c>
      <c r="C35" s="3679">
        <f ca="1">SUM(C36:C41)</f>
        <v>0</v>
      </c>
      <c r="D35" s="2973" t="s">
        <v>3415</v>
      </c>
      <c r="E35" s="2969"/>
      <c r="F35" s="2970"/>
      <c r="G35" s="991"/>
      <c r="H35" s="2983" t="s">
        <v>3407</v>
      </c>
      <c r="I35" s="2986" t="s">
        <v>3447</v>
      </c>
      <c r="J35" s="2987">
        <f ca="1">C51</f>
        <v>0</v>
      </c>
      <c r="K35" s="3452" t="s">
        <v>3443</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3435</v>
      </c>
      <c r="J36" s="2887">
        <f ca="1">ROUND(J35*(1-M36),0)</f>
        <v>0</v>
      </c>
      <c r="K36" s="190" t="s">
        <v>3438</v>
      </c>
      <c r="L36" s="2952" t="s">
        <v>3450</v>
      </c>
      <c r="M36" s="3004">
        <f ca="1">INDIRECT("'数据-取费表'!ad"&amp;$G$1)</f>
        <v>0</v>
      </c>
    </row>
    <row r="37" spans="1:37" ht="18" customHeight="1" thickBot="1">
      <c r="A37" s="2937" t="s">
        <v>3401</v>
      </c>
      <c r="B37" s="2902" t="s">
        <v>695</v>
      </c>
      <c r="C37" s="2939">
        <f ca="1">ROUND(C36*F37,0)</f>
        <v>0</v>
      </c>
      <c r="D37" s="190" t="s">
        <v>696</v>
      </c>
      <c r="E37" s="190" t="s">
        <v>697</v>
      </c>
      <c r="F37" s="3002">
        <f>'数据-取费表'!B33</f>
        <v>0.04</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ROUND(F39*(F32+INDIRECT("'数据-取费表'!S"&amp;$G$1)),0)</f>
        <v>0</v>
      </c>
      <c r="D39" s="190" t="s">
        <v>702</v>
      </c>
      <c r="E39" s="190" t="s">
        <v>3871</v>
      </c>
      <c r="F39" s="3688">
        <f>'数据-取费表'!B35</f>
        <v>360</v>
      </c>
      <c r="G39" s="991"/>
    </row>
    <row r="40" spans="1:37" ht="18" customHeight="1">
      <c r="A40" s="2937" t="s">
        <v>668</v>
      </c>
      <c r="B40" s="2954" t="s">
        <v>3292</v>
      </c>
      <c r="C40" s="2939">
        <f ca="1">ROUND(C36*F40,0)</f>
        <v>0</v>
      </c>
      <c r="D40" s="190" t="s">
        <v>696</v>
      </c>
      <c r="E40" s="190" t="s">
        <v>697</v>
      </c>
      <c r="F40" s="3002">
        <f>'数据-取费表'!B36</f>
        <v>0.02</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3031" t="s">
        <v>3424</v>
      </c>
      <c r="E42" s="2962" t="s">
        <v>3425</v>
      </c>
      <c r="F42" s="3004">
        <f>'数据-取费表'!B38</f>
        <v>0.02</v>
      </c>
      <c r="G42" s="991"/>
      <c r="H42" s="832"/>
      <c r="I42" s="832"/>
      <c r="J42" s="832"/>
      <c r="K42" s="2020"/>
      <c r="L42" s="832"/>
      <c r="M42" s="832"/>
    </row>
    <row r="43" spans="1:37" ht="18" customHeight="1">
      <c r="A43" s="203" t="s">
        <v>3426</v>
      </c>
      <c r="B43" s="2962" t="s">
        <v>3427</v>
      </c>
      <c r="C43" s="4020" t="str">
        <f>F43&amp;"V建"</f>
        <v>0.05V建</v>
      </c>
      <c r="D43" s="3031" t="s">
        <v>3428</v>
      </c>
      <c r="E43" s="2962" t="s">
        <v>3429</v>
      </c>
      <c r="F43" s="3004">
        <f>'数据-取费表'!B39</f>
        <v>0.05</v>
      </c>
      <c r="G43" s="991"/>
      <c r="H43" s="832"/>
      <c r="I43" s="832"/>
      <c r="J43" s="832"/>
      <c r="K43" s="2020"/>
      <c r="L43" s="832"/>
      <c r="M43" s="832"/>
    </row>
    <row r="44" spans="1:37" ht="18" customHeight="1">
      <c r="A44" s="203" t="s">
        <v>3430</v>
      </c>
      <c r="B44" s="2965" t="s">
        <v>3367</v>
      </c>
      <c r="C44" s="3680" t="str">
        <f ca="1">C45&amp;"+"&amp;C46&amp;"V建"</f>
        <v>0+0.0016V建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3030" t="str">
        <f>IF(F45&lt;=1,"(建造成本+管理费用)×利率×(建设周期÷2)","(建造成本+管理费用)×((1+利率)^(建设周期÷2)-1)")</f>
        <v>(建造成本+管理费用)×((1+利率)^(建设周期÷2)-1)</v>
      </c>
      <c r="E45" s="190" t="s">
        <v>726</v>
      </c>
      <c r="F45" s="3684">
        <f>'数据-取费表'!B20</f>
        <v>2</v>
      </c>
      <c r="G45" s="991"/>
      <c r="H45" s="832"/>
      <c r="I45" s="832"/>
      <c r="J45" s="832"/>
      <c r="K45" s="2020"/>
      <c r="L45" s="832"/>
      <c r="M45" s="832"/>
    </row>
    <row r="46" spans="1:37" ht="18" customHeight="1">
      <c r="A46" s="2937" t="s">
        <v>730</v>
      </c>
      <c r="B46" s="190" t="s">
        <v>731</v>
      </c>
      <c r="C46" s="3678">
        <f ca="1">ROUND(IF('数据-取费表'!B22&lt;=1,F43*F46*F45/2,F43*(POWER((1+F46),F45/2)-1)),4)</f>
        <v>1.6000000000000001E-3</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3311</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3419</v>
      </c>
      <c r="C50" s="4345">
        <f>ROUND(F50/(1+'数据-取费表'!C43),4)</f>
        <v>0</v>
      </c>
      <c r="D50" s="4343" t="s">
        <v>3870</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3931</v>
      </c>
      <c r="B51" s="2962" t="s">
        <v>3932</v>
      </c>
      <c r="C51" s="4345">
        <f ca="1">ROUND((C35+C42+C45+C48)/(1-F43-C46-C49-C50),0)</f>
        <v>0</v>
      </c>
      <c r="D51" s="2976" t="s">
        <v>3443</v>
      </c>
      <c r="E51" s="2962"/>
      <c r="F51" s="3004"/>
      <c r="K51" s="4416"/>
      <c r="Q51" s="4411"/>
    </row>
    <row r="52" spans="1:37" s="4365" customFormat="1" ht="18" customHeight="1">
      <c r="A52" s="2966" t="s">
        <v>3433</v>
      </c>
      <c r="B52" s="2965" t="s">
        <v>3435</v>
      </c>
      <c r="C52" s="4345">
        <f ca="1">ROUND(C51*(1-F52),0)</f>
        <v>0</v>
      </c>
      <c r="D52" s="2962" t="s">
        <v>3933</v>
      </c>
      <c r="E52" s="2962" t="s">
        <v>3934</v>
      </c>
      <c r="F52" s="3004">
        <f ca="1">INDIRECT("'数据-取费表'!y"&amp;$G$1)</f>
        <v>0</v>
      </c>
      <c r="K52" s="4416"/>
      <c r="Q52" s="4411"/>
    </row>
    <row r="53" spans="1:37" s="4365" customFormat="1" ht="18" customHeight="1" thickBot="1">
      <c r="A53" s="2967" t="s">
        <v>3929</v>
      </c>
      <c r="B53" s="2975" t="s">
        <v>3441</v>
      </c>
      <c r="C53" s="2991">
        <f ca="1">C51-C52</f>
        <v>0</v>
      </c>
      <c r="D53" s="2971" t="s">
        <v>3935</v>
      </c>
      <c r="E53" s="222"/>
      <c r="F53" s="2972"/>
      <c r="K53" s="4416"/>
      <c r="Q53" s="4411"/>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5" thickBot="1">
      <c r="A55" s="2702" t="s">
        <v>3962</v>
      </c>
      <c r="C55" s="4607" t="e">
        <f ca="1">ROUND(IF(D2="含税",C83-C31,C80-C28)/10000,4)</f>
        <v>#DIV/0!</v>
      </c>
      <c r="D55" s="1012" t="str">
        <f>C2</f>
        <v>万元</v>
      </c>
      <c r="E55" s="1006"/>
      <c r="F55" s="1006"/>
      <c r="I55" s="1013" t="s">
        <v>795</v>
      </c>
      <c r="J55" s="1014"/>
      <c r="K55" s="1015"/>
      <c r="L55" s="4248" t="e">
        <f ca="1">IF(M56="住宅",0,IF(L57&gt;J60,L69,J69))</f>
        <v>#DIV/0!</v>
      </c>
      <c r="O55" s="4401" t="s">
        <v>1325</v>
      </c>
      <c r="P55" s="4402" t="s">
        <v>3906</v>
      </c>
      <c r="Q55" s="4422" t="s">
        <v>3907</v>
      </c>
      <c r="R55" s="4403" t="s">
        <v>3908</v>
      </c>
    </row>
    <row r="56" spans="1:37" s="991" customFormat="1" ht="13.5" thickBot="1">
      <c r="A56" s="4388" t="s">
        <v>3877</v>
      </c>
      <c r="B56" s="4389" t="s">
        <v>3878</v>
      </c>
      <c r="C56" s="4360" t="s">
        <v>3986</v>
      </c>
      <c r="D56" s="4389" t="s">
        <v>3879</v>
      </c>
      <c r="E56" s="4390" t="s">
        <v>3880</v>
      </c>
      <c r="F56" s="4417"/>
      <c r="G56" s="515"/>
      <c r="I56" s="1020" t="s">
        <v>800</v>
      </c>
      <c r="J56" s="1021"/>
      <c r="K56" s="1022" t="s">
        <v>801</v>
      </c>
      <c r="L56" s="4249">
        <f ca="1">INDIRECT("'数据-取费表'!d"&amp;$G$1)</f>
        <v>0</v>
      </c>
      <c r="M56" s="987" t="str">
        <f>IF(ISNUMBER(FIND("住宅",C1)),"住宅","非住宅")</f>
        <v>非住宅</v>
      </c>
      <c r="O56" s="4404" t="s">
        <v>397</v>
      </c>
      <c r="P56" s="4408" t="s">
        <v>3946</v>
      </c>
      <c r="Q56" s="4409" t="e">
        <f ca="1">C28+J31</f>
        <v>#DIV/0!</v>
      </c>
      <c r="R56" s="4406" t="s">
        <v>3910</v>
      </c>
    </row>
    <row r="57" spans="1:37" s="991" customFormat="1" ht="42.75" thickBot="1">
      <c r="A57" s="686" t="s">
        <v>432</v>
      </c>
      <c r="B57" s="4266" t="s">
        <v>3902</v>
      </c>
      <c r="C57" s="4391">
        <f ca="1">C58+C62+C64</f>
        <v>0</v>
      </c>
      <c r="D57" s="4366" t="s">
        <v>3936</v>
      </c>
      <c r="E57" s="4392"/>
      <c r="F57" s="4418"/>
      <c r="G57" s="515"/>
      <c r="H57" s="516"/>
      <c r="I57" s="1027" t="s">
        <v>804</v>
      </c>
      <c r="J57" s="1028"/>
      <c r="K57" s="1029" t="s">
        <v>805</v>
      </c>
      <c r="L57" s="4238">
        <f ca="1">INDIRECT("'数据-取费表'!f"&amp;$G$1)</f>
        <v>0</v>
      </c>
      <c r="O57" s="4404" t="s">
        <v>398</v>
      </c>
      <c r="P57" s="4405" t="s">
        <v>3911</v>
      </c>
      <c r="Q57" s="4409" t="e">
        <f ca="1">J69</f>
        <v>#DIV/0!</v>
      </c>
      <c r="R57" s="4406" t="s">
        <v>3912</v>
      </c>
    </row>
    <row r="58" spans="1:37" s="991" customFormat="1" ht="15" customHeight="1" thickBot="1">
      <c r="A58" s="4215" t="s">
        <v>3807</v>
      </c>
      <c r="B58" s="2951" t="s">
        <v>3794</v>
      </c>
      <c r="C58" s="2994">
        <f ca="1">C59-C61</f>
        <v>0</v>
      </c>
      <c r="D58" s="2952" t="s">
        <v>3798</v>
      </c>
      <c r="E58" s="2974" t="s">
        <v>3440</v>
      </c>
      <c r="F58" s="2996"/>
      <c r="G58" s="1031"/>
      <c r="H58" s="516"/>
      <c r="I58" s="1027" t="s">
        <v>808</v>
      </c>
      <c r="J58" s="4236"/>
      <c r="K58" s="1029" t="s">
        <v>809</v>
      </c>
      <c r="L58" s="4250"/>
      <c r="O58" s="1034" t="s">
        <v>399</v>
      </c>
      <c r="P58" s="4424" t="s">
        <v>3947</v>
      </c>
      <c r="Q58" s="3694">
        <f ca="1">C51</f>
        <v>0</v>
      </c>
      <c r="R58" s="1026" t="s">
        <v>803</v>
      </c>
    </row>
    <row r="59" spans="1:37" s="991" customFormat="1" ht="15" customHeight="1" thickBot="1">
      <c r="A59" s="4222" t="s">
        <v>3795</v>
      </c>
      <c r="B59" s="4916" t="s">
        <v>3792</v>
      </c>
      <c r="C59" s="4269">
        <f ca="1">ROUND(F58*F60*F59,0)</f>
        <v>0</v>
      </c>
      <c r="D59" s="4919" t="s">
        <v>3471</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917"/>
      <c r="C60" s="4203"/>
      <c r="D60" s="4919"/>
      <c r="E60" s="691" t="str">
        <f ca="1">IF(F60=1,"年",IF(F60=12,"月","天"))</f>
        <v>天</v>
      </c>
      <c r="F60" s="2998">
        <f ca="1">F8</f>
        <v>0</v>
      </c>
      <c r="I60" s="1038" t="s">
        <v>814</v>
      </c>
      <c r="J60" s="4238">
        <f>IF(J58="",J59,J58+J59-YEAR('数据-取费表'!B2))</f>
        <v>0</v>
      </c>
      <c r="K60" s="1040" t="s">
        <v>815</v>
      </c>
      <c r="L60" s="4227">
        <f ca="1">ROUND(-PV(INDIRECT("'数据-取费表'!h"&amp;$G$1),J60,(C27-C52*C88),0),0)</f>
        <v>0</v>
      </c>
      <c r="M60" s="1042"/>
      <c r="O60" s="1034" t="s">
        <v>401</v>
      </c>
      <c r="P60" s="1025" t="s">
        <v>816</v>
      </c>
      <c r="Q60" s="3695">
        <f>J61</f>
        <v>0</v>
      </c>
      <c r="R60" s="1026"/>
    </row>
    <row r="61" spans="1:37" s="991" customFormat="1" ht="15" customHeight="1" thickBot="1">
      <c r="A61" s="4202" t="s">
        <v>3796</v>
      </c>
      <c r="B61" s="4455" t="s">
        <v>3793</v>
      </c>
      <c r="C61" s="2995">
        <f ca="1">ROUND(C59*F61,0)</f>
        <v>0</v>
      </c>
      <c r="D61" s="2952" t="s">
        <v>3797</v>
      </c>
      <c r="E61" s="691" t="s">
        <v>684</v>
      </c>
      <c r="F61" s="2999"/>
      <c r="I61" s="1043" t="s">
        <v>817</v>
      </c>
      <c r="J61" s="4239"/>
      <c r="K61" s="1043" t="s">
        <v>818</v>
      </c>
      <c r="L61" s="4253"/>
      <c r="O61" s="1034" t="s">
        <v>402</v>
      </c>
      <c r="P61" s="1025" t="s">
        <v>819</v>
      </c>
      <c r="Q61" s="3694">
        <f ca="1">J62</f>
        <v>-2</v>
      </c>
      <c r="R61" s="1026" t="s">
        <v>820</v>
      </c>
    </row>
    <row r="62" spans="1:37" s="991" customFormat="1" ht="24.75" thickBot="1">
      <c r="A62" s="4225" t="s">
        <v>3448</v>
      </c>
      <c r="B62" s="980" t="s">
        <v>685</v>
      </c>
      <c r="C62" s="4464">
        <f ca="1">ROUND(IF(F62="押一",C58/12*F11,IF(F62="押二",C58/12*2*F11,IF(F62="押三",C58/12*3*F11,C63*F11))),0)</f>
        <v>0</v>
      </c>
      <c r="D62" s="973" t="s">
        <v>2019</v>
      </c>
      <c r="E62" s="201" t="s">
        <v>686</v>
      </c>
      <c r="F62" s="3000"/>
      <c r="I62" s="1045" t="s">
        <v>821</v>
      </c>
      <c r="J62" s="4240">
        <f ca="1">IF(M56="住宅",IF(D1="——",MAX(J60,L57),MAX(J60,L57-'数据-取费表'!B24)),IF(D1="——",MIN(J60,L57),MIN(J60,L57-'数据-取费表'!B24)))</f>
        <v>-2</v>
      </c>
      <c r="K62" s="4914" t="s">
        <v>822</v>
      </c>
      <c r="L62" s="4915"/>
      <c r="O62" s="4404" t="s">
        <v>403</v>
      </c>
      <c r="P62" s="4408" t="s">
        <v>3948</v>
      </c>
      <c r="Q62" s="4409" t="e">
        <f ca="1">ROUND((Q56+Q57)*(1+F31),0)</f>
        <v>#DIV/0!</v>
      </c>
      <c r="R62" s="4406" t="s">
        <v>3950</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3906</v>
      </c>
      <c r="Q64" s="4422" t="s">
        <v>3907</v>
      </c>
      <c r="R64" s="4403" t="s">
        <v>3908</v>
      </c>
    </row>
    <row r="65" spans="1:18" s="991" customFormat="1" ht="25.5" thickTop="1" thickBot="1">
      <c r="A65" s="203" t="s">
        <v>3937</v>
      </c>
      <c r="B65" s="668" t="s">
        <v>3919</v>
      </c>
      <c r="C65" s="4464">
        <f ca="1">ROUND(C66+C74+C76+C78,0)</f>
        <v>0</v>
      </c>
      <c r="D65" s="668" t="s">
        <v>3938</v>
      </c>
      <c r="E65" s="4419"/>
      <c r="F65" s="672"/>
      <c r="I65" s="1055" t="s">
        <v>827</v>
      </c>
      <c r="J65" s="1056"/>
      <c r="K65" s="1027" t="s">
        <v>828</v>
      </c>
      <c r="L65" s="4238">
        <f ca="1">IF(L57&lt;J60,"——",L57-J62)</f>
        <v>2</v>
      </c>
      <c r="O65" s="4404" t="s">
        <v>397</v>
      </c>
      <c r="P65" s="4408" t="s">
        <v>3946</v>
      </c>
      <c r="Q65" s="4409" t="e">
        <f ca="1">C28+J31</f>
        <v>#DIV/0!</v>
      </c>
      <c r="R65" s="4406" t="s">
        <v>3910</v>
      </c>
    </row>
    <row r="66" spans="1:18" s="991" customFormat="1" ht="24.75" thickBot="1">
      <c r="A66" s="546" t="s">
        <v>392</v>
      </c>
      <c r="B66" s="2932" t="s">
        <v>3972</v>
      </c>
      <c r="C66" s="2939">
        <f ca="1">ROUND(IF(AND(项目基本情况!B11="自然人",项目基本情况!B10="北京市",M56="住宅"),C58*F66,C67+C71+C72),0)</f>
        <v>0</v>
      </c>
      <c r="D66" s="673" t="s">
        <v>3445</v>
      </c>
      <c r="E66" s="673" t="str">
        <f>E14</f>
        <v/>
      </c>
      <c r="F66" s="4188" t="str">
        <f>IF(M56="非住宅","",IF(F58*F59*F60/12/(1+'数据-取费表'!F30)&gt;100000,4%,2.5%))</f>
        <v/>
      </c>
      <c r="I66" s="1061" t="s">
        <v>829</v>
      </c>
      <c r="J66" s="4244">
        <f ca="1">IF(OR(M56="住宅",J60&lt;L57,J65="是"),"——",J60-L57)</f>
        <v>0</v>
      </c>
      <c r="K66" s="1027" t="s">
        <v>830</v>
      </c>
      <c r="L66" s="4251">
        <f ca="1">IF(L57&lt;J60,"——",IF(L64="比较法",L58,IF(L64="基准地价",L59,L60)))</f>
        <v>0</v>
      </c>
      <c r="O66" s="4404" t="s">
        <v>398</v>
      </c>
      <c r="P66" s="4405" t="s">
        <v>3913</v>
      </c>
      <c r="Q66" s="4409" t="e">
        <f ca="1">L69</f>
        <v>#DIV/0!</v>
      </c>
      <c r="R66" s="4406" t="s">
        <v>3914</v>
      </c>
    </row>
    <row r="67" spans="1:18" s="991" customFormat="1" ht="24.75" thickBot="1">
      <c r="A67" s="2937" t="s">
        <v>391</v>
      </c>
      <c r="B67" s="2950" t="s">
        <v>3964</v>
      </c>
      <c r="C67" s="2939">
        <f ca="1">C70</f>
        <v>0</v>
      </c>
      <c r="D67" s="2952" t="s">
        <v>3963</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2939">
        <f ca="1">ROUND(C58*F68,0)</f>
        <v>0</v>
      </c>
      <c r="D68" s="1053" t="s">
        <v>3866</v>
      </c>
      <c r="E68" s="2958" t="s">
        <v>3406</v>
      </c>
      <c r="F68" s="3002">
        <f>F16</f>
        <v>0.09</v>
      </c>
      <c r="I68" s="1061" t="s">
        <v>835</v>
      </c>
      <c r="J68" s="4246"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2939">
        <f ca="1">ROUND(C74*F68+((C76+C78)*F69),0)</f>
        <v>0</v>
      </c>
      <c r="D69" s="4340" t="s">
        <v>3860</v>
      </c>
      <c r="E69" s="2959"/>
      <c r="F69" s="3002">
        <f>F17</f>
        <v>0.06</v>
      </c>
      <c r="I69" s="1064" t="s">
        <v>837</v>
      </c>
      <c r="J69" s="4247" t="e">
        <f ca="1">IF(OR(M56="住宅",J60&lt;L57,J65="是"),"0",ROUND(J68/(1+J61)^J62,0))</f>
        <v>#DIV/0!</v>
      </c>
      <c r="K69" s="1066" t="s">
        <v>838</v>
      </c>
      <c r="L69" s="4247" t="e">
        <f ca="1">IF(OR(M56="住宅",L57&lt;J60),0,ROUND(L66*(L67/L68-1),0))</f>
        <v>#DIV/0!</v>
      </c>
      <c r="O69" s="1034" t="s">
        <v>401</v>
      </c>
      <c r="P69" s="1025" t="s">
        <v>839</v>
      </c>
      <c r="Q69" s="3697" t="e">
        <f ca="1">L67</f>
        <v>#DIV/0!</v>
      </c>
      <c r="R69" s="1026" t="s">
        <v>840</v>
      </c>
    </row>
    <row r="70" spans="1:18" s="991" customFormat="1" ht="13.5" thickBot="1">
      <c r="A70" s="2739" t="s">
        <v>3961</v>
      </c>
      <c r="B70" s="2954" t="s">
        <v>3960</v>
      </c>
      <c r="C70" s="2939">
        <f ca="1">ROUND((C68-C69)*F70,0)</f>
        <v>0</v>
      </c>
      <c r="D70" s="2977" t="s">
        <v>3983</v>
      </c>
      <c r="E70" s="190" t="s">
        <v>3985</v>
      </c>
      <c r="F70" s="3002">
        <f>F18</f>
        <v>0.12000000000000001</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3949</v>
      </c>
      <c r="Q71" s="4409" t="e">
        <f ca="1">ROUND((Q65+Q66)*(1+F31),0)</f>
        <v>#DIV/0!</v>
      </c>
      <c r="R71" s="4406" t="s">
        <v>3950</v>
      </c>
    </row>
    <row r="72" spans="1:18" s="991" customFormat="1" ht="13.5" thickBot="1">
      <c r="A72" s="4462" t="s">
        <v>769</v>
      </c>
      <c r="B72" s="4450" t="s">
        <v>3966</v>
      </c>
      <c r="C72" s="3269">
        <f ca="1">IF(项目基本情况!B11="自然人","——",ROUND(F72*F73,0))</f>
        <v>0</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3906</v>
      </c>
      <c r="Q73" s="4422" t="s">
        <v>3907</v>
      </c>
      <c r="R73" s="4403" t="s">
        <v>3908</v>
      </c>
    </row>
    <row r="74" spans="1:18" s="991" customFormat="1" ht="13.5" thickBot="1">
      <c r="A74" s="4219" t="s">
        <v>774</v>
      </c>
      <c r="B74" s="659" t="s">
        <v>775</v>
      </c>
      <c r="C74" s="4230">
        <f ca="1">ROUND(F74*F75,0)</f>
        <v>0</v>
      </c>
      <c r="D74" s="4213" t="s">
        <v>724</v>
      </c>
      <c r="E74" s="2932" t="s">
        <v>3806</v>
      </c>
      <c r="F74" s="4227">
        <f ca="1">C51</f>
        <v>0</v>
      </c>
      <c r="I74" s="3689" t="s">
        <v>851</v>
      </c>
      <c r="J74" s="3685">
        <v>40</v>
      </c>
      <c r="K74" s="3685">
        <v>30</v>
      </c>
      <c r="L74" s="3685">
        <v>50</v>
      </c>
      <c r="M74" s="1071">
        <v>0.02</v>
      </c>
      <c r="O74" s="4404" t="s">
        <v>397</v>
      </c>
      <c r="P74" s="4405" t="s">
        <v>3909</v>
      </c>
      <c r="Q74" s="4407" t="e">
        <f ca="1">C28+J31</f>
        <v>#DIV/0!</v>
      </c>
      <c r="R74" s="4406" t="s">
        <v>3910</v>
      </c>
    </row>
    <row r="75" spans="1:18" s="991" customFormat="1" ht="15" thickBot="1">
      <c r="A75" s="4221"/>
      <c r="B75" s="666"/>
      <c r="C75" s="4231"/>
      <c r="D75" s="4214"/>
      <c r="E75" s="660" t="s">
        <v>697</v>
      </c>
      <c r="F75" s="3004">
        <f ca="1">F22</f>
        <v>0</v>
      </c>
      <c r="O75" s="4404" t="s">
        <v>398</v>
      </c>
      <c r="P75" s="4405" t="s">
        <v>3913</v>
      </c>
      <c r="Q75" s="4423" t="e">
        <f ca="1">L69</f>
        <v>#DIV/0!</v>
      </c>
      <c r="R75" s="4406" t="s">
        <v>3915</v>
      </c>
    </row>
    <row r="76" spans="1:18" s="991" customFormat="1" ht="13.5" thickBot="1">
      <c r="A76" s="4219" t="s">
        <v>777</v>
      </c>
      <c r="B76" s="659" t="s">
        <v>727</v>
      </c>
      <c r="C76" s="4230">
        <f ca="1">ROUND(F76*F77,0)</f>
        <v>0</v>
      </c>
      <c r="D76" s="4213" t="s">
        <v>3442</v>
      </c>
      <c r="E76" s="2932" t="s">
        <v>3441</v>
      </c>
      <c r="F76" s="4228">
        <f ca="1">C53</f>
        <v>0</v>
      </c>
      <c r="O76" s="1024"/>
      <c r="P76" s="1025"/>
      <c r="Q76" s="3697"/>
      <c r="R76" s="1026"/>
    </row>
    <row r="77" spans="1:18" s="991" customFormat="1" ht="16.5" thickBot="1">
      <c r="A77" s="4221"/>
      <c r="B77" s="666"/>
      <c r="C77" s="4231"/>
      <c r="D77" s="4214"/>
      <c r="E77" s="660" t="s">
        <v>697</v>
      </c>
      <c r="F77" s="3004">
        <f ca="1">F24</f>
        <v>0</v>
      </c>
      <c r="O77" s="1034" t="s">
        <v>399</v>
      </c>
      <c r="P77" s="1025" t="s">
        <v>834</v>
      </c>
      <c r="Q77" s="3698">
        <f ca="1">L60</f>
        <v>0</v>
      </c>
      <c r="R77" s="1026" t="s">
        <v>854</v>
      </c>
    </row>
    <row r="78" spans="1:18" s="4365"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5" customFormat="1" ht="16.5" thickBot="1">
      <c r="A79" s="667" t="s">
        <v>3939</v>
      </c>
      <c r="B79" s="677" t="s">
        <v>3887</v>
      </c>
      <c r="C79" s="4464">
        <f ca="1">C57-C65</f>
        <v>0</v>
      </c>
      <c r="D79" s="677" t="s">
        <v>3888</v>
      </c>
      <c r="E79" s="4393"/>
      <c r="F79" s="4394"/>
      <c r="O79" s="1034" t="s">
        <v>400</v>
      </c>
      <c r="P79" s="1073" t="s">
        <v>3940</v>
      </c>
      <c r="Q79" s="3698">
        <f ca="1">ROUND(Q80-Q81*Q82,0)</f>
        <v>0</v>
      </c>
      <c r="R79" s="1026" t="s">
        <v>408</v>
      </c>
    </row>
    <row r="80" spans="1:18" s="4365" customFormat="1" ht="13.5" thickBot="1">
      <c r="A80" s="3453" t="s">
        <v>388</v>
      </c>
      <c r="B80" s="658" t="s">
        <v>3889</v>
      </c>
      <c r="C80" s="4269" t="e">
        <f ca="1">ROUND(C79*(1-((1+F82)/(1+F80))^F81)/(F80-F82),0)</f>
        <v>#DIV/0!</v>
      </c>
      <c r="D80" s="4395" t="s">
        <v>3890</v>
      </c>
      <c r="E80" s="668" t="s">
        <v>3891</v>
      </c>
      <c r="F80" s="3004">
        <f ca="1">F28</f>
        <v>0</v>
      </c>
      <c r="O80" s="1034" t="s">
        <v>405</v>
      </c>
      <c r="P80" s="1073" t="s">
        <v>3941</v>
      </c>
      <c r="Q80" s="3698">
        <f ca="1">C27</f>
        <v>0</v>
      </c>
      <c r="R80" s="1026" t="s">
        <v>803</v>
      </c>
    </row>
    <row r="81" spans="1:18" s="4365" customFormat="1" ht="13.5" thickBot="1">
      <c r="A81" s="3454"/>
      <c r="B81" s="662"/>
      <c r="C81" s="4465"/>
      <c r="D81" s="4396" t="s">
        <v>3895</v>
      </c>
      <c r="E81" s="668" t="s">
        <v>3894</v>
      </c>
      <c r="F81" s="3005">
        <f ca="1">F29</f>
        <v>0</v>
      </c>
      <c r="O81" s="1034" t="s">
        <v>406</v>
      </c>
      <c r="P81" s="1073" t="s">
        <v>3942</v>
      </c>
      <c r="Q81" s="3698">
        <f ca="1">C52</f>
        <v>0</v>
      </c>
      <c r="R81" s="1026" t="s">
        <v>803</v>
      </c>
    </row>
    <row r="82" spans="1:18" s="4365" customFormat="1" ht="13.5" thickBot="1">
      <c r="A82" s="4420"/>
      <c r="B82" s="4421"/>
      <c r="C82" s="4421"/>
      <c r="D82" s="4397"/>
      <c r="E82" s="668" t="s">
        <v>3896</v>
      </c>
      <c r="F82" s="2999"/>
      <c r="O82" s="1034" t="s">
        <v>407</v>
      </c>
      <c r="P82" s="1073" t="s">
        <v>3943</v>
      </c>
      <c r="Q82" s="3695">
        <f ca="1">C88</f>
        <v>0</v>
      </c>
      <c r="R82" s="1026"/>
    </row>
    <row r="83" spans="1:18" s="4365" customFormat="1" ht="13.5" thickBot="1">
      <c r="A83" s="664"/>
      <c r="B83" s="2979" t="s">
        <v>3945</v>
      </c>
      <c r="C83" s="4204" t="e">
        <f ca="1">ROUND(C80*(1+F31),0)</f>
        <v>#DIV/0!</v>
      </c>
      <c r="D83" s="4606" t="str">
        <f>D31</f>
        <v>其他类型公式—收益价值×（1+9%）</v>
      </c>
      <c r="E83" s="1077"/>
      <c r="F83" s="4399"/>
      <c r="O83" s="1034" t="s">
        <v>401</v>
      </c>
      <c r="P83" s="1025" t="s">
        <v>3944</v>
      </c>
      <c r="Q83" s="3695">
        <f>L61</f>
        <v>0</v>
      </c>
      <c r="R83" s="1026"/>
    </row>
    <row r="84" spans="1:18" ht="16.5" thickBot="1">
      <c r="A84" s="681" t="s">
        <v>389</v>
      </c>
      <c r="B84" s="682" t="s">
        <v>761</v>
      </c>
      <c r="C84" s="2991" t="e">
        <f ca="1">ROUND(C83/F84,0)</f>
        <v>#DIV/0!</v>
      </c>
      <c r="D84" s="4400" t="s">
        <v>3899</v>
      </c>
      <c r="E84" s="682" t="s">
        <v>3900</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3949</v>
      </c>
      <c r="Q86" s="4407" t="e">
        <f ca="1">ROUND((Q74+Q75)*(1+F31),0)</f>
        <v>#DIV/0!</v>
      </c>
      <c r="R86" s="4406" t="s">
        <v>3950</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8" priority="4">
      <formula>$L$57&gt;$J$60</formula>
    </cfRule>
  </conditionalFormatting>
  <conditionalFormatting sqref="I64 I69">
    <cfRule type="expression" dxfId="147" priority="5">
      <formula>$J$60&gt;$L$57</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10</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8" t="s">
        <v>679</v>
      </c>
      <c r="C6" s="750">
        <f ca="1">ROUND(F6*F8*F7*(1-F9),0)</f>
        <v>0</v>
      </c>
      <c r="D6" s="60" t="s">
        <v>2012</v>
      </c>
      <c r="E6" s="190" t="s">
        <v>681</v>
      </c>
      <c r="F6" s="191">
        <f ca="1">INDIRECT("'数据-取费表'!u"&amp;$G$1)</f>
        <v>0</v>
      </c>
      <c r="G6" s="991"/>
      <c r="H6" s="745" t="s">
        <v>392</v>
      </c>
      <c r="I6" s="4928" t="s">
        <v>679</v>
      </c>
      <c r="J6" s="189">
        <f ca="1">ROUND(M6*M8*M7*(1-M9),0)</f>
        <v>0</v>
      </c>
      <c r="K6" s="983" t="s">
        <v>2013</v>
      </c>
      <c r="L6" s="190" t="s">
        <v>681</v>
      </c>
      <c r="M6" s="191">
        <f ca="1">INDIRECT("'数据-取费表'!z"&amp;$G$1)</f>
        <v>0</v>
      </c>
    </row>
    <row r="7" spans="1:37" ht="18" customHeight="1">
      <c r="A7" s="749"/>
      <c r="B7" s="4929"/>
      <c r="C7" s="751"/>
      <c r="D7" s="195"/>
      <c r="E7" s="752" t="s">
        <v>682</v>
      </c>
      <c r="F7" s="191">
        <f ca="1">IF(INDIRECT("'数据-取费表'!ah"&amp;$G$1)="",INDIRECT("'数据-取费表'!k"&amp;$G$1),INDIRECT("'数据-取费表'!ah"&amp;$G$1))</f>
        <v>0</v>
      </c>
      <c r="G7" s="991"/>
      <c r="H7" s="192"/>
      <c r="I7" s="4929"/>
      <c r="J7" s="194"/>
      <c r="K7" s="195"/>
      <c r="L7" s="190" t="s">
        <v>682</v>
      </c>
      <c r="M7" s="191">
        <f ca="1">F7</f>
        <v>0</v>
      </c>
    </row>
    <row r="8" spans="1:37" ht="18" customHeight="1">
      <c r="A8" s="192"/>
      <c r="B8" s="4929"/>
      <c r="C8" s="194"/>
      <c r="D8" s="195"/>
      <c r="E8" s="190" t="s">
        <v>683</v>
      </c>
      <c r="F8" s="191">
        <f ca="1">INDIRECT("'数据-取费表'!ai"&amp;$G$1)</f>
        <v>0</v>
      </c>
      <c r="G8" s="991"/>
      <c r="H8" s="192"/>
      <c r="I8" s="4929"/>
      <c r="J8" s="194"/>
      <c r="K8" s="195"/>
      <c r="L8" s="190" t="s">
        <v>683</v>
      </c>
      <c r="M8" s="191">
        <f ca="1">INDIRECT("'数据-取费表'!ai"&amp;$G$1)</f>
        <v>0</v>
      </c>
    </row>
    <row r="9" spans="1:37" ht="18" customHeight="1">
      <c r="A9" s="192"/>
      <c r="B9" s="4930"/>
      <c r="C9" s="194"/>
      <c r="D9" s="195"/>
      <c r="E9" s="190" t="s">
        <v>684</v>
      </c>
      <c r="F9" s="200">
        <f ca="1">INDIRECT("'数据-取费表'!w"&amp;$G$1)</f>
        <v>0</v>
      </c>
      <c r="G9" s="991"/>
      <c r="H9" s="192"/>
      <c r="I9" s="4930"/>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0.04</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0.05</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1.6000000000000001E-3</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2200</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914" t="s">
        <v>822</v>
      </c>
      <c r="L53" s="4915"/>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15" customHeight="1">
      <c r="A2" s="992" t="s">
        <v>2209</v>
      </c>
      <c r="B2" s="3706" t="e">
        <f>IF(D2="——",C40,C40+E2)</f>
        <v>#DIV/0!</v>
      </c>
      <c r="C2" s="2251" t="s">
        <v>2210</v>
      </c>
      <c r="D2" s="2710" t="s">
        <v>3244</v>
      </c>
      <c r="E2" s="2711"/>
      <c r="F2" s="2253"/>
      <c r="G2" s="2254"/>
      <c r="H2" s="2255"/>
      <c r="I2" s="2256"/>
      <c r="J2" s="4931" t="s">
        <v>2211</v>
      </c>
      <c r="K2" s="4932"/>
      <c r="L2" s="2257" t="s">
        <v>2212</v>
      </c>
      <c r="M2" s="2257" t="s">
        <v>2213</v>
      </c>
      <c r="N2" s="2257" t="s">
        <v>2214</v>
      </c>
      <c r="O2" s="2257" t="s">
        <v>2215</v>
      </c>
      <c r="P2" s="2257" t="s">
        <v>2216</v>
      </c>
      <c r="Q2" s="2258" t="s">
        <v>2217</v>
      </c>
      <c r="R2" s="2259" t="s">
        <v>2218</v>
      </c>
      <c r="S2" s="2249"/>
      <c r="T2" s="2249"/>
      <c r="U2" s="2249"/>
      <c r="V2" s="2256"/>
    </row>
    <row r="3" spans="1:22" s="2260" customFormat="1" ht="13.15" customHeight="1">
      <c r="A3" s="2261" t="s">
        <v>2219</v>
      </c>
      <c r="B3" s="3707" t="e">
        <f>ROUND(B2*10000/B4,0)</f>
        <v>#DIV/0!</v>
      </c>
      <c r="C3" s="2251" t="s">
        <v>2220</v>
      </c>
      <c r="D3" s="2251"/>
      <c r="E3" s="2252"/>
      <c r="F3" s="2253"/>
      <c r="G3" s="2254"/>
      <c r="H3" s="2255"/>
      <c r="I3" s="2256"/>
      <c r="J3" s="4933" t="s">
        <v>2221</v>
      </c>
      <c r="K3" s="4934"/>
      <c r="L3" s="2262"/>
      <c r="M3" s="2262"/>
      <c r="N3" s="2262"/>
      <c r="O3" s="2262"/>
      <c r="P3" s="2262"/>
      <c r="Q3" s="2263"/>
      <c r="R3" s="2264">
        <f>SUM(L3:Q3)</f>
        <v>0</v>
      </c>
      <c r="S3" s="2249"/>
      <c r="T3" s="2249"/>
      <c r="U3" s="2249"/>
      <c r="V3" s="2256"/>
    </row>
    <row r="4" spans="1:22" s="2260" customFormat="1" ht="13.15" customHeight="1">
      <c r="A4" s="2265" t="s">
        <v>2222</v>
      </c>
      <c r="B4" s="2298"/>
      <c r="C4" s="2251"/>
      <c r="D4" s="2251"/>
      <c r="E4" s="2252"/>
      <c r="F4" s="2253"/>
      <c r="G4" s="2254"/>
      <c r="H4" s="2255"/>
      <c r="I4" s="2256"/>
      <c r="J4" s="4933" t="s">
        <v>2223</v>
      </c>
      <c r="K4" s="4934"/>
      <c r="L4" s="2267"/>
      <c r="M4" s="2267"/>
      <c r="N4" s="2267"/>
      <c r="O4" s="2267"/>
      <c r="P4" s="2267"/>
      <c r="Q4" s="2268"/>
      <c r="R4" s="2269">
        <f>SUM(L4:Q4)</f>
        <v>0</v>
      </c>
      <c r="S4" s="2249"/>
      <c r="T4" s="2249"/>
      <c r="U4" s="2249"/>
      <c r="V4" s="2256"/>
    </row>
    <row r="5" spans="1:22" s="2260" customFormat="1" ht="13.15"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15" customHeight="1" thickBot="1">
      <c r="A6" s="4935" t="s">
        <v>3790</v>
      </c>
      <c r="B6" s="4936"/>
      <c r="C6" s="4937"/>
      <c r="D6" s="3709"/>
      <c r="E6" s="3857"/>
      <c r="F6" s="2276"/>
      <c r="G6" s="2277"/>
      <c r="H6" s="2255"/>
      <c r="I6" s="2256"/>
      <c r="J6" s="4938">
        <v>1</v>
      </c>
      <c r="K6" s="4939"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15" customHeight="1">
      <c r="A7" s="2280" t="s">
        <v>2236</v>
      </c>
      <c r="B7" s="2281"/>
      <c r="C7" s="2282"/>
      <c r="D7" s="3710">
        <f>SUM(D9,D10,D11,D17,0)</f>
        <v>0</v>
      </c>
      <c r="E7" s="2283" t="e">
        <f>E9+E10+E11+E17</f>
        <v>#DIV/0!</v>
      </c>
      <c r="F7" s="2284"/>
      <c r="G7" s="2285"/>
      <c r="H7" s="2255"/>
      <c r="I7" s="2256"/>
      <c r="J7" s="4938"/>
      <c r="K7" s="4940"/>
      <c r="L7" s="2286" t="s">
        <v>2237</v>
      </c>
      <c r="M7" s="3980"/>
      <c r="N7" s="3979"/>
      <c r="O7" s="4613"/>
      <c r="P7" s="4613"/>
      <c r="Q7" s="3979">
        <v>365</v>
      </c>
      <c r="R7" s="3978">
        <f>ROUND(M7*N7*O7*P7*Q7/10000,0)</f>
        <v>0</v>
      </c>
      <c r="S7" s="2249"/>
      <c r="T7" s="2249" t="s">
        <v>2238</v>
      </c>
      <c r="U7" s="2249"/>
      <c r="V7" s="2256"/>
    </row>
    <row r="8" spans="1:22" s="2260" customFormat="1" ht="13.15" customHeight="1">
      <c r="A8" s="2290" t="s">
        <v>2239</v>
      </c>
      <c r="B8" s="4942" t="s">
        <v>2240</v>
      </c>
      <c r="C8" s="4943"/>
      <c r="D8" s="4432" t="s">
        <v>3952</v>
      </c>
      <c r="E8" s="2291" t="s">
        <v>2241</v>
      </c>
      <c r="F8" s="2292" t="s">
        <v>2242</v>
      </c>
      <c r="G8" s="2293"/>
      <c r="H8" s="2255"/>
      <c r="I8" s="2256"/>
      <c r="J8" s="4938"/>
      <c r="K8" s="4940"/>
      <c r="L8" s="2286" t="s">
        <v>2243</v>
      </c>
      <c r="M8" s="3980"/>
      <c r="N8" s="3979"/>
      <c r="O8" s="4613"/>
      <c r="P8" s="4613"/>
      <c r="Q8" s="3979">
        <v>365</v>
      </c>
      <c r="R8" s="3978">
        <f t="shared" ref="R8:R13" si="0">ROUND(M8*N8*O8*P8*Q8/10000,0)</f>
        <v>0</v>
      </c>
      <c r="S8" s="2249"/>
      <c r="T8" s="2249" t="s">
        <v>2244</v>
      </c>
      <c r="U8" s="2249"/>
      <c r="V8" s="2256"/>
    </row>
    <row r="9" spans="1:22" s="2260" customFormat="1" ht="13.15" customHeight="1">
      <c r="A9" s="2290">
        <v>1</v>
      </c>
      <c r="B9" s="4942" t="s">
        <v>2245</v>
      </c>
      <c r="C9" s="4943"/>
      <c r="D9" s="3711">
        <f>ROUND(D6*E9,0)</f>
        <v>0</v>
      </c>
      <c r="E9" s="3712"/>
      <c r="F9" s="2294" t="s">
        <v>2246</v>
      </c>
      <c r="G9" s="2277"/>
      <c r="H9" s="2255"/>
      <c r="I9" s="2256"/>
      <c r="J9" s="4938"/>
      <c r="K9" s="4940"/>
      <c r="L9" s="2286" t="s">
        <v>2247</v>
      </c>
      <c r="M9" s="3980"/>
      <c r="N9" s="3979"/>
      <c r="O9" s="4613"/>
      <c r="P9" s="4613"/>
      <c r="Q9" s="3979">
        <v>365</v>
      </c>
      <c r="R9" s="3978">
        <f t="shared" si="0"/>
        <v>0</v>
      </c>
      <c r="S9" s="2249"/>
      <c r="T9" s="2249"/>
      <c r="U9" s="2249"/>
      <c r="V9" s="2256"/>
    </row>
    <row r="10" spans="1:22" s="2260" customFormat="1" ht="13.15" customHeight="1">
      <c r="A10" s="2290">
        <v>2</v>
      </c>
      <c r="B10" s="4942" t="s">
        <v>2248</v>
      </c>
      <c r="C10" s="4943"/>
      <c r="D10" s="3711">
        <f>ROUND(D6*E10,0)</f>
        <v>0</v>
      </c>
      <c r="E10" s="3712"/>
      <c r="F10" s="3852" t="s">
        <v>3715</v>
      </c>
      <c r="G10" s="2277"/>
      <c r="H10" s="2255"/>
      <c r="I10" s="2256"/>
      <c r="J10" s="4938"/>
      <c r="K10" s="4940"/>
      <c r="L10" s="2286" t="s">
        <v>2249</v>
      </c>
      <c r="M10" s="3980"/>
      <c r="N10" s="3979"/>
      <c r="O10" s="4613"/>
      <c r="P10" s="4613"/>
      <c r="Q10" s="3979">
        <v>365</v>
      </c>
      <c r="R10" s="3978">
        <f t="shared" si="0"/>
        <v>0</v>
      </c>
      <c r="S10" s="2249"/>
      <c r="T10" s="2249"/>
      <c r="U10" s="2249"/>
      <c r="V10" s="2256"/>
    </row>
    <row r="11" spans="1:22" s="2260" customFormat="1" ht="13.15" customHeight="1">
      <c r="A11" s="2290">
        <v>3</v>
      </c>
      <c r="B11" s="4942" t="s">
        <v>2250</v>
      </c>
      <c r="C11" s="4943"/>
      <c r="D11" s="3711">
        <f>D12+D14+D15+D16</f>
        <v>0</v>
      </c>
      <c r="E11" s="3713" t="e">
        <f>D11/D6</f>
        <v>#DIV/0!</v>
      </c>
      <c r="F11" s="2292"/>
      <c r="G11" s="2293"/>
      <c r="H11" s="2255"/>
      <c r="I11" s="2256"/>
      <c r="J11" s="4938"/>
      <c r="K11" s="4940"/>
      <c r="L11" s="2286" t="s">
        <v>2251</v>
      </c>
      <c r="M11" s="3980"/>
      <c r="N11" s="3979"/>
      <c r="O11" s="4613"/>
      <c r="P11" s="4613"/>
      <c r="Q11" s="3979">
        <v>365</v>
      </c>
      <c r="R11" s="3978">
        <f t="shared" si="0"/>
        <v>0</v>
      </c>
      <c r="S11" s="2249"/>
      <c r="T11" s="2249"/>
      <c r="U11" s="2249"/>
      <c r="V11" s="2256"/>
    </row>
    <row r="12" spans="1:22" s="2260" customFormat="1" ht="13.15" customHeight="1">
      <c r="A12" s="2295" t="s">
        <v>2252</v>
      </c>
      <c r="B12" s="4944" t="s">
        <v>2253</v>
      </c>
      <c r="C12" s="4945"/>
      <c r="D12" s="3714">
        <f>ROUND(D13*1.2%*(1-30%),0)</f>
        <v>0</v>
      </c>
      <c r="E12" s="3715">
        <v>1.2E-2</v>
      </c>
      <c r="F12" s="2292" t="s">
        <v>2254</v>
      </c>
      <c r="G12" s="2293"/>
      <c r="H12" s="2255"/>
      <c r="I12" s="2256"/>
      <c r="J12" s="4938"/>
      <c r="K12" s="4940"/>
      <c r="L12" s="2286" t="s">
        <v>2255</v>
      </c>
      <c r="M12" s="3980"/>
      <c r="N12" s="3979"/>
      <c r="O12" s="4613"/>
      <c r="P12" s="4613"/>
      <c r="Q12" s="3979">
        <v>365</v>
      </c>
      <c r="R12" s="3978">
        <f t="shared" si="0"/>
        <v>0</v>
      </c>
      <c r="S12" s="2249"/>
      <c r="T12" s="2249"/>
      <c r="U12" s="2249"/>
      <c r="V12" s="2256"/>
    </row>
    <row r="13" spans="1:22" s="2260" customFormat="1" ht="13.15" customHeight="1">
      <c r="A13" s="2295"/>
      <c r="B13" s="2296"/>
      <c r="C13" s="2297" t="s">
        <v>2256</v>
      </c>
      <c r="D13" s="3716"/>
      <c r="E13" s="2299"/>
      <c r="F13" s="2292"/>
      <c r="G13" s="2293"/>
      <c r="H13" s="2255"/>
      <c r="I13" s="2256"/>
      <c r="J13" s="4938"/>
      <c r="K13" s="4940"/>
      <c r="L13" s="2286" t="s">
        <v>2257</v>
      </c>
      <c r="M13" s="3980"/>
      <c r="N13" s="3979"/>
      <c r="O13" s="4613"/>
      <c r="P13" s="4613"/>
      <c r="Q13" s="3979">
        <v>365</v>
      </c>
      <c r="R13" s="3978">
        <f t="shared" si="0"/>
        <v>0</v>
      </c>
      <c r="S13" s="2249"/>
      <c r="T13" s="2249"/>
      <c r="U13" s="2249"/>
      <c r="V13" s="2256"/>
    </row>
    <row r="14" spans="1:22" s="2260" customFormat="1" ht="13.15" customHeight="1">
      <c r="A14" s="2295" t="s">
        <v>2258</v>
      </c>
      <c r="B14" s="4944" t="s">
        <v>2259</v>
      </c>
      <c r="C14" s="4945"/>
      <c r="D14" s="3714">
        <f>ROUND(E14*B5/10000,0)</f>
        <v>0</v>
      </c>
      <c r="E14" s="3717"/>
      <c r="F14" s="2292" t="s">
        <v>2260</v>
      </c>
      <c r="G14" s="2293"/>
      <c r="H14" s="2255"/>
      <c r="I14" s="2256"/>
      <c r="J14" s="4938"/>
      <c r="K14" s="4941"/>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2262</v>
      </c>
      <c r="B15" s="4946" t="s">
        <v>3787</v>
      </c>
      <c r="C15" s="4945"/>
      <c r="D15" s="3714">
        <f>IF(F15="酒店",E48*(1+E15),IF(F15="购物中心",E67*(1+E15),IF(F15="按比例计算-酒店",E46,E65)))</f>
        <v>0</v>
      </c>
      <c r="E15" s="3715">
        <f>'数据-取费表'!B44</f>
        <v>0.12000000000000001</v>
      </c>
      <c r="F15" s="3855" t="s">
        <v>3846</v>
      </c>
      <c r="G15" s="3856"/>
      <c r="H15" s="2255"/>
      <c r="I15" s="2256"/>
      <c r="J15" s="4938">
        <v>2</v>
      </c>
      <c r="K15" s="4939"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15" customHeight="1">
      <c r="A16" s="2295" t="s">
        <v>2269</v>
      </c>
      <c r="B16" s="4944" t="s">
        <v>2270</v>
      </c>
      <c r="C16" s="4945"/>
      <c r="D16" s="3718">
        <f>D6*E16</f>
        <v>0</v>
      </c>
      <c r="E16" s="3719"/>
      <c r="F16" s="2294" t="s">
        <v>2271</v>
      </c>
      <c r="G16" s="2277"/>
      <c r="H16" s="2255"/>
      <c r="I16" s="2256"/>
      <c r="J16" s="4938"/>
      <c r="K16" s="4940"/>
      <c r="L16" s="2286" t="s">
        <v>2272</v>
      </c>
      <c r="M16" s="3980"/>
      <c r="N16" s="3980"/>
      <c r="O16" s="4615"/>
      <c r="P16" s="3979">
        <v>365</v>
      </c>
      <c r="Q16" s="3979"/>
      <c r="R16" s="3978">
        <f>ROUND(M16*N16*O16*P16/10000,0)</f>
        <v>0</v>
      </c>
      <c r="S16" s="2249"/>
      <c r="T16" s="2249"/>
      <c r="U16" s="2249"/>
      <c r="V16" s="2256"/>
    </row>
    <row r="17" spans="1:22" s="2260" customFormat="1" ht="13.15" customHeight="1" thickBot="1">
      <c r="A17" s="2305">
        <v>4</v>
      </c>
      <c r="B17" s="4947" t="s">
        <v>2273</v>
      </c>
      <c r="C17" s="4948"/>
      <c r="D17" s="3720">
        <f>ROUND(D6*E17,0)</f>
        <v>0</v>
      </c>
      <c r="E17" s="3721"/>
      <c r="F17" s="3853" t="s">
        <v>3716</v>
      </c>
      <c r="G17" s="2277"/>
      <c r="H17" s="2255"/>
      <c r="I17" s="2256"/>
      <c r="J17" s="4938"/>
      <c r="K17" s="4940"/>
      <c r="L17" s="2286" t="s">
        <v>2274</v>
      </c>
      <c r="M17" s="3980"/>
      <c r="N17" s="3980"/>
      <c r="O17" s="4615"/>
      <c r="P17" s="3979">
        <v>365</v>
      </c>
      <c r="Q17" s="3979"/>
      <c r="R17" s="3978">
        <f>ROUND(M17*N17*O17*P17/10000,0)</f>
        <v>0</v>
      </c>
      <c r="S17" s="2249"/>
      <c r="T17" s="2249"/>
      <c r="U17" s="2249"/>
      <c r="V17" s="2256"/>
    </row>
    <row r="18" spans="1:22" s="2260" customFormat="1" ht="13.15" customHeight="1" thickBot="1">
      <c r="A18" s="2280" t="s">
        <v>2275</v>
      </c>
      <c r="B18" s="2281"/>
      <c r="C18" s="2281"/>
      <c r="D18" s="3722">
        <f>ROUND(D6*E18,0)</f>
        <v>0</v>
      </c>
      <c r="E18" s="3723"/>
      <c r="F18" s="2306" t="s">
        <v>2276</v>
      </c>
      <c r="G18" s="2277"/>
      <c r="H18" s="2255"/>
      <c r="I18" s="2256"/>
      <c r="J18" s="4938"/>
      <c r="K18" s="4940"/>
      <c r="L18" s="2286" t="s">
        <v>2277</v>
      </c>
      <c r="M18" s="3980"/>
      <c r="N18" s="3980"/>
      <c r="O18" s="4615"/>
      <c r="P18" s="3979">
        <v>365</v>
      </c>
      <c r="Q18" s="3979"/>
      <c r="R18" s="3978">
        <f>ROUND(M18*N18*O18*P18/10000,0)</f>
        <v>0</v>
      </c>
      <c r="S18" s="2249"/>
      <c r="T18" s="2249"/>
      <c r="U18" s="2249"/>
      <c r="V18" s="2256"/>
    </row>
    <row r="19" spans="1:22" s="2260" customFormat="1" ht="13.15" customHeight="1" thickBot="1">
      <c r="A19" s="2307" t="s">
        <v>2278</v>
      </c>
      <c r="B19" s="2275"/>
      <c r="C19" s="2275"/>
      <c r="D19" s="2275"/>
      <c r="E19" s="2275"/>
      <c r="F19" s="2276"/>
      <c r="G19" s="2293"/>
      <c r="H19" s="2255"/>
      <c r="I19" s="2256"/>
      <c r="J19" s="4938"/>
      <c r="K19" s="4941"/>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8">
        <v>3</v>
      </c>
      <c r="K20" s="4939"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15" customHeight="1">
      <c r="A21" s="2280"/>
      <c r="B21" s="2281"/>
      <c r="C21" s="2312" t="s">
        <v>2287</v>
      </c>
      <c r="D21" s="2313" t="s">
        <v>2288</v>
      </c>
      <c r="E21" s="2314" t="s">
        <v>2289</v>
      </c>
      <c r="F21" s="2309"/>
      <c r="G21" s="2293"/>
      <c r="H21" s="2255"/>
      <c r="I21" s="2256"/>
      <c r="J21" s="4938"/>
      <c r="K21" s="4940"/>
      <c r="L21" s="2286" t="s">
        <v>2290</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2291</v>
      </c>
      <c r="D22" s="2316" t="s">
        <v>2292</v>
      </c>
      <c r="E22" s="2317" t="s">
        <v>2293</v>
      </c>
      <c r="F22" s="2309"/>
      <c r="G22" s="2318"/>
      <c r="H22" s="2255"/>
      <c r="I22" s="2256"/>
      <c r="J22" s="4938"/>
      <c r="K22" s="4940"/>
      <c r="L22" s="2286" t="s">
        <v>2294</v>
      </c>
      <c r="M22" s="3980"/>
      <c r="N22" s="3980"/>
      <c r="O22" s="4614"/>
      <c r="P22" s="3979">
        <v>365</v>
      </c>
      <c r="Q22" s="3979"/>
      <c r="R22" s="3981">
        <f>ROUND(M22*N22*O22*P22/10000,0)</f>
        <v>0</v>
      </c>
      <c r="S22" s="2311"/>
      <c r="T22" s="2311"/>
      <c r="U22" s="2311"/>
      <c r="V22" s="2256"/>
    </row>
    <row r="23" spans="1:22" s="2260" customFormat="1" ht="13.15" customHeight="1">
      <c r="A23" s="2319">
        <v>1</v>
      </c>
      <c r="B23" s="2320" t="s">
        <v>2295</v>
      </c>
      <c r="C23" s="2325">
        <f>D6</f>
        <v>0</v>
      </c>
      <c r="D23" s="3738">
        <f>C23*(1+D24)</f>
        <v>0</v>
      </c>
      <c r="E23" s="3739">
        <f>D23*(1+E24)</f>
        <v>0</v>
      </c>
      <c r="F23" s="2321"/>
      <c r="G23" s="2322"/>
      <c r="H23" s="2255"/>
      <c r="I23" s="2256"/>
      <c r="J23" s="4938"/>
      <c r="K23" s="4940"/>
      <c r="L23" s="2286" t="s">
        <v>2296</v>
      </c>
      <c r="M23" s="3980"/>
      <c r="N23" s="3980"/>
      <c r="O23" s="4614"/>
      <c r="P23" s="3979">
        <v>365</v>
      </c>
      <c r="Q23" s="3979"/>
      <c r="R23" s="3981">
        <f>ROUND(M23*N23*O23*P23/10000,0)</f>
        <v>0</v>
      </c>
      <c r="S23" s="2249"/>
      <c r="T23" s="2249"/>
      <c r="U23" s="2249"/>
      <c r="V23" s="2256"/>
    </row>
    <row r="24" spans="1:22" s="2260" customFormat="1" ht="13.15" customHeight="1">
      <c r="A24" s="2323"/>
      <c r="B24" s="2324" t="s">
        <v>2297</v>
      </c>
      <c r="C24" s="2325"/>
      <c r="D24" s="2326"/>
      <c r="E24" s="2327"/>
      <c r="F24" s="2328"/>
      <c r="G24" s="2322"/>
      <c r="H24" s="2255"/>
      <c r="I24" s="2256"/>
      <c r="J24" s="4938"/>
      <c r="K24" s="4941"/>
      <c r="L24" s="2300" t="s">
        <v>2261</v>
      </c>
      <c r="M24" s="2301">
        <f>SUM(M21:M23)</f>
        <v>0</v>
      </c>
      <c r="N24" s="2301"/>
      <c r="O24" s="2302"/>
      <c r="P24" s="2308" t="s">
        <v>2322</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2298</v>
      </c>
      <c r="L25" s="2331"/>
      <c r="M25" s="2331"/>
      <c r="N25" s="2331"/>
      <c r="O25" s="2331"/>
      <c r="P25" s="2332"/>
      <c r="Q25" s="2333">
        <v>0</v>
      </c>
      <c r="R25" s="3982">
        <f>ROUND(R14*Q25,0)</f>
        <v>0</v>
      </c>
      <c r="S25" s="2249"/>
      <c r="T25" s="2249"/>
      <c r="U25" s="2249"/>
      <c r="V25" s="2334"/>
    </row>
    <row r="26" spans="1:22" s="2335" customFormat="1" ht="13.15" customHeight="1">
      <c r="A26" s="2319">
        <v>2</v>
      </c>
      <c r="B26" s="2320" t="s">
        <v>2299</v>
      </c>
      <c r="C26" s="2325">
        <f>D7</f>
        <v>0</v>
      </c>
      <c r="D26" s="3724">
        <f>D23*D27</f>
        <v>0</v>
      </c>
      <c r="E26" s="3725">
        <f>E23*E27</f>
        <v>0</v>
      </c>
      <c r="F26" s="2321"/>
      <c r="G26" s="2322"/>
      <c r="H26" s="2255"/>
      <c r="I26" s="2256"/>
      <c r="J26" s="4949">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15" customHeight="1">
      <c r="A27" s="2323"/>
      <c r="B27" s="2324" t="s">
        <v>2305</v>
      </c>
      <c r="C27" s="2342" t="e">
        <f>E7</f>
        <v>#DIV/0!</v>
      </c>
      <c r="D27" s="2326"/>
      <c r="E27" s="2327"/>
      <c r="F27" s="2328"/>
      <c r="G27" s="2322"/>
      <c r="H27" s="2343"/>
      <c r="I27" s="2334"/>
      <c r="J27" s="4950"/>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15"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15" customHeight="1">
      <c r="A32" s="2319">
        <v>4</v>
      </c>
      <c r="B32" s="2320" t="s">
        <v>2313</v>
      </c>
      <c r="C32" s="2325">
        <f>C23-C26-C29</f>
        <v>0</v>
      </c>
      <c r="D32" s="3724">
        <f>D23-D26-D29</f>
        <v>0</v>
      </c>
      <c r="E32" s="3725">
        <f>E23-E26-E29</f>
        <v>0</v>
      </c>
      <c r="F32" s="2321"/>
      <c r="G32" s="2318"/>
      <c r="H32" s="2255"/>
      <c r="I32" s="2256"/>
      <c r="J32" s="4931" t="s">
        <v>2211</v>
      </c>
      <c r="K32" s="4932"/>
      <c r="L32" s="2257" t="s">
        <v>2212</v>
      </c>
      <c r="M32" s="2257" t="s">
        <v>2213</v>
      </c>
      <c r="N32" s="2257" t="s">
        <v>2214</v>
      </c>
      <c r="O32" s="2257" t="s">
        <v>2215</v>
      </c>
      <c r="P32" s="2257" t="s">
        <v>2216</v>
      </c>
      <c r="Q32" s="2258" t="s">
        <v>2217</v>
      </c>
      <c r="R32" s="2355" t="s">
        <v>2218</v>
      </c>
      <c r="S32" s="2311"/>
      <c r="T32" s="2249"/>
      <c r="U32" s="2249"/>
      <c r="V32" s="2334"/>
    </row>
    <row r="33" spans="1:23" s="2260" customFormat="1" ht="13.15" customHeight="1">
      <c r="A33" s="2319"/>
      <c r="B33" s="2320"/>
      <c r="C33" s="2325"/>
      <c r="D33" s="3726"/>
      <c r="E33" s="3727"/>
      <c r="F33" s="2321"/>
      <c r="G33" s="2318"/>
      <c r="H33" s="2343"/>
      <c r="I33" s="2334"/>
      <c r="J33" s="4933" t="s">
        <v>2221</v>
      </c>
      <c r="K33" s="4934"/>
      <c r="L33" s="3746"/>
      <c r="M33" s="3746"/>
      <c r="N33" s="3746"/>
      <c r="O33" s="3746"/>
      <c r="P33" s="3746"/>
      <c r="Q33" s="3747"/>
      <c r="R33" s="3748">
        <f>SUM(L33:Q33)</f>
        <v>0</v>
      </c>
      <c r="S33" s="2311"/>
      <c r="T33" s="2249"/>
      <c r="U33" s="2249"/>
      <c r="V33" s="2256"/>
    </row>
    <row r="34" spans="1:23" s="2260" customFormat="1" ht="13.15" customHeight="1">
      <c r="A34" s="2319">
        <v>5</v>
      </c>
      <c r="B34" s="2320" t="s">
        <v>2314</v>
      </c>
      <c r="C34" s="3728"/>
      <c r="D34" s="3729"/>
      <c r="E34" s="3730"/>
      <c r="F34" s="2321"/>
      <c r="G34" s="2318"/>
      <c r="H34" s="2343"/>
      <c r="I34" s="2334"/>
      <c r="J34" s="4933" t="s">
        <v>2223</v>
      </c>
      <c r="K34" s="4934"/>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15" customHeight="1" thickBot="1">
      <c r="A36" s="2319">
        <v>7</v>
      </c>
      <c r="B36" s="2358" t="s">
        <v>2316</v>
      </c>
      <c r="C36" s="3731"/>
      <c r="D36" s="3732"/>
      <c r="E36" s="3733"/>
      <c r="F36" s="2359">
        <f>C36+D36+E36</f>
        <v>0</v>
      </c>
      <c r="G36" s="2318"/>
      <c r="H36" s="2255"/>
      <c r="I36" s="2256"/>
      <c r="J36" s="4938">
        <v>1</v>
      </c>
      <c r="K36" s="4939" t="s">
        <v>2317</v>
      </c>
      <c r="L36" s="2278"/>
      <c r="M36" s="2279"/>
      <c r="N36" s="2279"/>
      <c r="O36" s="2279"/>
      <c r="P36" s="2279"/>
      <c r="Q36" s="2279"/>
      <c r="R36" s="2264" t="s">
        <v>2234</v>
      </c>
      <c r="S36" s="2311"/>
      <c r="T36" s="2249" t="s">
        <v>2235</v>
      </c>
      <c r="U36" s="2249"/>
      <c r="V36" s="2256"/>
    </row>
    <row r="37" spans="1:23" s="2260" customFormat="1" ht="13.15" customHeight="1">
      <c r="A37" s="2319"/>
      <c r="B37" s="2320"/>
      <c r="C37" s="2324"/>
      <c r="D37" s="2324"/>
      <c r="E37" s="2324"/>
      <c r="F37" s="2321"/>
      <c r="G37" s="2318"/>
      <c r="H37" s="2255"/>
      <c r="I37" s="2256"/>
      <c r="J37" s="4938"/>
      <c r="K37" s="4940"/>
      <c r="L37" s="3752"/>
      <c r="M37" s="3740"/>
      <c r="N37" s="2298"/>
      <c r="O37" s="2298"/>
      <c r="P37" s="2298"/>
      <c r="Q37" s="2298"/>
      <c r="R37" s="3741"/>
      <c r="S37" s="2311"/>
      <c r="T37" s="2249" t="s">
        <v>2238</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938"/>
      <c r="K38" s="4940"/>
      <c r="L38" s="3752"/>
      <c r="M38" s="3740"/>
      <c r="N38" s="2298"/>
      <c r="O38" s="2298"/>
      <c r="P38" s="2298"/>
      <c r="Q38" s="2298"/>
      <c r="R38" s="3741"/>
      <c r="S38" s="2311"/>
      <c r="T38" s="2249" t="s">
        <v>2244</v>
      </c>
      <c r="U38" s="2249"/>
      <c r="V38" s="2256"/>
    </row>
    <row r="39" spans="1:23" s="2260" customFormat="1" ht="13.15" customHeight="1">
      <c r="A39" s="2319">
        <v>9</v>
      </c>
      <c r="B39" s="2320" t="s">
        <v>2318</v>
      </c>
      <c r="C39" s="3714" t="e">
        <f>C38</f>
        <v>#DIV/0!</v>
      </c>
      <c r="D39" s="3714">
        <f>IF(D23=0,0,D38/(1+D34)^C36)</f>
        <v>0</v>
      </c>
      <c r="E39" s="3714">
        <f>IF(E23=0,0,E38/(1+E34)^(C36+D36))</f>
        <v>0</v>
      </c>
      <c r="F39" s="2321"/>
      <c r="G39" s="2360"/>
      <c r="H39" s="2255"/>
      <c r="I39" s="2256"/>
      <c r="J39" s="4938"/>
      <c r="K39" s="4940"/>
      <c r="L39" s="3752"/>
      <c r="M39" s="3740"/>
      <c r="N39" s="2298"/>
      <c r="O39" s="2298"/>
      <c r="P39" s="2298"/>
      <c r="Q39" s="2298"/>
      <c r="R39" s="3741"/>
      <c r="S39" s="2311"/>
      <c r="T39" s="2249"/>
      <c r="U39" s="2249"/>
      <c r="V39" s="2256"/>
    </row>
    <row r="40" spans="1:23" s="2260" customFormat="1" ht="13.15" customHeight="1">
      <c r="A40" s="2361">
        <v>10</v>
      </c>
      <c r="B40" s="2320" t="s">
        <v>2319</v>
      </c>
      <c r="C40" s="3734" t="e">
        <f>C39+D39+E39</f>
        <v>#DIV/0!</v>
      </c>
      <c r="D40" s="3735"/>
      <c r="E40" s="3735"/>
      <c r="F40" s="2362"/>
      <c r="G40" s="2318"/>
      <c r="H40" s="2255"/>
      <c r="I40" s="2256"/>
      <c r="J40" s="4938"/>
      <c r="K40" s="4941"/>
      <c r="L40" s="2300" t="s">
        <v>2261</v>
      </c>
      <c r="M40" s="2301"/>
      <c r="N40" s="2301"/>
      <c r="O40" s="2302"/>
      <c r="P40" s="2302"/>
      <c r="Q40" s="3753"/>
      <c r="R40" s="3983">
        <f>SUM(R37:R39)</f>
        <v>0</v>
      </c>
      <c r="S40" s="2311"/>
      <c r="T40" s="2249"/>
      <c r="U40" s="2249"/>
      <c r="V40" s="2256"/>
    </row>
    <row r="41" spans="1:23" s="2260" customFormat="1" ht="13.15"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2">
        <f>ROUND(R40*Q41,0)</f>
        <v>0</v>
      </c>
      <c r="S41" s="2311"/>
      <c r="T41" s="2249"/>
      <c r="U41" s="2341"/>
      <c r="V41" s="2256"/>
    </row>
    <row r="42" spans="1:23" s="2260" customFormat="1" ht="13.15" customHeight="1">
      <c r="G42" s="2366"/>
      <c r="H42" s="2255"/>
      <c r="I42" s="2256"/>
      <c r="J42" s="4949">
        <v>3</v>
      </c>
      <c r="K42" s="2336" t="s">
        <v>2300</v>
      </c>
      <c r="L42" s="2337"/>
      <c r="M42" s="2338"/>
      <c r="N42" s="2339" t="s">
        <v>2301</v>
      </c>
      <c r="O42" s="2339" t="s">
        <v>2302</v>
      </c>
      <c r="P42" s="2340" t="s">
        <v>2303</v>
      </c>
      <c r="Q42" s="2340" t="s">
        <v>2304</v>
      </c>
      <c r="R42" s="2264" t="s">
        <v>2234</v>
      </c>
      <c r="S42" s="2341"/>
      <c r="T42" s="2341"/>
      <c r="U42" s="2249"/>
      <c r="V42" s="2256"/>
    </row>
    <row r="43" spans="1:23" ht="13.15" customHeight="1">
      <c r="A43" s="2260"/>
      <c r="B43" s="2260"/>
      <c r="C43" s="2260"/>
      <c r="D43" s="2260"/>
      <c r="E43" s="2260"/>
      <c r="F43" s="2260"/>
      <c r="G43" s="2366"/>
      <c r="H43" s="2255"/>
      <c r="I43" s="2244"/>
      <c r="J43" s="4950"/>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3717</v>
      </c>
      <c r="D46" s="3871" t="s">
        <v>3788</v>
      </c>
      <c r="E46" s="4320">
        <f>ROUND(D6*G46,0)</f>
        <v>0</v>
      </c>
      <c r="F46" s="3882" t="s">
        <v>3777</v>
      </c>
      <c r="G46" s="4321">
        <v>0.05</v>
      </c>
      <c r="H46" s="3858"/>
      <c r="I46" s="3859"/>
    </row>
    <row r="47" spans="1:23" ht="13.15" customHeight="1">
      <c r="A47" s="3858"/>
      <c r="B47" s="3858"/>
      <c r="C47" s="3872" t="s">
        <v>3718</v>
      </c>
      <c r="D47" s="3873" t="s">
        <v>3719</v>
      </c>
      <c r="E47" s="4433" t="s">
        <v>3953</v>
      </c>
      <c r="F47" s="3883" t="s">
        <v>3720</v>
      </c>
      <c r="G47" s="3884" t="s">
        <v>3721</v>
      </c>
      <c r="H47" s="3860"/>
      <c r="I47" s="3859"/>
    </row>
    <row r="48" spans="1:23" ht="13.15" customHeight="1">
      <c r="A48" s="3860"/>
      <c r="B48" s="3860"/>
      <c r="C48" s="3874">
        <v>1</v>
      </c>
      <c r="D48" s="3873" t="s">
        <v>3722</v>
      </c>
      <c r="E48" s="3894">
        <f>E49-E54</f>
        <v>0</v>
      </c>
      <c r="F48" s="3873"/>
      <c r="G48" s="3884"/>
      <c r="H48" s="3860"/>
      <c r="I48" s="3859"/>
    </row>
    <row r="49" spans="1:9" ht="13.15" customHeight="1">
      <c r="A49" s="3860"/>
      <c r="B49" s="3860"/>
      <c r="C49" s="3874">
        <v>2</v>
      </c>
      <c r="D49" s="3873" t="s">
        <v>3723</v>
      </c>
      <c r="E49" s="3894">
        <f>SUM(E50:E53)</f>
        <v>0</v>
      </c>
      <c r="F49" s="3873"/>
      <c r="G49" s="4315"/>
      <c r="H49" s="3860"/>
      <c r="I49" s="3859"/>
    </row>
    <row r="50" spans="1:9" ht="13.15" customHeight="1">
      <c r="A50" s="3860"/>
      <c r="B50" s="3860"/>
      <c r="C50" s="3875" t="s">
        <v>3739</v>
      </c>
      <c r="D50" s="3876" t="s">
        <v>3724</v>
      </c>
      <c r="E50" s="3895">
        <f>R14*G50/(1+G50)</f>
        <v>0</v>
      </c>
      <c r="F50" s="3885" t="s">
        <v>3740</v>
      </c>
      <c r="G50" s="4316">
        <v>0.06</v>
      </c>
      <c r="H50" s="3860"/>
      <c r="I50" s="3859"/>
    </row>
    <row r="51" spans="1:9" ht="13.15" customHeight="1">
      <c r="A51" s="3860"/>
      <c r="B51" s="3860"/>
      <c r="C51" s="3875" t="s">
        <v>3741</v>
      </c>
      <c r="D51" s="3876" t="s">
        <v>3725</v>
      </c>
      <c r="E51" s="3895">
        <f>R19*G51/(1+G51)</f>
        <v>0</v>
      </c>
      <c r="F51" s="3885" t="s">
        <v>3742</v>
      </c>
      <c r="G51" s="4316">
        <v>0.06</v>
      </c>
      <c r="H51" s="3860"/>
      <c r="I51" s="3859"/>
    </row>
    <row r="52" spans="1:9" ht="13.15" customHeight="1">
      <c r="A52" s="3860"/>
      <c r="B52" s="3860"/>
      <c r="C52" s="3875" t="s">
        <v>3743</v>
      </c>
      <c r="D52" s="3876" t="s">
        <v>3726</v>
      </c>
      <c r="E52" s="3895">
        <f>R24*G52/(1+R24)</f>
        <v>0</v>
      </c>
      <c r="F52" s="3885" t="s">
        <v>3727</v>
      </c>
      <c r="G52" s="4316">
        <v>0.09</v>
      </c>
      <c r="H52" s="3860"/>
      <c r="I52" s="3859"/>
    </row>
    <row r="53" spans="1:9" ht="13.15" customHeight="1">
      <c r="A53" s="3860"/>
      <c r="B53" s="3860"/>
      <c r="C53" s="3875" t="s">
        <v>3744</v>
      </c>
      <c r="D53" s="3876" t="s">
        <v>3728</v>
      </c>
      <c r="E53" s="3895">
        <f>R27*G53/(1+G53)</f>
        <v>0</v>
      </c>
      <c r="F53" s="3885" t="s">
        <v>3727</v>
      </c>
      <c r="G53" s="4316">
        <v>0.09</v>
      </c>
      <c r="H53" s="3860"/>
      <c r="I53" s="3859"/>
    </row>
    <row r="54" spans="1:9" ht="13.15" customHeight="1">
      <c r="A54" s="3860" t="s">
        <v>3772</v>
      </c>
      <c r="B54" s="3859"/>
      <c r="C54" s="3874">
        <v>3</v>
      </c>
      <c r="D54" s="3873" t="s">
        <v>3729</v>
      </c>
      <c r="E54" s="3894">
        <f>E55+E56+E60</f>
        <v>0</v>
      </c>
      <c r="F54" s="3873"/>
      <c r="G54" s="4315"/>
      <c r="H54" s="3860"/>
      <c r="I54" s="3859"/>
    </row>
    <row r="55" spans="1:9" ht="13.15" customHeight="1">
      <c r="A55" s="3861">
        <v>0.05</v>
      </c>
      <c r="B55" s="3862" t="s">
        <v>3776</v>
      </c>
      <c r="C55" s="3875" t="s">
        <v>3739</v>
      </c>
      <c r="D55" s="3876" t="s">
        <v>3730</v>
      </c>
      <c r="E55" s="3895">
        <f>D9*G55/(1+G55)</f>
        <v>0</v>
      </c>
      <c r="F55" s="3887" t="s">
        <v>3778</v>
      </c>
      <c r="G55" s="4316">
        <v>0.13</v>
      </c>
      <c r="H55" s="3860"/>
      <c r="I55" s="3859"/>
    </row>
    <row r="56" spans="1:9" ht="13.15" customHeight="1">
      <c r="A56" s="3861">
        <f>SUM(A57:A59)</f>
        <v>0.39</v>
      </c>
      <c r="B56" s="3862"/>
      <c r="C56" s="3875" t="s">
        <v>3741</v>
      </c>
      <c r="D56" s="3876" t="s">
        <v>3731</v>
      </c>
      <c r="E56" s="3895">
        <f>SUM(E57:E59)</f>
        <v>0</v>
      </c>
      <c r="F56" s="3885"/>
      <c r="G56" s="3888"/>
      <c r="H56" s="3860" t="s">
        <v>3785</v>
      </c>
      <c r="I56" s="3860" t="s">
        <v>3786</v>
      </c>
    </row>
    <row r="57" spans="1:9" ht="13.15" customHeight="1">
      <c r="A57" s="3861">
        <v>0.25</v>
      </c>
      <c r="B57" s="3862" t="s">
        <v>3773</v>
      </c>
      <c r="C57" s="3877" t="s">
        <v>3732</v>
      </c>
      <c r="D57" s="3878" t="s">
        <v>3733</v>
      </c>
      <c r="E57" s="3896">
        <v>0</v>
      </c>
      <c r="F57" s="3889"/>
      <c r="G57" s="3890" t="s">
        <v>3734</v>
      </c>
      <c r="H57" s="3854">
        <v>0.65</v>
      </c>
      <c r="I57" s="3863">
        <f>A57/SUM(A57:A59)</f>
        <v>0.64102564102564097</v>
      </c>
    </row>
    <row r="58" spans="1:9" ht="13.15" customHeight="1">
      <c r="A58" s="3861">
        <v>0.06</v>
      </c>
      <c r="B58" s="3862" t="s">
        <v>3774</v>
      </c>
      <c r="C58" s="3877" t="s">
        <v>3735</v>
      </c>
      <c r="D58" s="3879" t="s">
        <v>3780</v>
      </c>
      <c r="E58" s="3896">
        <f>D10*H58*G58/(1+G58)</f>
        <v>0</v>
      </c>
      <c r="F58" s="3889" t="s">
        <v>3745</v>
      </c>
      <c r="G58" s="4317">
        <v>0.09</v>
      </c>
      <c r="H58" s="3854">
        <v>0.15</v>
      </c>
      <c r="I58" s="3863">
        <f>A58/SUM(A57:A59)</f>
        <v>0.15384615384615383</v>
      </c>
    </row>
    <row r="59" spans="1:9" ht="13.15" customHeight="1">
      <c r="A59" s="3861">
        <v>0.08</v>
      </c>
      <c r="B59" s="3862" t="s">
        <v>3775</v>
      </c>
      <c r="C59" s="3877" t="s">
        <v>3736</v>
      </c>
      <c r="D59" s="3878" t="s">
        <v>3746</v>
      </c>
      <c r="E59" s="3896">
        <f>D10*H59*G59/(1+G59)</f>
        <v>0</v>
      </c>
      <c r="F59" s="3889" t="s">
        <v>3747</v>
      </c>
      <c r="G59" s="4317">
        <v>0.06</v>
      </c>
      <c r="H59" s="3854">
        <v>0.2</v>
      </c>
      <c r="I59" s="3863">
        <f>1-I57-I58</f>
        <v>0.2051282051282052</v>
      </c>
    </row>
    <row r="60" spans="1:9" ht="13.15" customHeight="1">
      <c r="A60" s="3861">
        <f>SUM(A61:A62)</f>
        <v>0.1</v>
      </c>
      <c r="B60" s="3862"/>
      <c r="C60" s="3875" t="s">
        <v>3743</v>
      </c>
      <c r="D60" s="3876" t="s">
        <v>3748</v>
      </c>
      <c r="E60" s="3895">
        <f>SUM(E61:E62)</f>
        <v>0</v>
      </c>
      <c r="F60" s="3885"/>
      <c r="G60" s="4318"/>
      <c r="I60" s="3859"/>
    </row>
    <row r="61" spans="1:9" ht="13.15" customHeight="1">
      <c r="A61" s="3861">
        <v>0.05</v>
      </c>
      <c r="B61" s="3862" t="s">
        <v>3776</v>
      </c>
      <c r="C61" s="3877" t="s">
        <v>3749</v>
      </c>
      <c r="D61" s="3878" t="s">
        <v>3750</v>
      </c>
      <c r="E61" s="3896">
        <f>D17*H61*G61/(1+G61)</f>
        <v>0</v>
      </c>
      <c r="F61" s="3889" t="s">
        <v>3747</v>
      </c>
      <c r="G61" s="4317">
        <v>0.06</v>
      </c>
      <c r="H61" s="3854">
        <v>0.5</v>
      </c>
      <c r="I61" s="3859"/>
    </row>
    <row r="62" spans="1:9" ht="13.15" customHeight="1" thickBot="1">
      <c r="A62" s="3861">
        <v>0.05</v>
      </c>
      <c r="B62" s="3862" t="s">
        <v>3777</v>
      </c>
      <c r="C62" s="3880" t="s">
        <v>3735</v>
      </c>
      <c r="D62" s="3881" t="s">
        <v>3751</v>
      </c>
      <c r="E62" s="3897">
        <f>D17*H62*G62/(1+G62)</f>
        <v>0</v>
      </c>
      <c r="F62" s="3892" t="s">
        <v>3752</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3753</v>
      </c>
      <c r="D65" s="3871" t="s">
        <v>3788</v>
      </c>
      <c r="E65" s="4320">
        <f>ROUND(D6*G65,0)</f>
        <v>0</v>
      </c>
      <c r="F65" s="3882" t="s">
        <v>3789</v>
      </c>
      <c r="G65" s="4321">
        <v>0.03</v>
      </c>
      <c r="H65" s="3860"/>
      <c r="I65" s="3859"/>
    </row>
    <row r="66" spans="1:9" ht="12.75">
      <c r="A66" s="3860"/>
      <c r="B66" s="3860"/>
      <c r="C66" s="3872" t="s">
        <v>3754</v>
      </c>
      <c r="D66" s="3873" t="s">
        <v>3755</v>
      </c>
      <c r="E66" s="4433" t="s">
        <v>3953</v>
      </c>
      <c r="F66" s="3883" t="s">
        <v>3756</v>
      </c>
      <c r="G66" s="3884" t="s">
        <v>3757</v>
      </c>
      <c r="H66" s="3860"/>
      <c r="I66" s="3859"/>
    </row>
    <row r="67" spans="1:9" ht="12">
      <c r="A67" s="3860"/>
      <c r="B67" s="3860"/>
      <c r="C67" s="3874">
        <v>1</v>
      </c>
      <c r="D67" s="3873" t="s">
        <v>3758</v>
      </c>
      <c r="E67" s="3898">
        <f>E68-E73</f>
        <v>0</v>
      </c>
      <c r="F67" s="3873"/>
      <c r="G67" s="3884"/>
      <c r="H67" s="3860"/>
      <c r="I67" s="3859"/>
    </row>
    <row r="68" spans="1:9" ht="13.15" customHeight="1">
      <c r="A68" s="3860"/>
      <c r="B68" s="3860"/>
      <c r="C68" s="3899">
        <v>2</v>
      </c>
      <c r="D68" s="3873" t="s">
        <v>3759</v>
      </c>
      <c r="E68" s="3898">
        <f>SUM(E69:E70)</f>
        <v>0</v>
      </c>
      <c r="F68" s="3873"/>
      <c r="G68" s="3884"/>
      <c r="H68" s="3860"/>
      <c r="I68" s="3859"/>
    </row>
    <row r="69" spans="1:9" ht="13.15" customHeight="1">
      <c r="A69" s="3860"/>
      <c r="B69" s="3860"/>
      <c r="C69" s="3875" t="s">
        <v>3760</v>
      </c>
      <c r="D69" s="3876" t="s">
        <v>3761</v>
      </c>
      <c r="E69" s="3876"/>
      <c r="F69" s="3885" t="s">
        <v>3762</v>
      </c>
      <c r="G69" s="3886">
        <v>0.09</v>
      </c>
      <c r="H69" s="3860"/>
      <c r="I69" s="3859"/>
    </row>
    <row r="70" spans="1:9" ht="13.15" customHeight="1">
      <c r="A70" s="3860"/>
      <c r="B70" s="3860"/>
      <c r="C70" s="3875" t="s">
        <v>3741</v>
      </c>
      <c r="D70" s="3876" t="s">
        <v>3763</v>
      </c>
      <c r="E70" s="3876"/>
      <c r="F70" s="3885" t="s">
        <v>3764</v>
      </c>
      <c r="G70" s="3886">
        <v>0.06</v>
      </c>
      <c r="H70" s="3860"/>
      <c r="I70" s="3859"/>
    </row>
    <row r="71" spans="1:9" ht="13.15" customHeight="1">
      <c r="A71" s="3860" t="s">
        <v>3779</v>
      </c>
      <c r="B71" s="3860"/>
      <c r="C71" s="3899">
        <v>3</v>
      </c>
      <c r="D71" s="3873" t="s">
        <v>3765</v>
      </c>
      <c r="E71" s="3898">
        <f>E72+E77</f>
        <v>0</v>
      </c>
      <c r="F71" s="3873"/>
      <c r="G71" s="3884"/>
      <c r="H71" s="3860"/>
      <c r="I71" s="3859"/>
    </row>
    <row r="72" spans="1:9" ht="13.15" customHeight="1">
      <c r="A72" s="3861">
        <v>0.05</v>
      </c>
      <c r="B72" s="3868"/>
      <c r="C72" s="3875" t="s">
        <v>3760</v>
      </c>
      <c r="D72" s="3876" t="s">
        <v>3766</v>
      </c>
      <c r="E72" s="3876">
        <f>D9*G72/(1+G72)</f>
        <v>0</v>
      </c>
      <c r="F72" s="3887" t="s">
        <v>3778</v>
      </c>
      <c r="G72" s="3886">
        <v>0.13</v>
      </c>
      <c r="H72" s="3860"/>
      <c r="I72" s="3859"/>
    </row>
    <row r="73" spans="1:9" ht="13.15" customHeight="1">
      <c r="A73" s="3861">
        <f>SUM(A74:A76)</f>
        <v>0.2</v>
      </c>
      <c r="B73" s="3868"/>
      <c r="C73" s="3875" t="s">
        <v>3741</v>
      </c>
      <c r="D73" s="3876" t="s">
        <v>3767</v>
      </c>
      <c r="E73" s="3876">
        <f>SUM(E74:E76)</f>
        <v>0</v>
      </c>
      <c r="F73" s="3885"/>
      <c r="G73" s="3888"/>
      <c r="H73" s="3860" t="s">
        <v>3785</v>
      </c>
      <c r="I73" s="3860" t="s">
        <v>3786</v>
      </c>
    </row>
    <row r="74" spans="1:9" ht="13.15" customHeight="1">
      <c r="A74" s="3861">
        <v>0.05</v>
      </c>
      <c r="B74" s="3868" t="s">
        <v>3783</v>
      </c>
      <c r="C74" s="3900" t="s">
        <v>3768</v>
      </c>
      <c r="D74" s="3878" t="s">
        <v>3769</v>
      </c>
      <c r="E74" s="3878">
        <v>0</v>
      </c>
      <c r="F74" s="3889"/>
      <c r="G74" s="3890" t="s">
        <v>3770</v>
      </c>
      <c r="H74" s="3854">
        <v>0.25</v>
      </c>
      <c r="I74" s="3863">
        <f>A74/SUM(A74:A76)</f>
        <v>0.25</v>
      </c>
    </row>
    <row r="75" spans="1:9" ht="13.15" customHeight="1">
      <c r="A75" s="3861">
        <v>0.1</v>
      </c>
      <c r="B75" s="3868" t="s">
        <v>3781</v>
      </c>
      <c r="C75" s="3900" t="s">
        <v>3737</v>
      </c>
      <c r="D75" s="3879" t="s">
        <v>3780</v>
      </c>
      <c r="E75" s="3878">
        <f>D10*H75*G75/(1+G75)</f>
        <v>0</v>
      </c>
      <c r="F75" s="3889" t="s">
        <v>3771</v>
      </c>
      <c r="G75" s="3891">
        <v>0.09</v>
      </c>
      <c r="H75" s="3854">
        <v>0.5</v>
      </c>
      <c r="I75" s="3863">
        <f>A75/SUM(A74:A76)</f>
        <v>0.5</v>
      </c>
    </row>
    <row r="76" spans="1:9" ht="13.15" customHeight="1">
      <c r="A76" s="3861">
        <v>0.05</v>
      </c>
      <c r="B76" s="3868" t="s">
        <v>3784</v>
      </c>
      <c r="C76" s="3900" t="s">
        <v>3738</v>
      </c>
      <c r="D76" s="3878" t="s">
        <v>3746</v>
      </c>
      <c r="E76" s="3878">
        <f>D10*H76*G76/(1+G76)</f>
        <v>0</v>
      </c>
      <c r="F76" s="3889" t="s">
        <v>3747</v>
      </c>
      <c r="G76" s="3891">
        <v>0.06</v>
      </c>
      <c r="H76" s="3854">
        <v>0.25</v>
      </c>
      <c r="I76" s="3863">
        <f>1-I74-I75</f>
        <v>0.25</v>
      </c>
    </row>
    <row r="77" spans="1:9" ht="13.15" customHeight="1">
      <c r="A77" s="3861">
        <f>SUM(A78:A79)</f>
        <v>0.1</v>
      </c>
      <c r="B77" s="3868"/>
      <c r="C77" s="3875" t="s">
        <v>3743</v>
      </c>
      <c r="D77" s="3876" t="s">
        <v>3748</v>
      </c>
      <c r="E77" s="3876">
        <f>SUM(E78:E79)</f>
        <v>0</v>
      </c>
      <c r="F77" s="3885"/>
      <c r="G77" s="3888"/>
      <c r="I77" s="3859"/>
    </row>
    <row r="78" spans="1:9" ht="13.15" customHeight="1">
      <c r="A78" s="3861">
        <v>0.05</v>
      </c>
      <c r="B78" s="3868" t="s">
        <v>3774</v>
      </c>
      <c r="C78" s="3900" t="s">
        <v>3768</v>
      </c>
      <c r="D78" s="3878" t="s">
        <v>3750</v>
      </c>
      <c r="E78" s="3878">
        <f>D17*H78*G78/(1+G78)</f>
        <v>0</v>
      </c>
      <c r="F78" s="3889" t="s">
        <v>3747</v>
      </c>
      <c r="G78" s="3891">
        <v>0.06</v>
      </c>
      <c r="H78" s="3854">
        <v>0.5</v>
      </c>
      <c r="I78" s="3859"/>
    </row>
    <row r="79" spans="1:9" ht="13.15" customHeight="1" thickBot="1">
      <c r="A79" s="3861">
        <v>0.05</v>
      </c>
      <c r="B79" s="3868" t="s">
        <v>3782</v>
      </c>
      <c r="C79" s="3901" t="s">
        <v>3737</v>
      </c>
      <c r="D79" s="3881" t="s">
        <v>3751</v>
      </c>
      <c r="E79" s="3881">
        <f>D17*H79*G79/(1+G79)</f>
        <v>0</v>
      </c>
      <c r="F79" s="3892" t="s">
        <v>3752</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51" t="s">
        <v>1561</v>
      </c>
      <c r="C5" s="4952"/>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56" t="s">
        <v>1990</v>
      </c>
      <c r="D1" s="4957"/>
      <c r="E1" s="4957"/>
      <c r="F1" s="4957"/>
      <c r="G1" s="4957"/>
      <c r="H1" s="4957"/>
      <c r="I1" s="4957"/>
      <c r="J1" s="4957"/>
      <c r="K1" s="4957"/>
      <c r="L1" s="4957"/>
      <c r="M1" s="4957"/>
      <c r="N1" s="4957"/>
      <c r="O1" s="4957"/>
      <c r="P1" s="4957"/>
      <c r="Q1" s="4957"/>
      <c r="R1" s="4957"/>
      <c r="S1" s="4958"/>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5"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75">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53" t="s">
        <v>25</v>
      </c>
      <c r="D22" s="4954"/>
      <c r="E22" s="4954"/>
      <c r="F22" s="4954"/>
      <c r="G22" s="4954"/>
      <c r="H22" s="4954"/>
      <c r="I22" s="4954"/>
      <c r="J22" s="4954"/>
      <c r="K22" s="4954"/>
      <c r="L22" s="4954"/>
      <c r="M22" s="4954"/>
      <c r="N22" s="4954"/>
      <c r="O22" s="4954"/>
      <c r="P22" s="4954"/>
      <c r="Q22" s="4955"/>
      <c r="R22" s="3924" t="e">
        <f>ROUND(S22*10000/B22,0)</f>
        <v>#DIV/0!</v>
      </c>
      <c r="S22" s="3924">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估价对象为北京市房地产，为所有。根据《国有土地使用证》[]，估价对象（分摊）出让国有建设用地使用权面积为28389.67平方米，建筑面积为95404.21平方米。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估价对象为北京市房地产,属开发建设的，该项目尚在开发建设中。根据《国有土地使用证》[]，估价对象（分摊）出让国有建设用地使用权面积为28389.67平方米，规划建筑面积为95404.21平方米。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2026年3月6日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本次评估采用的主估价方法为比较法和假设开发法。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95404.21</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70" t="s">
        <v>1574</v>
      </c>
      <c r="D4" s="4871"/>
      <c r="E4" s="4872" t="s">
        <v>1575</v>
      </c>
      <c r="F4" s="4873"/>
      <c r="G4" s="4870" t="s">
        <v>1576</v>
      </c>
      <c r="H4" s="4871"/>
      <c r="I4" s="4870" t="s">
        <v>1577</v>
      </c>
      <c r="J4" s="4871"/>
      <c r="K4" s="3050" t="s">
        <v>1578</v>
      </c>
      <c r="L4" s="2146"/>
      <c r="M4" s="2147"/>
      <c r="N4" s="2147"/>
      <c r="O4" s="2147"/>
      <c r="P4" s="4874" t="s">
        <v>1579</v>
      </c>
      <c r="Q4" s="4875"/>
      <c r="R4" s="4856" t="s">
        <v>1575</v>
      </c>
      <c r="S4" s="4857"/>
      <c r="T4" s="4856" t="s">
        <v>1576</v>
      </c>
      <c r="U4" s="4857"/>
      <c r="V4" s="4882" t="s">
        <v>1577</v>
      </c>
      <c r="W4" s="4882"/>
      <c r="X4" s="963"/>
      <c r="Y4" s="4885" t="s">
        <v>1579</v>
      </c>
      <c r="Z4" s="4886"/>
      <c r="AA4" s="4851" t="s">
        <v>1575</v>
      </c>
      <c r="AB4" s="4851" t="s">
        <v>1576</v>
      </c>
      <c r="AC4" s="4851" t="s">
        <v>1577</v>
      </c>
    </row>
    <row r="5" spans="1:29" ht="15">
      <c r="A5" s="244"/>
      <c r="B5" s="245"/>
      <c r="C5" s="4862" t="s">
        <v>1580</v>
      </c>
      <c r="D5" s="4863"/>
      <c r="E5" s="4860" t="s">
        <v>1581</v>
      </c>
      <c r="F5" s="4861"/>
      <c r="G5" s="4862" t="s">
        <v>1582</v>
      </c>
      <c r="H5" s="4863"/>
      <c r="I5" s="4862" t="s">
        <v>1583</v>
      </c>
      <c r="J5" s="4863"/>
      <c r="K5" s="3051"/>
      <c r="L5" s="2146"/>
      <c r="M5" s="2147"/>
      <c r="N5" s="2147"/>
      <c r="O5" s="2147"/>
      <c r="P5" s="4876"/>
      <c r="Q5" s="4877"/>
      <c r="R5" s="4858"/>
      <c r="S5" s="4859"/>
      <c r="T5" s="4858"/>
      <c r="U5" s="4859"/>
      <c r="V5" s="4882"/>
      <c r="W5" s="4882"/>
      <c r="X5" s="963"/>
      <c r="Y5" s="4887"/>
      <c r="Z5" s="4888"/>
      <c r="AA5" s="4852"/>
      <c r="AB5" s="4852"/>
      <c r="AC5" s="4852"/>
    </row>
    <row r="6" spans="1:29" ht="15.75" thickBot="1">
      <c r="A6" s="246"/>
      <c r="B6" s="247"/>
      <c r="C6" s="4864" t="s">
        <v>1584</v>
      </c>
      <c r="D6" s="4865"/>
      <c r="E6" s="4866" t="s">
        <v>1584</v>
      </c>
      <c r="F6" s="4867"/>
      <c r="G6" s="4864" t="s">
        <v>1584</v>
      </c>
      <c r="H6" s="4865"/>
      <c r="I6" s="4864" t="s">
        <v>1584</v>
      </c>
      <c r="J6" s="4865"/>
      <c r="K6" s="3051" t="s">
        <v>1585</v>
      </c>
      <c r="L6" s="2146"/>
      <c r="M6" s="2147"/>
      <c r="N6" s="2147"/>
      <c r="O6" s="2147"/>
      <c r="P6" s="4878"/>
      <c r="Q6" s="4879"/>
      <c r="R6" s="4858"/>
      <c r="S6" s="4859"/>
      <c r="T6" s="4880"/>
      <c r="U6" s="4881"/>
      <c r="V6" s="4882"/>
      <c r="W6" s="4882"/>
      <c r="X6" s="963"/>
      <c r="Y6" s="4889"/>
      <c r="Z6" s="4890"/>
      <c r="AA6" s="4853"/>
      <c r="AB6" s="4853"/>
      <c r="AC6" s="4853"/>
    </row>
    <row r="7" spans="1:29" s="49" customFormat="1" ht="15.75" thickBot="1">
      <c r="A7" s="248" t="s">
        <v>1586</v>
      </c>
      <c r="B7" s="249"/>
      <c r="C7" s="3052">
        <f>'数据-取费表'!B2</f>
        <v>46087</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883" t="s">
        <v>1587</v>
      </c>
      <c r="Q7" s="4891"/>
      <c r="R7" s="3921" t="s">
        <v>18</v>
      </c>
      <c r="S7" s="3405">
        <f t="shared" ref="S7:S15" si="0">F7</f>
        <v>0</v>
      </c>
      <c r="T7" s="3921" t="s">
        <v>18</v>
      </c>
      <c r="U7" s="3405">
        <f t="shared" ref="U7:U15" si="1">H7</f>
        <v>0</v>
      </c>
      <c r="V7" s="3921" t="s">
        <v>18</v>
      </c>
      <c r="W7" s="3405">
        <f t="shared" ref="W7:W15" si="2">J7</f>
        <v>0</v>
      </c>
      <c r="X7" s="504"/>
      <c r="Y7" s="4854" t="s">
        <v>1587</v>
      </c>
      <c r="Z7" s="4855"/>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883" t="s">
        <v>1590</v>
      </c>
      <c r="Q8" s="4884"/>
      <c r="R8" s="3921" t="s">
        <v>18</v>
      </c>
      <c r="S8" s="3405">
        <f t="shared" si="0"/>
        <v>100</v>
      </c>
      <c r="T8" s="3921" t="s">
        <v>18</v>
      </c>
      <c r="U8" s="3405">
        <f t="shared" si="1"/>
        <v>100</v>
      </c>
      <c r="V8" s="3921" t="s">
        <v>18</v>
      </c>
      <c r="W8" s="3405">
        <f t="shared" si="2"/>
        <v>100</v>
      </c>
      <c r="X8" s="504"/>
      <c r="Y8" s="4854" t="s">
        <v>1590</v>
      </c>
      <c r="Z8" s="4855"/>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59" t="s">
        <v>1593</v>
      </c>
      <c r="Q9" s="3026" t="str">
        <f t="shared" ref="Q9:Q15" si="6">B9</f>
        <v>用途</v>
      </c>
      <c r="R9" s="3921" t="s">
        <v>13</v>
      </c>
      <c r="S9" s="3405">
        <f t="shared" si="0"/>
        <v>100</v>
      </c>
      <c r="T9" s="3921" t="s">
        <v>13</v>
      </c>
      <c r="U9" s="3405">
        <f t="shared" si="1"/>
        <v>100</v>
      </c>
      <c r="V9" s="3921" t="s">
        <v>13</v>
      </c>
      <c r="W9" s="3405">
        <f t="shared" si="2"/>
        <v>100</v>
      </c>
      <c r="X9" s="504"/>
      <c r="Y9" s="4869"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59"/>
      <c r="Q10" s="3026" t="str">
        <f t="shared" si="6"/>
        <v>土地使用年限（年）</v>
      </c>
      <c r="R10" s="3921" t="s">
        <v>13</v>
      </c>
      <c r="S10" s="3405">
        <f t="shared" si="0"/>
        <v>100</v>
      </c>
      <c r="T10" s="3921" t="s">
        <v>13</v>
      </c>
      <c r="U10" s="3405">
        <f t="shared" si="1"/>
        <v>100</v>
      </c>
      <c r="V10" s="3921" t="s">
        <v>13</v>
      </c>
      <c r="W10" s="3405">
        <f t="shared" si="2"/>
        <v>100</v>
      </c>
      <c r="X10" s="504"/>
      <c r="Y10" s="4869"/>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59"/>
      <c r="Q11" s="3026" t="str">
        <f t="shared" si="6"/>
        <v>容积率</v>
      </c>
      <c r="R11" s="3921" t="s">
        <v>16</v>
      </c>
      <c r="S11" s="3405">
        <f t="shared" si="0"/>
        <v>100</v>
      </c>
      <c r="T11" s="3921" t="s">
        <v>16</v>
      </c>
      <c r="U11" s="3405">
        <f t="shared" si="1"/>
        <v>100</v>
      </c>
      <c r="V11" s="3921" t="s">
        <v>16</v>
      </c>
      <c r="W11" s="3405">
        <f t="shared" si="2"/>
        <v>100</v>
      </c>
      <c r="X11" s="504"/>
      <c r="Y11" s="4869"/>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59"/>
      <c r="Q12" s="3026">
        <f t="shared" si="6"/>
        <v>111</v>
      </c>
      <c r="R12" s="3921" t="s">
        <v>16</v>
      </c>
      <c r="S12" s="3405">
        <f t="shared" si="0"/>
        <v>100</v>
      </c>
      <c r="T12" s="3921" t="s">
        <v>16</v>
      </c>
      <c r="U12" s="3405">
        <f t="shared" si="1"/>
        <v>100</v>
      </c>
      <c r="V12" s="3921" t="s">
        <v>16</v>
      </c>
      <c r="W12" s="3405">
        <f t="shared" si="2"/>
        <v>100</v>
      </c>
      <c r="X12" s="504"/>
      <c r="Y12" s="4869"/>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59"/>
      <c r="Q13" s="3026">
        <f t="shared" si="6"/>
        <v>111</v>
      </c>
      <c r="R13" s="3921" t="s">
        <v>16</v>
      </c>
      <c r="S13" s="3405">
        <f t="shared" si="0"/>
        <v>100</v>
      </c>
      <c r="T13" s="3921" t="s">
        <v>16</v>
      </c>
      <c r="U13" s="3405">
        <f t="shared" si="1"/>
        <v>100</v>
      </c>
      <c r="V13" s="3921" t="s">
        <v>16</v>
      </c>
      <c r="W13" s="3405">
        <f t="shared" si="2"/>
        <v>100</v>
      </c>
      <c r="X13" s="504"/>
      <c r="Y13" s="4869"/>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59"/>
      <c r="Q14" s="3026">
        <f t="shared" si="6"/>
        <v>111</v>
      </c>
      <c r="R14" s="3921" t="s">
        <v>16</v>
      </c>
      <c r="S14" s="3405">
        <f t="shared" si="0"/>
        <v>100</v>
      </c>
      <c r="T14" s="3921" t="s">
        <v>16</v>
      </c>
      <c r="U14" s="3405">
        <f t="shared" si="1"/>
        <v>100</v>
      </c>
      <c r="V14" s="3921" t="s">
        <v>16</v>
      </c>
      <c r="W14" s="3405">
        <f t="shared" si="2"/>
        <v>100</v>
      </c>
      <c r="X14" s="504"/>
      <c r="Y14" s="4869"/>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964" t="s">
        <v>1598</v>
      </c>
      <c r="Q15" s="1618" t="str">
        <f t="shared" si="6"/>
        <v>居住社区成熟度</v>
      </c>
      <c r="R15" s="4042" t="s">
        <v>16</v>
      </c>
      <c r="S15" s="3406">
        <f t="shared" si="0"/>
        <v>100</v>
      </c>
      <c r="T15" s="4042" t="s">
        <v>16</v>
      </c>
      <c r="U15" s="3406">
        <f t="shared" si="1"/>
        <v>100</v>
      </c>
      <c r="V15" s="4042" t="s">
        <v>16</v>
      </c>
      <c r="W15" s="3406">
        <f t="shared" si="2"/>
        <v>100</v>
      </c>
      <c r="X15" s="963"/>
      <c r="Y15" s="4894"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65"/>
      <c r="Q16" s="1618"/>
      <c r="R16" s="4042"/>
      <c r="S16" s="3406"/>
      <c r="T16" s="4042"/>
      <c r="U16" s="3406"/>
      <c r="V16" s="4042"/>
      <c r="W16" s="3406"/>
      <c r="X16" s="963"/>
      <c r="Y16" s="4895"/>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65"/>
      <c r="Q17" s="1618" t="str">
        <f>B17</f>
        <v>交通便捷度</v>
      </c>
      <c r="R17" s="4042" t="s">
        <v>16</v>
      </c>
      <c r="S17" s="3406">
        <f>F17</f>
        <v>100</v>
      </c>
      <c r="T17" s="4042" t="s">
        <v>16</v>
      </c>
      <c r="U17" s="3406">
        <f>H17</f>
        <v>100</v>
      </c>
      <c r="V17" s="4042" t="s">
        <v>16</v>
      </c>
      <c r="W17" s="3406">
        <f>J17</f>
        <v>100</v>
      </c>
      <c r="X17" s="963"/>
      <c r="Y17" s="4895"/>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65"/>
      <c r="Q18" s="1618"/>
      <c r="R18" s="4042"/>
      <c r="S18" s="3406"/>
      <c r="T18" s="4042"/>
      <c r="U18" s="3406"/>
      <c r="V18" s="4042"/>
      <c r="W18" s="3406"/>
      <c r="X18" s="963"/>
      <c r="Y18" s="4895"/>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65"/>
      <c r="Q19" s="1618" t="str">
        <f>B19</f>
        <v>公共配套设施</v>
      </c>
      <c r="R19" s="4042" t="s">
        <v>16</v>
      </c>
      <c r="S19" s="3406">
        <f>F19</f>
        <v>100</v>
      </c>
      <c r="T19" s="4042" t="s">
        <v>16</v>
      </c>
      <c r="U19" s="3406">
        <f>H19</f>
        <v>100</v>
      </c>
      <c r="V19" s="4042" t="s">
        <v>16</v>
      </c>
      <c r="W19" s="3406">
        <f>J19</f>
        <v>100</v>
      </c>
      <c r="X19" s="963"/>
      <c r="Y19" s="4895"/>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65"/>
      <c r="Q20" s="1618"/>
      <c r="R20" s="4042"/>
      <c r="S20" s="3406"/>
      <c r="T20" s="4042"/>
      <c r="U20" s="3406"/>
      <c r="V20" s="4042"/>
      <c r="W20" s="3406"/>
      <c r="X20" s="963"/>
      <c r="Y20" s="4895"/>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65"/>
      <c r="Q21" s="1618" t="str">
        <f>B21</f>
        <v>基础设施水平</v>
      </c>
      <c r="R21" s="4042" t="s">
        <v>13</v>
      </c>
      <c r="S21" s="3406">
        <f>F21</f>
        <v>100</v>
      </c>
      <c r="T21" s="4042" t="s">
        <v>13</v>
      </c>
      <c r="U21" s="3406">
        <f>H21</f>
        <v>100</v>
      </c>
      <c r="V21" s="4042" t="s">
        <v>13</v>
      </c>
      <c r="W21" s="3406">
        <f>J21</f>
        <v>100</v>
      </c>
      <c r="X21" s="963"/>
      <c r="Y21" s="489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65"/>
      <c r="Q22" s="1618"/>
      <c r="R22" s="4042"/>
      <c r="S22" s="3406"/>
      <c r="T22" s="4042"/>
      <c r="U22" s="3406"/>
      <c r="V22" s="4042"/>
      <c r="W22" s="3406"/>
      <c r="X22" s="963"/>
      <c r="Y22" s="4895"/>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65"/>
      <c r="Q23" s="1618" t="str">
        <f>B23</f>
        <v>自然及人文环境</v>
      </c>
      <c r="R23" s="4042" t="s">
        <v>16</v>
      </c>
      <c r="S23" s="3406">
        <f>F23</f>
        <v>100</v>
      </c>
      <c r="T23" s="4042" t="s">
        <v>16</v>
      </c>
      <c r="U23" s="3406">
        <f>H23</f>
        <v>100</v>
      </c>
      <c r="V23" s="4042" t="s">
        <v>16</v>
      </c>
      <c r="W23" s="3406">
        <f>J23</f>
        <v>100</v>
      </c>
      <c r="X23" s="963"/>
      <c r="Y23" s="4895"/>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65"/>
      <c r="Q24" s="1618"/>
      <c r="R24" s="4042"/>
      <c r="S24" s="3406"/>
      <c r="T24" s="4042"/>
      <c r="U24" s="3406"/>
      <c r="V24" s="4042"/>
      <c r="W24" s="3406"/>
      <c r="X24" s="963"/>
      <c r="Y24" s="4895"/>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65"/>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9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65"/>
      <c r="Q26" s="1618" t="str">
        <f t="shared" si="11"/>
        <v>朝向</v>
      </c>
      <c r="R26" s="4042" t="s">
        <v>16</v>
      </c>
      <c r="S26" s="3406">
        <f t="shared" si="12"/>
        <v>100</v>
      </c>
      <c r="T26" s="4042" t="s">
        <v>16</v>
      </c>
      <c r="U26" s="3406">
        <f t="shared" si="13"/>
        <v>100</v>
      </c>
      <c r="V26" s="4042" t="s">
        <v>16</v>
      </c>
      <c r="W26" s="3406">
        <f t="shared" si="14"/>
        <v>100</v>
      </c>
      <c r="X26" s="963"/>
      <c r="Y26" s="4895"/>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65"/>
      <c r="Q27" s="3026">
        <f t="shared" si="11"/>
        <v>111</v>
      </c>
      <c r="R27" s="3921" t="s">
        <v>16</v>
      </c>
      <c r="S27" s="3405">
        <f t="shared" si="12"/>
        <v>100</v>
      </c>
      <c r="T27" s="3921" t="s">
        <v>16</v>
      </c>
      <c r="U27" s="3405">
        <f t="shared" si="13"/>
        <v>100</v>
      </c>
      <c r="V27" s="3921" t="s">
        <v>16</v>
      </c>
      <c r="W27" s="3405">
        <f t="shared" si="14"/>
        <v>100</v>
      </c>
      <c r="X27" s="504"/>
      <c r="Y27" s="4895"/>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65"/>
      <c r="Q28" s="1618">
        <f t="shared" si="11"/>
        <v>111</v>
      </c>
      <c r="R28" s="4042" t="s">
        <v>16</v>
      </c>
      <c r="S28" s="3406">
        <f t="shared" si="12"/>
        <v>100</v>
      </c>
      <c r="T28" s="4042" t="s">
        <v>16</v>
      </c>
      <c r="U28" s="3406">
        <f t="shared" si="13"/>
        <v>100</v>
      </c>
      <c r="V28" s="4042" t="s">
        <v>16</v>
      </c>
      <c r="W28" s="3406">
        <f t="shared" si="14"/>
        <v>100</v>
      </c>
      <c r="X28" s="963"/>
      <c r="Y28" s="4895"/>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65"/>
      <c r="Q29" s="1618">
        <f t="shared" si="11"/>
        <v>111</v>
      </c>
      <c r="R29" s="4042" t="s">
        <v>16</v>
      </c>
      <c r="S29" s="3406">
        <f t="shared" si="12"/>
        <v>100</v>
      </c>
      <c r="T29" s="4042" t="s">
        <v>16</v>
      </c>
      <c r="U29" s="3406">
        <f t="shared" si="13"/>
        <v>100</v>
      </c>
      <c r="V29" s="4042" t="s">
        <v>16</v>
      </c>
      <c r="W29" s="3406">
        <f t="shared" si="14"/>
        <v>100</v>
      </c>
      <c r="X29" s="963"/>
      <c r="Y29" s="4895"/>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65"/>
      <c r="Q30" s="1618">
        <f t="shared" si="11"/>
        <v>111</v>
      </c>
      <c r="R30" s="4042" t="s">
        <v>16</v>
      </c>
      <c r="S30" s="3406">
        <f t="shared" si="12"/>
        <v>100</v>
      </c>
      <c r="T30" s="4042" t="s">
        <v>16</v>
      </c>
      <c r="U30" s="3406">
        <f t="shared" si="13"/>
        <v>100</v>
      </c>
      <c r="V30" s="4042" t="s">
        <v>16</v>
      </c>
      <c r="W30" s="3406">
        <f t="shared" si="14"/>
        <v>100</v>
      </c>
      <c r="X30" s="963"/>
      <c r="Y30" s="4895"/>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65"/>
      <c r="Q31" s="1618">
        <f t="shared" si="11"/>
        <v>111</v>
      </c>
      <c r="R31" s="4042" t="s">
        <v>16</v>
      </c>
      <c r="S31" s="3406">
        <f t="shared" si="12"/>
        <v>100</v>
      </c>
      <c r="T31" s="4042" t="s">
        <v>16</v>
      </c>
      <c r="U31" s="3406">
        <f t="shared" si="13"/>
        <v>100</v>
      </c>
      <c r="V31" s="4042" t="s">
        <v>16</v>
      </c>
      <c r="W31" s="3406">
        <f t="shared" si="14"/>
        <v>100</v>
      </c>
      <c r="X31" s="963"/>
      <c r="Y31" s="4895"/>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960" t="s">
        <v>1603</v>
      </c>
      <c r="Q32" s="1618" t="str">
        <f t="shared" si="11"/>
        <v>建筑类型</v>
      </c>
      <c r="R32" s="4042" t="s">
        <v>16</v>
      </c>
      <c r="S32" s="3406">
        <f t="shared" si="12"/>
        <v>100</v>
      </c>
      <c r="T32" s="4042" t="s">
        <v>16</v>
      </c>
      <c r="U32" s="3406">
        <f t="shared" si="13"/>
        <v>100</v>
      </c>
      <c r="V32" s="4042" t="s">
        <v>16</v>
      </c>
      <c r="W32" s="3406">
        <f t="shared" si="14"/>
        <v>100</v>
      </c>
      <c r="X32" s="963"/>
      <c r="Y32" s="4898"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961"/>
      <c r="Q33" s="3106" t="str">
        <f t="shared" si="11"/>
        <v>项目建筑规模</v>
      </c>
      <c r="R33" s="4043" t="s">
        <v>16</v>
      </c>
      <c r="S33" s="3407" t="e">
        <f t="shared" si="12"/>
        <v>#N/A</v>
      </c>
      <c r="T33" s="4043" t="s">
        <v>16</v>
      </c>
      <c r="U33" s="3407" t="e">
        <f t="shared" si="13"/>
        <v>#N/A</v>
      </c>
      <c r="V33" s="4043" t="s">
        <v>16</v>
      </c>
      <c r="W33" s="3407" t="e">
        <f t="shared" si="14"/>
        <v>#N/A</v>
      </c>
      <c r="X33" s="507"/>
      <c r="Y33" s="4898"/>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961"/>
      <c r="Q34" s="1618" t="str">
        <f t="shared" si="11"/>
        <v>建筑结构</v>
      </c>
      <c r="R34" s="4042" t="s">
        <v>16</v>
      </c>
      <c r="S34" s="3406">
        <f t="shared" si="12"/>
        <v>100</v>
      </c>
      <c r="T34" s="4042" t="s">
        <v>16</v>
      </c>
      <c r="U34" s="3406">
        <f t="shared" si="13"/>
        <v>100</v>
      </c>
      <c r="V34" s="4042" t="s">
        <v>16</v>
      </c>
      <c r="W34" s="3406">
        <f t="shared" si="14"/>
        <v>100</v>
      </c>
      <c r="X34" s="963"/>
      <c r="Y34" s="4898"/>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961"/>
      <c r="Q35" s="1618" t="str">
        <f t="shared" si="11"/>
        <v>建筑品质</v>
      </c>
      <c r="R35" s="4042" t="s">
        <v>16</v>
      </c>
      <c r="S35" s="3406">
        <f t="shared" si="12"/>
        <v>100</v>
      </c>
      <c r="T35" s="4042" t="s">
        <v>16</v>
      </c>
      <c r="U35" s="3406">
        <f t="shared" si="13"/>
        <v>100</v>
      </c>
      <c r="V35" s="4042" t="s">
        <v>16</v>
      </c>
      <c r="W35" s="3406">
        <f t="shared" si="14"/>
        <v>100</v>
      </c>
      <c r="X35" s="963"/>
      <c r="Y35" s="4898"/>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961"/>
      <c r="Q36" s="1618" t="str">
        <f t="shared" si="11"/>
        <v>公共部分装修</v>
      </c>
      <c r="R36" s="4042" t="s">
        <v>16</v>
      </c>
      <c r="S36" s="3406">
        <f t="shared" si="12"/>
        <v>100</v>
      </c>
      <c r="T36" s="4042" t="s">
        <v>16</v>
      </c>
      <c r="U36" s="3406">
        <f t="shared" si="13"/>
        <v>100</v>
      </c>
      <c r="V36" s="4042" t="s">
        <v>16</v>
      </c>
      <c r="W36" s="3406">
        <f t="shared" si="14"/>
        <v>100</v>
      </c>
      <c r="X36" s="963"/>
      <c r="Y36" s="4898"/>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961"/>
      <c r="Q37" s="3026" t="str">
        <f t="shared" si="11"/>
        <v>成新度</v>
      </c>
      <c r="R37" s="3921" t="s">
        <v>16</v>
      </c>
      <c r="S37" s="3405" t="e">
        <f t="shared" si="12"/>
        <v>#N/A</v>
      </c>
      <c r="T37" s="3921" t="s">
        <v>16</v>
      </c>
      <c r="U37" s="3405" t="e">
        <f t="shared" si="13"/>
        <v>#N/A</v>
      </c>
      <c r="V37" s="3921" t="s">
        <v>16</v>
      </c>
      <c r="W37" s="3405" t="e">
        <f t="shared" si="14"/>
        <v>#N/A</v>
      </c>
      <c r="X37" s="504"/>
      <c r="Y37" s="4898"/>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961" t="s">
        <v>1603</v>
      </c>
      <c r="Q38" s="1618" t="str">
        <f t="shared" si="11"/>
        <v>物业管理</v>
      </c>
      <c r="R38" s="4042" t="s">
        <v>16</v>
      </c>
      <c r="S38" s="3406">
        <f t="shared" si="12"/>
        <v>100</v>
      </c>
      <c r="T38" s="4042" t="s">
        <v>16</v>
      </c>
      <c r="U38" s="3406">
        <f t="shared" si="13"/>
        <v>100</v>
      </c>
      <c r="V38" s="4042" t="s">
        <v>16</v>
      </c>
      <c r="W38" s="3406">
        <f t="shared" si="14"/>
        <v>100</v>
      </c>
      <c r="X38" s="963"/>
      <c r="Y38" s="4898"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961"/>
      <c r="Q39" s="1618" t="str">
        <f t="shared" si="11"/>
        <v>市政基础设施</v>
      </c>
      <c r="R39" s="4042" t="s">
        <v>16</v>
      </c>
      <c r="S39" s="3406">
        <f t="shared" si="12"/>
        <v>100</v>
      </c>
      <c r="T39" s="4042" t="s">
        <v>16</v>
      </c>
      <c r="U39" s="3406">
        <f t="shared" si="13"/>
        <v>100</v>
      </c>
      <c r="V39" s="4042" t="s">
        <v>16</v>
      </c>
      <c r="W39" s="3406">
        <f t="shared" si="14"/>
        <v>100</v>
      </c>
      <c r="X39" s="963"/>
      <c r="Y39" s="4898"/>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961"/>
      <c r="Q40" s="1618" t="str">
        <f t="shared" si="11"/>
        <v>房型</v>
      </c>
      <c r="R40" s="4042" t="s">
        <v>16</v>
      </c>
      <c r="S40" s="3406">
        <f t="shared" si="12"/>
        <v>100</v>
      </c>
      <c r="T40" s="4042" t="s">
        <v>16</v>
      </c>
      <c r="U40" s="3406">
        <f t="shared" si="13"/>
        <v>100</v>
      </c>
      <c r="V40" s="4042" t="s">
        <v>16</v>
      </c>
      <c r="W40" s="3406">
        <f t="shared" si="14"/>
        <v>100</v>
      </c>
      <c r="X40" s="963"/>
      <c r="Y40" s="4898"/>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961"/>
      <c r="Q41" s="3106" t="str">
        <f t="shared" si="11"/>
        <v>单套/主力户型建筑面积</v>
      </c>
      <c r="R41" s="4043" t="s">
        <v>16</v>
      </c>
      <c r="S41" s="3407">
        <f t="shared" si="12"/>
        <v>100</v>
      </c>
      <c r="T41" s="4043" t="s">
        <v>16</v>
      </c>
      <c r="U41" s="3407">
        <f t="shared" si="13"/>
        <v>100</v>
      </c>
      <c r="V41" s="4043" t="s">
        <v>16</v>
      </c>
      <c r="W41" s="3407">
        <f t="shared" si="14"/>
        <v>100</v>
      </c>
      <c r="X41" s="507"/>
      <c r="Y41" s="4898"/>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961"/>
      <c r="Q42" s="1618" t="str">
        <f t="shared" si="11"/>
        <v>内部装修</v>
      </c>
      <c r="R42" s="4042" t="s">
        <v>16</v>
      </c>
      <c r="S42" s="3406">
        <f t="shared" si="12"/>
        <v>100</v>
      </c>
      <c r="T42" s="4042" t="s">
        <v>16</v>
      </c>
      <c r="U42" s="3406">
        <f t="shared" si="13"/>
        <v>100</v>
      </c>
      <c r="V42" s="4042" t="s">
        <v>16</v>
      </c>
      <c r="W42" s="3406">
        <f t="shared" si="14"/>
        <v>100</v>
      </c>
      <c r="X42" s="963"/>
      <c r="Y42" s="4898"/>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961"/>
      <c r="Q43" s="1618" t="str">
        <f t="shared" si="11"/>
        <v>内部装修维护情况</v>
      </c>
      <c r="R43" s="4042" t="s">
        <v>16</v>
      </c>
      <c r="S43" s="3406">
        <f t="shared" si="12"/>
        <v>100</v>
      </c>
      <c r="T43" s="4042" t="s">
        <v>16</v>
      </c>
      <c r="U43" s="3406">
        <f t="shared" si="13"/>
        <v>100</v>
      </c>
      <c r="V43" s="4042" t="s">
        <v>16</v>
      </c>
      <c r="W43" s="3406">
        <f t="shared" si="14"/>
        <v>100</v>
      </c>
      <c r="X43" s="963"/>
      <c r="Y43" s="4898"/>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961"/>
      <c r="Q44" s="3026">
        <f t="shared" si="11"/>
        <v>111</v>
      </c>
      <c r="R44" s="3921" t="s">
        <v>16</v>
      </c>
      <c r="S44" s="3405">
        <f t="shared" si="12"/>
        <v>100</v>
      </c>
      <c r="T44" s="3921" t="s">
        <v>16</v>
      </c>
      <c r="U44" s="3405">
        <f t="shared" si="13"/>
        <v>100</v>
      </c>
      <c r="V44" s="3921" t="s">
        <v>16</v>
      </c>
      <c r="W44" s="3405">
        <f t="shared" si="14"/>
        <v>100</v>
      </c>
      <c r="X44" s="504"/>
      <c r="Y44" s="4898"/>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961"/>
      <c r="Q45" s="1618">
        <f t="shared" si="11"/>
        <v>111</v>
      </c>
      <c r="R45" s="4042" t="s">
        <v>16</v>
      </c>
      <c r="S45" s="3406">
        <f t="shared" si="12"/>
        <v>100</v>
      </c>
      <c r="T45" s="4042" t="s">
        <v>16</v>
      </c>
      <c r="U45" s="3406">
        <f t="shared" si="13"/>
        <v>100</v>
      </c>
      <c r="V45" s="4042" t="s">
        <v>16</v>
      </c>
      <c r="W45" s="3406">
        <f t="shared" si="14"/>
        <v>100</v>
      </c>
      <c r="X45" s="963"/>
      <c r="Y45" s="4898"/>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962"/>
      <c r="Q46" s="1618">
        <f t="shared" si="11"/>
        <v>111</v>
      </c>
      <c r="R46" s="4042" t="s">
        <v>15</v>
      </c>
      <c r="S46" s="3406">
        <f t="shared" si="12"/>
        <v>100</v>
      </c>
      <c r="T46" s="4042" t="s">
        <v>15</v>
      </c>
      <c r="U46" s="3406">
        <f t="shared" si="13"/>
        <v>100</v>
      </c>
      <c r="V46" s="4042" t="s">
        <v>15</v>
      </c>
      <c r="W46" s="3406">
        <f t="shared" si="14"/>
        <v>100</v>
      </c>
      <c r="X46" s="963"/>
      <c r="Y46" s="4963"/>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68" t="str">
        <f>A47</f>
        <v>成交单价（元/平方米）</v>
      </c>
      <c r="Q47" s="4868"/>
      <c r="R47" s="4899">
        <f>E47</f>
        <v>0</v>
      </c>
      <c r="S47" s="4899"/>
      <c r="T47" s="4899">
        <f>G47</f>
        <v>0</v>
      </c>
      <c r="U47" s="4899"/>
      <c r="V47" s="4899">
        <f>I47</f>
        <v>0</v>
      </c>
      <c r="W47" s="4899"/>
      <c r="X47" s="493"/>
      <c r="Y47" s="509"/>
      <c r="Z47" s="493"/>
      <c r="AA47" s="493"/>
      <c r="AB47" s="493"/>
      <c r="AC47" s="493"/>
    </row>
    <row r="48" spans="1:29" ht="15.75" thickBot="1">
      <c r="A48" s="295" t="s">
        <v>1616</v>
      </c>
      <c r="B48" s="296"/>
      <c r="C48" s="4040" t="e">
        <f>R49</f>
        <v>#DIV/0!</v>
      </c>
      <c r="D48" s="4197" t="s">
        <v>2041</v>
      </c>
      <c r="E48" s="3127" t="e">
        <f>R48</f>
        <v>#DIV/0!</v>
      </c>
      <c r="F48" s="3042"/>
      <c r="G48" s="3126" t="e">
        <f>T48</f>
        <v>#DIV/0!</v>
      </c>
      <c r="H48" s="3042"/>
      <c r="I48" s="3127" t="e">
        <f>V48</f>
        <v>#DIV/0!</v>
      </c>
      <c r="J48" s="3042"/>
      <c r="K48" s="3097">
        <f>F48+H48+J48</f>
        <v>0</v>
      </c>
      <c r="L48" s="2155"/>
      <c r="M48" s="2156"/>
      <c r="N48" s="2156"/>
      <c r="O48" s="2156"/>
      <c r="P48" s="4868" t="str">
        <f>A48</f>
        <v>比较价值（元/平方米）</v>
      </c>
      <c r="Q48" s="4868"/>
      <c r="R48" s="4899" t="e">
        <f>IF(F1="售价",ROUND(PRODUCT(R47,AA7:AA46),0),ROUND(PRODUCT(R47,AA7:AA46),1))</f>
        <v>#DIV/0!</v>
      </c>
      <c r="S48" s="4899"/>
      <c r="T48" s="4899" t="e">
        <f>IF(F1="售价",ROUND(PRODUCT(T47,AB7:AB46),0),ROUND(PRODUCT(T47,AB7:AB46),1))</f>
        <v>#DIV/0!</v>
      </c>
      <c r="U48" s="4899"/>
      <c r="V48" s="4899" t="e">
        <f>IF(F1="售价",ROUND(PRODUCT(V47,AC7:AC46),0),ROUND(PRODUCT(V47,AC7:AC46),1))</f>
        <v>#DIV/0!</v>
      </c>
      <c r="W48" s="4899"/>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900" t="str">
        <f>A49</f>
        <v>估价对象XX用房的比较价值（楼面单价，元/平方米）</v>
      </c>
      <c r="Q49" s="4901"/>
      <c r="R49" s="4902" t="e">
        <f>IF(F1="售价",ROUND(IF(D48="简单平均",AVERAGE(R48:V48),R48*F48+T48*H48+V48*J48),0),ROUND(IF(D48="简单平均",AVERAGE(R48:V48),R48*F48+T48*H48+V48*J48),1))</f>
        <v>#DIV/0!</v>
      </c>
      <c r="S49" s="4902"/>
      <c r="T49" s="4902"/>
      <c r="U49" s="4902"/>
      <c r="V49" s="4902"/>
      <c r="W49" s="490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95404.21</v>
      </c>
      <c r="E3" s="4198" t="s">
        <v>3475</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70" t="s">
        <v>1677</v>
      </c>
      <c r="D4" s="4871"/>
      <c r="E4" s="4872" t="s">
        <v>1678</v>
      </c>
      <c r="F4" s="4873"/>
      <c r="G4" s="4870" t="s">
        <v>1679</v>
      </c>
      <c r="H4" s="4871"/>
      <c r="I4" s="4870" t="s">
        <v>1680</v>
      </c>
      <c r="J4" s="4871"/>
      <c r="K4" s="3105" t="s">
        <v>1681</v>
      </c>
      <c r="L4" s="2146"/>
      <c r="M4" s="2147"/>
      <c r="N4" s="2147"/>
      <c r="O4" s="2147"/>
      <c r="P4" s="4874" t="s">
        <v>1682</v>
      </c>
      <c r="Q4" s="4875"/>
      <c r="R4" s="4856" t="s">
        <v>1678</v>
      </c>
      <c r="S4" s="4857"/>
      <c r="T4" s="4856" t="s">
        <v>1679</v>
      </c>
      <c r="U4" s="4857"/>
      <c r="V4" s="4882" t="s">
        <v>1680</v>
      </c>
      <c r="W4" s="4882"/>
      <c r="X4" s="963"/>
      <c r="Y4" s="4885" t="s">
        <v>1682</v>
      </c>
      <c r="Z4" s="4886"/>
      <c r="AA4" s="4851" t="s">
        <v>1678</v>
      </c>
      <c r="AB4" s="4966" t="s">
        <v>1679</v>
      </c>
      <c r="AC4" s="4851" t="s">
        <v>1680</v>
      </c>
    </row>
    <row r="5" spans="1:29" ht="15">
      <c r="A5" s="244"/>
      <c r="B5" s="245"/>
      <c r="C5" s="4862" t="s">
        <v>1580</v>
      </c>
      <c r="D5" s="4863"/>
      <c r="E5" s="4860" t="s">
        <v>1581</v>
      </c>
      <c r="F5" s="4861"/>
      <c r="G5" s="4862" t="s">
        <v>1582</v>
      </c>
      <c r="H5" s="4863"/>
      <c r="I5" s="4862" t="s">
        <v>1583</v>
      </c>
      <c r="J5" s="4863"/>
      <c r="K5" s="3105"/>
      <c r="L5" s="2146"/>
      <c r="M5" s="2147"/>
      <c r="N5" s="2147"/>
      <c r="O5" s="2147"/>
      <c r="P5" s="4876"/>
      <c r="Q5" s="4877"/>
      <c r="R5" s="4858"/>
      <c r="S5" s="4859"/>
      <c r="T5" s="4858"/>
      <c r="U5" s="4859"/>
      <c r="V5" s="4882"/>
      <c r="W5" s="4882"/>
      <c r="X5" s="963"/>
      <c r="Y5" s="4887"/>
      <c r="Z5" s="4888"/>
      <c r="AA5" s="4852"/>
      <c r="AB5" s="4966"/>
      <c r="AC5" s="4852"/>
    </row>
    <row r="6" spans="1:29" ht="15.75" thickBot="1">
      <c r="A6" s="246"/>
      <c r="B6" s="247"/>
      <c r="C6" s="4864" t="s">
        <v>1584</v>
      </c>
      <c r="D6" s="4865"/>
      <c r="E6" s="4866" t="s">
        <v>1584</v>
      </c>
      <c r="F6" s="4867"/>
      <c r="G6" s="4864" t="s">
        <v>1584</v>
      </c>
      <c r="H6" s="4865"/>
      <c r="I6" s="4864" t="s">
        <v>1584</v>
      </c>
      <c r="J6" s="4865"/>
      <c r="K6" s="3105" t="s">
        <v>1585</v>
      </c>
      <c r="L6" s="2146"/>
      <c r="M6" s="2147"/>
      <c r="N6" s="2147"/>
      <c r="O6" s="2147"/>
      <c r="P6" s="4878"/>
      <c r="Q6" s="4879"/>
      <c r="R6" s="4858"/>
      <c r="S6" s="4859"/>
      <c r="T6" s="4880"/>
      <c r="U6" s="4881"/>
      <c r="V6" s="4882"/>
      <c r="W6" s="4882"/>
      <c r="X6" s="963"/>
      <c r="Y6" s="4889"/>
      <c r="Z6" s="4890"/>
      <c r="AA6" s="4853"/>
      <c r="AB6" s="4966"/>
      <c r="AC6" s="4853"/>
    </row>
    <row r="7" spans="1:29" s="49" customFormat="1" ht="15.75" thickBot="1">
      <c r="A7" s="248" t="s">
        <v>1586</v>
      </c>
      <c r="B7" s="249"/>
      <c r="C7" s="250">
        <f>'数据-取费表'!B2</f>
        <v>46087</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883" t="s">
        <v>1587</v>
      </c>
      <c r="Q7" s="4891"/>
      <c r="R7" s="3921" t="s">
        <v>13</v>
      </c>
      <c r="S7" s="3405">
        <f t="shared" ref="S7:S15" si="0">F7</f>
        <v>0</v>
      </c>
      <c r="T7" s="3921" t="s">
        <v>13</v>
      </c>
      <c r="U7" s="3405">
        <f t="shared" ref="U7:U15" si="1">H7</f>
        <v>0</v>
      </c>
      <c r="V7" s="3921" t="s">
        <v>13</v>
      </c>
      <c r="W7" s="3405">
        <f t="shared" ref="W7:W15" si="2">J7</f>
        <v>0</v>
      </c>
      <c r="X7" s="504"/>
      <c r="Y7" s="4854" t="s">
        <v>1587</v>
      </c>
      <c r="Z7" s="4855"/>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883" t="s">
        <v>1590</v>
      </c>
      <c r="Q8" s="4884"/>
      <c r="R8" s="3921" t="s">
        <v>13</v>
      </c>
      <c r="S8" s="3405">
        <f t="shared" si="0"/>
        <v>100</v>
      </c>
      <c r="T8" s="3921" t="s">
        <v>13</v>
      </c>
      <c r="U8" s="3405">
        <f t="shared" si="1"/>
        <v>100</v>
      </c>
      <c r="V8" s="3921" t="s">
        <v>13</v>
      </c>
      <c r="W8" s="3405">
        <f t="shared" si="2"/>
        <v>100</v>
      </c>
      <c r="X8" s="504"/>
      <c r="Y8" s="4854" t="s">
        <v>1590</v>
      </c>
      <c r="Z8" s="4855"/>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59" t="s">
        <v>1593</v>
      </c>
      <c r="Q9" s="3026" t="str">
        <f t="shared" ref="Q9:Q15" si="6">B9</f>
        <v>用途</v>
      </c>
      <c r="R9" s="3921" t="s">
        <v>13</v>
      </c>
      <c r="S9" s="3405">
        <f t="shared" si="0"/>
        <v>100</v>
      </c>
      <c r="T9" s="3921" t="s">
        <v>13</v>
      </c>
      <c r="U9" s="3405">
        <f t="shared" si="1"/>
        <v>100</v>
      </c>
      <c r="V9" s="3921" t="s">
        <v>13</v>
      </c>
      <c r="W9" s="3405">
        <f t="shared" si="2"/>
        <v>100</v>
      </c>
      <c r="X9" s="504"/>
      <c r="Y9" s="4869"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59"/>
      <c r="Q10" s="3026" t="str">
        <f t="shared" si="6"/>
        <v>土地使用年限（年）</v>
      </c>
      <c r="R10" s="3921" t="s">
        <v>13</v>
      </c>
      <c r="S10" s="3405">
        <f t="shared" si="0"/>
        <v>100</v>
      </c>
      <c r="T10" s="3921" t="s">
        <v>13</v>
      </c>
      <c r="U10" s="3405">
        <f t="shared" si="1"/>
        <v>100</v>
      </c>
      <c r="V10" s="3921" t="s">
        <v>13</v>
      </c>
      <c r="W10" s="3405">
        <f t="shared" si="2"/>
        <v>100</v>
      </c>
      <c r="X10" s="504"/>
      <c r="Y10" s="4869"/>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59"/>
      <c r="Q11" s="3026" t="str">
        <f t="shared" si="6"/>
        <v>容积率</v>
      </c>
      <c r="R11" s="3921" t="s">
        <v>13</v>
      </c>
      <c r="S11" s="3405">
        <f t="shared" si="0"/>
        <v>100</v>
      </c>
      <c r="T11" s="3921" t="s">
        <v>13</v>
      </c>
      <c r="U11" s="3405">
        <f t="shared" si="1"/>
        <v>100</v>
      </c>
      <c r="V11" s="3921" t="s">
        <v>13</v>
      </c>
      <c r="W11" s="3405">
        <f t="shared" si="2"/>
        <v>100</v>
      </c>
      <c r="X11" s="504"/>
      <c r="Y11" s="4869"/>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59"/>
      <c r="Q12" s="3026">
        <f t="shared" si="6"/>
        <v>111</v>
      </c>
      <c r="R12" s="3921" t="s">
        <v>13</v>
      </c>
      <c r="S12" s="3405">
        <f t="shared" si="0"/>
        <v>100</v>
      </c>
      <c r="T12" s="3921" t="s">
        <v>13</v>
      </c>
      <c r="U12" s="3405">
        <f t="shared" si="1"/>
        <v>100</v>
      </c>
      <c r="V12" s="3921" t="s">
        <v>13</v>
      </c>
      <c r="W12" s="3405">
        <f t="shared" si="2"/>
        <v>100</v>
      </c>
      <c r="X12" s="504"/>
      <c r="Y12" s="4869"/>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59"/>
      <c r="Q13" s="3026">
        <f t="shared" si="6"/>
        <v>111</v>
      </c>
      <c r="R13" s="3921" t="s">
        <v>13</v>
      </c>
      <c r="S13" s="3405">
        <f t="shared" si="0"/>
        <v>100</v>
      </c>
      <c r="T13" s="3921" t="s">
        <v>13</v>
      </c>
      <c r="U13" s="3405">
        <f t="shared" si="1"/>
        <v>100</v>
      </c>
      <c r="V13" s="3921" t="s">
        <v>13</v>
      </c>
      <c r="W13" s="3405">
        <f t="shared" si="2"/>
        <v>100</v>
      </c>
      <c r="X13" s="504"/>
      <c r="Y13" s="4869"/>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59"/>
      <c r="Q14" s="3026">
        <f t="shared" si="6"/>
        <v>111</v>
      </c>
      <c r="R14" s="3921" t="s">
        <v>13</v>
      </c>
      <c r="S14" s="3405">
        <f t="shared" si="0"/>
        <v>100</v>
      </c>
      <c r="T14" s="3921" t="s">
        <v>13</v>
      </c>
      <c r="U14" s="3405">
        <f t="shared" si="1"/>
        <v>100</v>
      </c>
      <c r="V14" s="3921" t="s">
        <v>13</v>
      </c>
      <c r="W14" s="3405">
        <f t="shared" si="2"/>
        <v>100</v>
      </c>
      <c r="X14" s="504"/>
      <c r="Y14" s="4869"/>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964" t="s">
        <v>1598</v>
      </c>
      <c r="Q15" s="1618" t="str">
        <f t="shared" si="6"/>
        <v>商业繁华度</v>
      </c>
      <c r="R15" s="4042" t="s">
        <v>13</v>
      </c>
      <c r="S15" s="3406">
        <f t="shared" si="0"/>
        <v>100</v>
      </c>
      <c r="T15" s="4042" t="s">
        <v>13</v>
      </c>
      <c r="U15" s="3406">
        <f t="shared" si="1"/>
        <v>100</v>
      </c>
      <c r="V15" s="4042" t="s">
        <v>13</v>
      </c>
      <c r="W15" s="3406">
        <f t="shared" si="2"/>
        <v>100</v>
      </c>
      <c r="X15" s="963"/>
      <c r="Y15" s="4894"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65"/>
      <c r="Q16" s="1618"/>
      <c r="R16" s="4042"/>
      <c r="S16" s="3406"/>
      <c r="T16" s="4042"/>
      <c r="U16" s="3406"/>
      <c r="V16" s="4042"/>
      <c r="W16" s="3406"/>
      <c r="X16" s="963"/>
      <c r="Y16" s="4895"/>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65"/>
      <c r="Q17" s="1618" t="str">
        <f>B17</f>
        <v>交通便捷度</v>
      </c>
      <c r="R17" s="4042" t="s">
        <v>13</v>
      </c>
      <c r="S17" s="3406">
        <f>F17</f>
        <v>100</v>
      </c>
      <c r="T17" s="4042" t="s">
        <v>13</v>
      </c>
      <c r="U17" s="3406">
        <f>H17</f>
        <v>100</v>
      </c>
      <c r="V17" s="4042" t="s">
        <v>13</v>
      </c>
      <c r="W17" s="3406">
        <f>J17</f>
        <v>100</v>
      </c>
      <c r="X17" s="963"/>
      <c r="Y17" s="4895"/>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65"/>
      <c r="Q18" s="1618"/>
      <c r="R18" s="4042"/>
      <c r="S18" s="3406"/>
      <c r="T18" s="4042"/>
      <c r="U18" s="3406"/>
      <c r="V18" s="4042"/>
      <c r="W18" s="3406"/>
      <c r="X18" s="963"/>
      <c r="Y18" s="4895"/>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65"/>
      <c r="Q19" s="1618" t="str">
        <f>B19</f>
        <v>公共配套设施</v>
      </c>
      <c r="R19" s="4042" t="s">
        <v>13</v>
      </c>
      <c r="S19" s="3406">
        <f>F19</f>
        <v>100</v>
      </c>
      <c r="T19" s="4042" t="s">
        <v>13</v>
      </c>
      <c r="U19" s="3406">
        <f>H19</f>
        <v>100</v>
      </c>
      <c r="V19" s="4042" t="s">
        <v>13</v>
      </c>
      <c r="W19" s="3406">
        <f>J19</f>
        <v>100</v>
      </c>
      <c r="X19" s="963"/>
      <c r="Y19" s="4895"/>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65"/>
      <c r="Q20" s="1618"/>
      <c r="R20" s="4042"/>
      <c r="S20" s="3406"/>
      <c r="T20" s="4042"/>
      <c r="U20" s="3406"/>
      <c r="V20" s="4042"/>
      <c r="W20" s="3406"/>
      <c r="X20" s="963"/>
      <c r="Y20" s="4895"/>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65"/>
      <c r="Q21" s="1618" t="str">
        <f>B21</f>
        <v>基础设施水平</v>
      </c>
      <c r="R21" s="4042" t="s">
        <v>13</v>
      </c>
      <c r="S21" s="3406">
        <f>F21</f>
        <v>100</v>
      </c>
      <c r="T21" s="4042" t="s">
        <v>13</v>
      </c>
      <c r="U21" s="3406">
        <f>H21</f>
        <v>100</v>
      </c>
      <c r="V21" s="4042" t="s">
        <v>13</v>
      </c>
      <c r="W21" s="3406">
        <f>J21</f>
        <v>100</v>
      </c>
      <c r="X21" s="963"/>
      <c r="Y21" s="489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65"/>
      <c r="Q22" s="1618"/>
      <c r="R22" s="4042"/>
      <c r="S22" s="3406"/>
      <c r="T22" s="4042"/>
      <c r="U22" s="3406"/>
      <c r="V22" s="4042"/>
      <c r="W22" s="3406"/>
      <c r="X22" s="963"/>
      <c r="Y22" s="4895"/>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65"/>
      <c r="Q23" s="1618" t="str">
        <f>B23</f>
        <v>自然及人文环境</v>
      </c>
      <c r="R23" s="4042" t="s">
        <v>13</v>
      </c>
      <c r="S23" s="3406">
        <f>F23</f>
        <v>100</v>
      </c>
      <c r="T23" s="4042" t="s">
        <v>13</v>
      </c>
      <c r="U23" s="3406">
        <f>H23</f>
        <v>100</v>
      </c>
      <c r="V23" s="4042" t="s">
        <v>13</v>
      </c>
      <c r="W23" s="3406">
        <f>J23</f>
        <v>100</v>
      </c>
      <c r="X23" s="963"/>
      <c r="Y23" s="4895"/>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65"/>
      <c r="Q24" s="1618"/>
      <c r="R24" s="4042"/>
      <c r="S24" s="3406"/>
      <c r="T24" s="4042"/>
      <c r="U24" s="3406"/>
      <c r="V24" s="4042"/>
      <c r="W24" s="3406"/>
      <c r="X24" s="963"/>
      <c r="Y24" s="4895"/>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65"/>
      <c r="Q25" s="1618" t="str">
        <f t="shared" ref="Q25:Q46" si="11">B25</f>
        <v>临街状况</v>
      </c>
      <c r="R25" s="4042" t="s">
        <v>13</v>
      </c>
      <c r="S25" s="3406">
        <f>F25</f>
        <v>100</v>
      </c>
      <c r="T25" s="4042" t="s">
        <v>13</v>
      </c>
      <c r="U25" s="3406">
        <f>H25</f>
        <v>100</v>
      </c>
      <c r="V25" s="4042" t="s">
        <v>13</v>
      </c>
      <c r="W25" s="3406">
        <f>J25</f>
        <v>100</v>
      </c>
      <c r="X25" s="963"/>
      <c r="Y25" s="4895"/>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65"/>
      <c r="Q26" s="1618" t="str">
        <f t="shared" si="11"/>
        <v>平面位置/可视性</v>
      </c>
      <c r="R26" s="4042" t="s">
        <v>13</v>
      </c>
      <c r="S26" s="3406">
        <f>F26</f>
        <v>100</v>
      </c>
      <c r="T26" s="4042" t="s">
        <v>13</v>
      </c>
      <c r="U26" s="3406">
        <f>H26</f>
        <v>100</v>
      </c>
      <c r="V26" s="4042" t="s">
        <v>13</v>
      </c>
      <c r="W26" s="3406">
        <f>J26</f>
        <v>100</v>
      </c>
      <c r="X26" s="963"/>
      <c r="Y26" s="4895"/>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65"/>
      <c r="Q27" s="3026" t="str">
        <f t="shared" si="11"/>
        <v>人流量</v>
      </c>
      <c r="R27" s="3921" t="s">
        <v>13</v>
      </c>
      <c r="S27" s="3405">
        <f>F27</f>
        <v>100</v>
      </c>
      <c r="T27" s="3921" t="s">
        <v>13</v>
      </c>
      <c r="U27" s="3405">
        <f>H27</f>
        <v>100</v>
      </c>
      <c r="V27" s="3921" t="s">
        <v>13</v>
      </c>
      <c r="W27" s="3405">
        <f>J27</f>
        <v>100</v>
      </c>
      <c r="X27" s="504"/>
      <c r="Y27" s="4895"/>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65"/>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95"/>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65"/>
      <c r="Q29" s="1618">
        <f t="shared" si="11"/>
        <v>111</v>
      </c>
      <c r="R29" s="4042" t="s">
        <v>13</v>
      </c>
      <c r="S29" s="3406">
        <f t="shared" si="12"/>
        <v>100</v>
      </c>
      <c r="T29" s="4042" t="s">
        <v>13</v>
      </c>
      <c r="U29" s="3406">
        <f t="shared" si="13"/>
        <v>100</v>
      </c>
      <c r="V29" s="4042" t="s">
        <v>13</v>
      </c>
      <c r="W29" s="3406">
        <f t="shared" si="14"/>
        <v>100</v>
      </c>
      <c r="X29" s="963"/>
      <c r="Y29" s="4895"/>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65"/>
      <c r="Q30" s="1618">
        <f t="shared" si="11"/>
        <v>111</v>
      </c>
      <c r="R30" s="4042" t="s">
        <v>13</v>
      </c>
      <c r="S30" s="3406">
        <f t="shared" si="12"/>
        <v>100</v>
      </c>
      <c r="T30" s="4042" t="s">
        <v>13</v>
      </c>
      <c r="U30" s="3406">
        <f t="shared" si="13"/>
        <v>100</v>
      </c>
      <c r="V30" s="4042" t="s">
        <v>13</v>
      </c>
      <c r="W30" s="3406">
        <f t="shared" si="14"/>
        <v>100</v>
      </c>
      <c r="X30" s="963"/>
      <c r="Y30" s="4895"/>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65"/>
      <c r="Q31" s="1618">
        <f t="shared" si="11"/>
        <v>111</v>
      </c>
      <c r="R31" s="4042" t="s">
        <v>13</v>
      </c>
      <c r="S31" s="3406">
        <f t="shared" si="12"/>
        <v>100</v>
      </c>
      <c r="T31" s="4042" t="s">
        <v>13</v>
      </c>
      <c r="U31" s="3406">
        <f t="shared" si="13"/>
        <v>100</v>
      </c>
      <c r="V31" s="4042" t="s">
        <v>13</v>
      </c>
      <c r="W31" s="3406">
        <f t="shared" si="14"/>
        <v>100</v>
      </c>
      <c r="X31" s="963"/>
      <c r="Y31" s="4895"/>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960" t="s">
        <v>1603</v>
      </c>
      <c r="Q32" s="1618" t="str">
        <f t="shared" si="11"/>
        <v>商业类型</v>
      </c>
      <c r="R32" s="4042" t="s">
        <v>13</v>
      </c>
      <c r="S32" s="3406">
        <f t="shared" si="12"/>
        <v>100</v>
      </c>
      <c r="T32" s="4042" t="s">
        <v>13</v>
      </c>
      <c r="U32" s="3406">
        <f t="shared" si="13"/>
        <v>100</v>
      </c>
      <c r="V32" s="4042" t="s">
        <v>13</v>
      </c>
      <c r="W32" s="3406">
        <f t="shared" si="14"/>
        <v>100</v>
      </c>
      <c r="X32" s="963"/>
      <c r="Y32" s="4898"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961"/>
      <c r="Q33" s="3106" t="str">
        <f t="shared" si="11"/>
        <v>项目建筑规模</v>
      </c>
      <c r="R33" s="4043" t="s">
        <v>13</v>
      </c>
      <c r="S33" s="3407" t="e">
        <f t="shared" si="12"/>
        <v>#N/A</v>
      </c>
      <c r="T33" s="4043" t="s">
        <v>13</v>
      </c>
      <c r="U33" s="3407" t="e">
        <f t="shared" si="13"/>
        <v>#N/A</v>
      </c>
      <c r="V33" s="4043" t="s">
        <v>13</v>
      </c>
      <c r="W33" s="3407" t="e">
        <f t="shared" si="14"/>
        <v>#N/A</v>
      </c>
      <c r="X33" s="507"/>
      <c r="Y33" s="4898"/>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961"/>
      <c r="Q34" s="1618" t="str">
        <f t="shared" si="11"/>
        <v>建筑结构</v>
      </c>
      <c r="R34" s="4042" t="s">
        <v>13</v>
      </c>
      <c r="S34" s="3406">
        <f t="shared" si="12"/>
        <v>100</v>
      </c>
      <c r="T34" s="4042" t="s">
        <v>13</v>
      </c>
      <c r="U34" s="3406">
        <f t="shared" si="13"/>
        <v>100</v>
      </c>
      <c r="V34" s="4042" t="s">
        <v>13</v>
      </c>
      <c r="W34" s="3406">
        <f t="shared" si="14"/>
        <v>100</v>
      </c>
      <c r="X34" s="963"/>
      <c r="Y34" s="4898"/>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961"/>
      <c r="Q35" s="1618" t="str">
        <f t="shared" si="11"/>
        <v>公共部分装修</v>
      </c>
      <c r="R35" s="4042" t="s">
        <v>13</v>
      </c>
      <c r="S35" s="3406">
        <f t="shared" si="12"/>
        <v>100</v>
      </c>
      <c r="T35" s="4042" t="s">
        <v>13</v>
      </c>
      <c r="U35" s="3406">
        <f t="shared" si="13"/>
        <v>100</v>
      </c>
      <c r="V35" s="4042" t="s">
        <v>13</v>
      </c>
      <c r="W35" s="3406">
        <f t="shared" si="14"/>
        <v>100</v>
      </c>
      <c r="X35" s="963"/>
      <c r="Y35" s="4898"/>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961"/>
      <c r="Q36" s="1618" t="str">
        <f t="shared" si="11"/>
        <v>成新度</v>
      </c>
      <c r="R36" s="4042" t="s">
        <v>13</v>
      </c>
      <c r="S36" s="3406" t="e">
        <f t="shared" si="12"/>
        <v>#N/A</v>
      </c>
      <c r="T36" s="4042" t="s">
        <v>13</v>
      </c>
      <c r="U36" s="3406" t="e">
        <f t="shared" si="13"/>
        <v>#N/A</v>
      </c>
      <c r="V36" s="4042" t="s">
        <v>13</v>
      </c>
      <c r="W36" s="3406" t="e">
        <f t="shared" si="14"/>
        <v>#N/A</v>
      </c>
      <c r="X36" s="963"/>
      <c r="Y36" s="4898"/>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961"/>
      <c r="Q37" s="3026" t="str">
        <f t="shared" si="11"/>
        <v>市政基础设施</v>
      </c>
      <c r="R37" s="3921" t="s">
        <v>13</v>
      </c>
      <c r="S37" s="3405">
        <f t="shared" si="12"/>
        <v>100</v>
      </c>
      <c r="T37" s="3921" t="s">
        <v>13</v>
      </c>
      <c r="U37" s="3405">
        <f t="shared" si="13"/>
        <v>100</v>
      </c>
      <c r="V37" s="3921" t="s">
        <v>13</v>
      </c>
      <c r="W37" s="3405">
        <f t="shared" si="14"/>
        <v>100</v>
      </c>
      <c r="X37" s="504"/>
      <c r="Y37" s="4898"/>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961" t="s">
        <v>1603</v>
      </c>
      <c r="Q38" s="1618" t="str">
        <f t="shared" si="11"/>
        <v>业态</v>
      </c>
      <c r="R38" s="4042" t="s">
        <v>13</v>
      </c>
      <c r="S38" s="3406">
        <f t="shared" si="12"/>
        <v>100</v>
      </c>
      <c r="T38" s="4042" t="s">
        <v>13</v>
      </c>
      <c r="U38" s="3406">
        <f t="shared" si="13"/>
        <v>100</v>
      </c>
      <c r="V38" s="4042" t="s">
        <v>13</v>
      </c>
      <c r="W38" s="3406">
        <f t="shared" si="14"/>
        <v>100</v>
      </c>
      <c r="X38" s="963"/>
      <c r="Y38" s="4898"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961"/>
      <c r="Q39" s="1618" t="str">
        <f t="shared" si="11"/>
        <v>层高</v>
      </c>
      <c r="R39" s="4042" t="s">
        <v>13</v>
      </c>
      <c r="S39" s="3406">
        <f t="shared" si="12"/>
        <v>100</v>
      </c>
      <c r="T39" s="4042" t="s">
        <v>13</v>
      </c>
      <c r="U39" s="3406">
        <f t="shared" si="13"/>
        <v>100</v>
      </c>
      <c r="V39" s="4042" t="s">
        <v>13</v>
      </c>
      <c r="W39" s="3406">
        <f t="shared" si="14"/>
        <v>100</v>
      </c>
      <c r="X39" s="963"/>
      <c r="Y39" s="4898"/>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961"/>
      <c r="Q40" s="1618" t="str">
        <f t="shared" si="11"/>
        <v>单套建筑面积</v>
      </c>
      <c r="R40" s="4042" t="s">
        <v>13</v>
      </c>
      <c r="S40" s="3406">
        <f t="shared" si="12"/>
        <v>100</v>
      </c>
      <c r="T40" s="4042" t="s">
        <v>13</v>
      </c>
      <c r="U40" s="3406">
        <f t="shared" si="13"/>
        <v>100</v>
      </c>
      <c r="V40" s="4042" t="s">
        <v>13</v>
      </c>
      <c r="W40" s="3406">
        <f t="shared" si="14"/>
        <v>100</v>
      </c>
      <c r="X40" s="963"/>
      <c r="Y40" s="4898"/>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961"/>
      <c r="Q41" s="3106" t="str">
        <f t="shared" si="11"/>
        <v>进深比</v>
      </c>
      <c r="R41" s="4043" t="s">
        <v>13</v>
      </c>
      <c r="S41" s="3407">
        <f t="shared" si="12"/>
        <v>100</v>
      </c>
      <c r="T41" s="4043" t="s">
        <v>13</v>
      </c>
      <c r="U41" s="3407">
        <f t="shared" si="13"/>
        <v>100</v>
      </c>
      <c r="V41" s="4043" t="s">
        <v>13</v>
      </c>
      <c r="W41" s="3407">
        <f t="shared" si="14"/>
        <v>100</v>
      </c>
      <c r="X41" s="507"/>
      <c r="Y41" s="4898"/>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961"/>
      <c r="Q42" s="1618" t="str">
        <f t="shared" si="11"/>
        <v>内部装修</v>
      </c>
      <c r="R42" s="4042" t="s">
        <v>13</v>
      </c>
      <c r="S42" s="3406">
        <f t="shared" si="12"/>
        <v>100</v>
      </c>
      <c r="T42" s="4042" t="s">
        <v>13</v>
      </c>
      <c r="U42" s="3406">
        <f t="shared" si="13"/>
        <v>100</v>
      </c>
      <c r="V42" s="4042" t="s">
        <v>13</v>
      </c>
      <c r="W42" s="3406">
        <f t="shared" si="14"/>
        <v>100</v>
      </c>
      <c r="X42" s="963"/>
      <c r="Y42" s="4898"/>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961"/>
      <c r="Q43" s="1618" t="str">
        <f t="shared" si="11"/>
        <v>内部装修维护情况</v>
      </c>
      <c r="R43" s="4042" t="s">
        <v>13</v>
      </c>
      <c r="S43" s="3406">
        <f t="shared" si="12"/>
        <v>100</v>
      </c>
      <c r="T43" s="4042" t="s">
        <v>13</v>
      </c>
      <c r="U43" s="3406">
        <f t="shared" si="13"/>
        <v>100</v>
      </c>
      <c r="V43" s="4042" t="s">
        <v>13</v>
      </c>
      <c r="W43" s="3406">
        <f t="shared" si="14"/>
        <v>100</v>
      </c>
      <c r="X43" s="963"/>
      <c r="Y43" s="4898"/>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961"/>
      <c r="Q44" s="3026">
        <f t="shared" si="11"/>
        <v>111</v>
      </c>
      <c r="R44" s="3921" t="s">
        <v>13</v>
      </c>
      <c r="S44" s="3405">
        <f t="shared" si="12"/>
        <v>100</v>
      </c>
      <c r="T44" s="3921" t="s">
        <v>13</v>
      </c>
      <c r="U44" s="3405">
        <f t="shared" si="13"/>
        <v>100</v>
      </c>
      <c r="V44" s="3921" t="s">
        <v>13</v>
      </c>
      <c r="W44" s="3405">
        <f t="shared" si="14"/>
        <v>100</v>
      </c>
      <c r="X44" s="504"/>
      <c r="Y44" s="4898"/>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961"/>
      <c r="Q45" s="1618">
        <f t="shared" si="11"/>
        <v>111</v>
      </c>
      <c r="R45" s="4042" t="s">
        <v>13</v>
      </c>
      <c r="S45" s="3406">
        <f t="shared" si="12"/>
        <v>100</v>
      </c>
      <c r="T45" s="4042" t="s">
        <v>13</v>
      </c>
      <c r="U45" s="3406">
        <f t="shared" si="13"/>
        <v>100</v>
      </c>
      <c r="V45" s="4042" t="s">
        <v>13</v>
      </c>
      <c r="W45" s="3406">
        <f t="shared" si="14"/>
        <v>100</v>
      </c>
      <c r="X45" s="963"/>
      <c r="Y45" s="4898"/>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962"/>
      <c r="Q46" s="1618">
        <f t="shared" si="11"/>
        <v>111</v>
      </c>
      <c r="R46" s="4042" t="s">
        <v>13</v>
      </c>
      <c r="S46" s="3406">
        <f t="shared" si="12"/>
        <v>100</v>
      </c>
      <c r="T46" s="4042" t="s">
        <v>13</v>
      </c>
      <c r="U46" s="3406">
        <f t="shared" si="13"/>
        <v>100</v>
      </c>
      <c r="V46" s="4042" t="s">
        <v>13</v>
      </c>
      <c r="W46" s="3406">
        <f t="shared" si="14"/>
        <v>100</v>
      </c>
      <c r="X46" s="963"/>
      <c r="Y46" s="4963"/>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68" t="str">
        <f>A47</f>
        <v>成交单价（元/平方米）</v>
      </c>
      <c r="Q47" s="4868"/>
      <c r="R47" s="4899">
        <f>E47</f>
        <v>0</v>
      </c>
      <c r="S47" s="4899"/>
      <c r="T47" s="4899">
        <f>G47</f>
        <v>0</v>
      </c>
      <c r="U47" s="4899"/>
      <c r="V47" s="4899">
        <f>I47</f>
        <v>0</v>
      </c>
      <c r="W47" s="4899"/>
      <c r="X47" s="493"/>
      <c r="Y47" s="509"/>
      <c r="Z47" s="493"/>
      <c r="AA47" s="493"/>
      <c r="AB47" s="493"/>
      <c r="AC47" s="493"/>
    </row>
    <row r="48" spans="1:29" ht="15.75" thickBot="1">
      <c r="A48" s="295" t="s">
        <v>1700</v>
      </c>
      <c r="B48" s="296"/>
      <c r="C48" s="4040" t="e">
        <f>R49</f>
        <v>#DIV/0!</v>
      </c>
      <c r="D48" s="4197" t="s">
        <v>2041</v>
      </c>
      <c r="E48" s="4051" t="e">
        <f>R48</f>
        <v>#DIV/0!</v>
      </c>
      <c r="F48" s="3042"/>
      <c r="G48" s="4040" t="e">
        <f>T48</f>
        <v>#DIV/0!</v>
      </c>
      <c r="H48" s="3042"/>
      <c r="I48" s="4051" t="e">
        <f>V48</f>
        <v>#DIV/0!</v>
      </c>
      <c r="J48" s="3042"/>
      <c r="K48" s="3097">
        <f>F48+H48+J48</f>
        <v>0</v>
      </c>
      <c r="L48" s="2155"/>
      <c r="M48" s="2156"/>
      <c r="N48" s="2147"/>
      <c r="O48" s="2156"/>
      <c r="P48" s="4868" t="str">
        <f>A48</f>
        <v>比较价值（元/平方米）</v>
      </c>
      <c r="Q48" s="4868"/>
      <c r="R48" s="4899" t="e">
        <f>IF(F1="售价",ROUND(PRODUCT(R47,AA7:AA46),0),ROUND(PRODUCT(R47,AA7:AA46),1))</f>
        <v>#DIV/0!</v>
      </c>
      <c r="S48" s="4899"/>
      <c r="T48" s="4899" t="e">
        <f>IF(F1="售价",ROUND(PRODUCT(T47,AB7:AB46),0),ROUND(PRODUCT(T47,AB7:AB46),1))</f>
        <v>#DIV/0!</v>
      </c>
      <c r="U48" s="4899"/>
      <c r="V48" s="4899" t="e">
        <f>IF(F1="售价",ROUND(PRODUCT(V47,AC7:AC46),0),ROUND(PRODUCT(V47,AC7:AC46),1))</f>
        <v>#DIV/0!</v>
      </c>
      <c r="W48" s="4899"/>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900" t="str">
        <f>A49</f>
        <v>估价对象XX用房的比较价值（楼面单价，元/平方米）</v>
      </c>
      <c r="Q49" s="4901"/>
      <c r="R49" s="4902" t="e">
        <f>IF(F1="售价",ROUND(IF(D48="简单平均",AVERAGE(R48:V48),R48*F48+T48*H48+V48*J48),0),ROUND(IF(D48="简单平均",AVERAGE(R48:V48),R48*F48+T48*H48+V48*J48),1))</f>
        <v>#DIV/0!</v>
      </c>
      <c r="S49" s="4902"/>
      <c r="T49" s="4902"/>
      <c r="U49" s="4902"/>
      <c r="V49" s="4902"/>
      <c r="W49" s="490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95404.21</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03" t="s">
        <v>1677</v>
      </c>
      <c r="D4" s="4981"/>
      <c r="E4" s="4982" t="s">
        <v>1678</v>
      </c>
      <c r="F4" s="4983"/>
      <c r="G4" s="4903" t="s">
        <v>1679</v>
      </c>
      <c r="H4" s="4981"/>
      <c r="I4" s="4903" t="s">
        <v>1680</v>
      </c>
      <c r="J4" s="4981"/>
      <c r="K4" s="406" t="s">
        <v>1681</v>
      </c>
      <c r="L4" s="2146"/>
      <c r="M4" s="2147"/>
      <c r="N4" s="2147"/>
      <c r="O4" s="2147"/>
      <c r="P4" s="4984" t="s">
        <v>1682</v>
      </c>
      <c r="Q4" s="4985"/>
      <c r="R4" s="4968" t="s">
        <v>1678</v>
      </c>
      <c r="S4" s="4969"/>
      <c r="T4" s="4968" t="s">
        <v>1679</v>
      </c>
      <c r="U4" s="4969"/>
      <c r="V4" s="4988" t="s">
        <v>1680</v>
      </c>
      <c r="W4" s="4988"/>
      <c r="X4" s="1517"/>
      <c r="Y4" s="4990" t="s">
        <v>1682</v>
      </c>
      <c r="Z4" s="4991"/>
      <c r="AA4" s="4967" t="s">
        <v>1678</v>
      </c>
      <c r="AB4" s="4967" t="s">
        <v>1679</v>
      </c>
      <c r="AC4" s="4978" t="s">
        <v>1680</v>
      </c>
    </row>
    <row r="5" spans="1:29" ht="15">
      <c r="A5" s="244"/>
      <c r="B5" s="245"/>
      <c r="C5" s="4972" t="s">
        <v>1580</v>
      </c>
      <c r="D5" s="4973"/>
      <c r="E5" s="4970" t="s">
        <v>1581</v>
      </c>
      <c r="F5" s="4971"/>
      <c r="G5" s="4972" t="s">
        <v>1582</v>
      </c>
      <c r="H5" s="4973"/>
      <c r="I5" s="4972" t="s">
        <v>1583</v>
      </c>
      <c r="J5" s="4973"/>
      <c r="K5" s="406"/>
      <c r="L5" s="2146"/>
      <c r="M5" s="2147"/>
      <c r="N5" s="2147"/>
      <c r="O5" s="2147"/>
      <c r="P5" s="4986"/>
      <c r="Q5" s="4877"/>
      <c r="R5" s="4858"/>
      <c r="S5" s="4859"/>
      <c r="T5" s="4858"/>
      <c r="U5" s="4859"/>
      <c r="V5" s="4882"/>
      <c r="W5" s="4882"/>
      <c r="X5" s="963"/>
      <c r="Y5" s="4887"/>
      <c r="Z5" s="4888"/>
      <c r="AA5" s="4852"/>
      <c r="AB5" s="4852"/>
      <c r="AC5" s="4979"/>
    </row>
    <row r="6" spans="1:29" ht="15.75" thickBot="1">
      <c r="A6" s="246"/>
      <c r="B6" s="247"/>
      <c r="C6" s="4974" t="s">
        <v>1584</v>
      </c>
      <c r="D6" s="4975"/>
      <c r="E6" s="4976" t="s">
        <v>1584</v>
      </c>
      <c r="F6" s="4977"/>
      <c r="G6" s="4974" t="s">
        <v>1584</v>
      </c>
      <c r="H6" s="4975"/>
      <c r="I6" s="4974" t="s">
        <v>1584</v>
      </c>
      <c r="J6" s="4975"/>
      <c r="K6" s="406" t="s">
        <v>1585</v>
      </c>
      <c r="L6" s="2146"/>
      <c r="M6" s="2147"/>
      <c r="N6" s="2147"/>
      <c r="O6" s="2147"/>
      <c r="P6" s="4987"/>
      <c r="Q6" s="4879"/>
      <c r="R6" s="4858"/>
      <c r="S6" s="4859"/>
      <c r="T6" s="4880"/>
      <c r="U6" s="4881"/>
      <c r="V6" s="4882"/>
      <c r="W6" s="4882"/>
      <c r="X6" s="963"/>
      <c r="Y6" s="4889"/>
      <c r="Z6" s="4890"/>
      <c r="AA6" s="4853"/>
      <c r="AB6" s="4853"/>
      <c r="AC6" s="4980"/>
    </row>
    <row r="7" spans="1:29" s="49" customFormat="1" ht="15.75" thickBot="1">
      <c r="A7" s="248" t="s">
        <v>1586</v>
      </c>
      <c r="B7" s="249"/>
      <c r="C7" s="250">
        <f>'数据-取费表'!B2</f>
        <v>46087</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89" t="s">
        <v>1587</v>
      </c>
      <c r="Q7" s="4891"/>
      <c r="R7" s="3921" t="s">
        <v>13</v>
      </c>
      <c r="S7" s="3405">
        <f t="shared" ref="S7:S15" si="0">F7</f>
        <v>0</v>
      </c>
      <c r="T7" s="3921" t="s">
        <v>13</v>
      </c>
      <c r="U7" s="3405">
        <f t="shared" ref="U7:U15" si="1">H7</f>
        <v>0</v>
      </c>
      <c r="V7" s="3921" t="s">
        <v>13</v>
      </c>
      <c r="W7" s="3405">
        <f t="shared" ref="W7:W15" si="2">J7</f>
        <v>0</v>
      </c>
      <c r="X7" s="504"/>
      <c r="Y7" s="4854" t="s">
        <v>1587</v>
      </c>
      <c r="Z7" s="4855"/>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89" t="s">
        <v>1590</v>
      </c>
      <c r="Q8" s="4884"/>
      <c r="R8" s="3921" t="s">
        <v>13</v>
      </c>
      <c r="S8" s="3405">
        <f t="shared" si="0"/>
        <v>100</v>
      </c>
      <c r="T8" s="3921" t="s">
        <v>13</v>
      </c>
      <c r="U8" s="3405">
        <f t="shared" si="1"/>
        <v>100</v>
      </c>
      <c r="V8" s="3921" t="s">
        <v>13</v>
      </c>
      <c r="W8" s="3405">
        <f t="shared" si="2"/>
        <v>100</v>
      </c>
      <c r="X8" s="504"/>
      <c r="Y8" s="4854" t="s">
        <v>1590</v>
      </c>
      <c r="Z8" s="4855"/>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59" t="s">
        <v>1593</v>
      </c>
      <c r="Q9" s="3274" t="str">
        <f t="shared" ref="Q9:Q15" si="6">B9</f>
        <v>用途</v>
      </c>
      <c r="R9" s="3921" t="s">
        <v>13</v>
      </c>
      <c r="S9" s="3405">
        <f t="shared" si="0"/>
        <v>100</v>
      </c>
      <c r="T9" s="3921" t="s">
        <v>13</v>
      </c>
      <c r="U9" s="3405">
        <f t="shared" si="1"/>
        <v>100</v>
      </c>
      <c r="V9" s="3921" t="s">
        <v>13</v>
      </c>
      <c r="W9" s="3405">
        <f t="shared" si="2"/>
        <v>100</v>
      </c>
      <c r="X9" s="504"/>
      <c r="Y9" s="4869"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59"/>
      <c r="Q10" s="3274" t="str">
        <f t="shared" si="6"/>
        <v>土地使用年限（年）</v>
      </c>
      <c r="R10" s="3921" t="s">
        <v>13</v>
      </c>
      <c r="S10" s="3405">
        <f t="shared" si="0"/>
        <v>100</v>
      </c>
      <c r="T10" s="3921" t="s">
        <v>13</v>
      </c>
      <c r="U10" s="3405">
        <f t="shared" si="1"/>
        <v>100</v>
      </c>
      <c r="V10" s="3921" t="s">
        <v>13</v>
      </c>
      <c r="W10" s="3405">
        <f t="shared" si="2"/>
        <v>100</v>
      </c>
      <c r="X10" s="504"/>
      <c r="Y10" s="4869"/>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59"/>
      <c r="Q11" s="3274" t="str">
        <f t="shared" si="6"/>
        <v>容积率</v>
      </c>
      <c r="R11" s="3921" t="s">
        <v>13</v>
      </c>
      <c r="S11" s="3405">
        <f t="shared" si="0"/>
        <v>100</v>
      </c>
      <c r="T11" s="3921" t="s">
        <v>13</v>
      </c>
      <c r="U11" s="3405">
        <f t="shared" si="1"/>
        <v>100</v>
      </c>
      <c r="V11" s="3921" t="s">
        <v>13</v>
      </c>
      <c r="W11" s="3405">
        <f t="shared" si="2"/>
        <v>100</v>
      </c>
      <c r="X11" s="504"/>
      <c r="Y11" s="4869"/>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59"/>
      <c r="Q12" s="3274">
        <f t="shared" si="6"/>
        <v>111</v>
      </c>
      <c r="R12" s="3921" t="s">
        <v>13</v>
      </c>
      <c r="S12" s="3405">
        <f t="shared" si="0"/>
        <v>100</v>
      </c>
      <c r="T12" s="3921" t="s">
        <v>13</v>
      </c>
      <c r="U12" s="3405">
        <f t="shared" si="1"/>
        <v>100</v>
      </c>
      <c r="V12" s="3921" t="s">
        <v>13</v>
      </c>
      <c r="W12" s="3405">
        <f t="shared" si="2"/>
        <v>100</v>
      </c>
      <c r="X12" s="504"/>
      <c r="Y12" s="4869"/>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59"/>
      <c r="Q13" s="3274">
        <f t="shared" si="6"/>
        <v>111</v>
      </c>
      <c r="R13" s="3921" t="s">
        <v>13</v>
      </c>
      <c r="S13" s="3405">
        <f t="shared" si="0"/>
        <v>100</v>
      </c>
      <c r="T13" s="3921" t="s">
        <v>13</v>
      </c>
      <c r="U13" s="3405">
        <f t="shared" si="1"/>
        <v>100</v>
      </c>
      <c r="V13" s="3921" t="s">
        <v>13</v>
      </c>
      <c r="W13" s="3405">
        <f t="shared" si="2"/>
        <v>100</v>
      </c>
      <c r="X13" s="504"/>
      <c r="Y13" s="4869"/>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59"/>
      <c r="Q14" s="3274">
        <f t="shared" si="6"/>
        <v>111</v>
      </c>
      <c r="R14" s="3921" t="s">
        <v>13</v>
      </c>
      <c r="S14" s="3405">
        <f t="shared" si="0"/>
        <v>100</v>
      </c>
      <c r="T14" s="3921" t="s">
        <v>13</v>
      </c>
      <c r="U14" s="3405">
        <f t="shared" si="1"/>
        <v>100</v>
      </c>
      <c r="V14" s="3921" t="s">
        <v>13</v>
      </c>
      <c r="W14" s="3405">
        <f t="shared" si="2"/>
        <v>100</v>
      </c>
      <c r="X14" s="504"/>
      <c r="Y14" s="4869"/>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964" t="s">
        <v>1598</v>
      </c>
      <c r="Q15" s="3277" t="str">
        <f t="shared" si="6"/>
        <v>办公集聚程度</v>
      </c>
      <c r="R15" s="4042" t="s">
        <v>13</v>
      </c>
      <c r="S15" s="3406">
        <f t="shared" si="0"/>
        <v>100</v>
      </c>
      <c r="T15" s="4042" t="s">
        <v>13</v>
      </c>
      <c r="U15" s="3406">
        <f t="shared" si="1"/>
        <v>100</v>
      </c>
      <c r="V15" s="4042" t="s">
        <v>13</v>
      </c>
      <c r="W15" s="3406">
        <f t="shared" si="2"/>
        <v>100</v>
      </c>
      <c r="X15" s="963"/>
      <c r="Y15" s="4894"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5"/>
      <c r="Q16" s="3277"/>
      <c r="R16" s="4042"/>
      <c r="S16" s="3406"/>
      <c r="T16" s="4042"/>
      <c r="U16" s="3406"/>
      <c r="V16" s="4042"/>
      <c r="W16" s="3406"/>
      <c r="X16" s="963"/>
      <c r="Y16" s="4895"/>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65"/>
      <c r="Q17" s="3277" t="str">
        <f>B17</f>
        <v>交通便捷度</v>
      </c>
      <c r="R17" s="4042" t="s">
        <v>13</v>
      </c>
      <c r="S17" s="3406">
        <f>F17</f>
        <v>100</v>
      </c>
      <c r="T17" s="4042" t="s">
        <v>13</v>
      </c>
      <c r="U17" s="3406">
        <f>H17</f>
        <v>100</v>
      </c>
      <c r="V17" s="4042" t="s">
        <v>13</v>
      </c>
      <c r="W17" s="3406">
        <f>J17</f>
        <v>100</v>
      </c>
      <c r="X17" s="963"/>
      <c r="Y17" s="489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5"/>
      <c r="Q18" s="3277"/>
      <c r="R18" s="4042"/>
      <c r="S18" s="3406"/>
      <c r="T18" s="4042"/>
      <c r="U18" s="3406"/>
      <c r="V18" s="4042"/>
      <c r="W18" s="3406"/>
      <c r="X18" s="963"/>
      <c r="Y18" s="4895"/>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65"/>
      <c r="Q19" s="3277" t="str">
        <f>B19</f>
        <v>公共配套设施</v>
      </c>
      <c r="R19" s="4042" t="s">
        <v>13</v>
      </c>
      <c r="S19" s="3406">
        <f>F19</f>
        <v>100</v>
      </c>
      <c r="T19" s="4042" t="s">
        <v>13</v>
      </c>
      <c r="U19" s="3406">
        <f>H19</f>
        <v>100</v>
      </c>
      <c r="V19" s="4042" t="s">
        <v>13</v>
      </c>
      <c r="W19" s="3406">
        <f>J19</f>
        <v>100</v>
      </c>
      <c r="X19" s="963"/>
      <c r="Y19" s="489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5"/>
      <c r="Q20" s="3277"/>
      <c r="R20" s="4042"/>
      <c r="S20" s="3406"/>
      <c r="T20" s="4042"/>
      <c r="U20" s="3406"/>
      <c r="V20" s="4042"/>
      <c r="W20" s="3406"/>
      <c r="X20" s="963"/>
      <c r="Y20" s="4895"/>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65"/>
      <c r="Q21" s="3277" t="str">
        <f>B21</f>
        <v>基础设施水平</v>
      </c>
      <c r="R21" s="4042" t="s">
        <v>13</v>
      </c>
      <c r="S21" s="3406">
        <f>F21</f>
        <v>100</v>
      </c>
      <c r="T21" s="4042" t="s">
        <v>13</v>
      </c>
      <c r="U21" s="3406">
        <f>H21</f>
        <v>100</v>
      </c>
      <c r="V21" s="4042" t="s">
        <v>13</v>
      </c>
      <c r="W21" s="3406">
        <f>J21</f>
        <v>100</v>
      </c>
      <c r="X21" s="963"/>
      <c r="Y21" s="489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5"/>
      <c r="Q22" s="3277"/>
      <c r="R22" s="4042"/>
      <c r="S22" s="3406"/>
      <c r="T22" s="4042"/>
      <c r="U22" s="3406"/>
      <c r="V22" s="4042"/>
      <c r="W22" s="3406"/>
      <c r="X22" s="963"/>
      <c r="Y22" s="4895"/>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5"/>
      <c r="Q23" s="3277" t="str">
        <f>B23</f>
        <v>环境质量</v>
      </c>
      <c r="R23" s="4042" t="s">
        <v>13</v>
      </c>
      <c r="S23" s="3406">
        <f>F23</f>
        <v>100</v>
      </c>
      <c r="T23" s="4042" t="s">
        <v>13</v>
      </c>
      <c r="U23" s="3406">
        <f>H23</f>
        <v>100</v>
      </c>
      <c r="V23" s="4042" t="s">
        <v>13</v>
      </c>
      <c r="W23" s="3406">
        <f>J23</f>
        <v>100</v>
      </c>
      <c r="X23" s="963"/>
      <c r="Y23" s="489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5"/>
      <c r="Q24" s="3277"/>
      <c r="R24" s="4042"/>
      <c r="S24" s="3406"/>
      <c r="T24" s="4042"/>
      <c r="U24" s="3406"/>
      <c r="V24" s="4042"/>
      <c r="W24" s="3406"/>
      <c r="X24" s="963"/>
      <c r="Y24" s="4895"/>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65"/>
      <c r="Q25" s="3277" t="str">
        <f>B25</f>
        <v>毗邻道路的类型与等级</v>
      </c>
      <c r="R25" s="4042" t="s">
        <v>13</v>
      </c>
      <c r="S25" s="3406">
        <f>F25</f>
        <v>100</v>
      </c>
      <c r="T25" s="4042" t="s">
        <v>13</v>
      </c>
      <c r="U25" s="3406">
        <f>H25</f>
        <v>100</v>
      </c>
      <c r="V25" s="4042" t="s">
        <v>13</v>
      </c>
      <c r="W25" s="3406">
        <f>J25</f>
        <v>100</v>
      </c>
      <c r="X25" s="963"/>
      <c r="Y25" s="4895"/>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65"/>
      <c r="Q26" s="3277"/>
      <c r="R26" s="4042"/>
      <c r="S26" s="3406"/>
      <c r="T26" s="4042"/>
      <c r="U26" s="3406"/>
      <c r="V26" s="4042"/>
      <c r="W26" s="3406"/>
      <c r="X26" s="963"/>
      <c r="Y26" s="4895"/>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65"/>
      <c r="Q27" s="3277" t="str">
        <f t="shared" ref="Q27:Q47" si="11">B27</f>
        <v>楼层</v>
      </c>
      <c r="R27" s="4042" t="s">
        <v>13</v>
      </c>
      <c r="S27" s="3406">
        <f>F27</f>
        <v>100</v>
      </c>
      <c r="T27" s="4042" t="s">
        <v>13</v>
      </c>
      <c r="U27" s="3406">
        <f>H27</f>
        <v>100</v>
      </c>
      <c r="V27" s="4042" t="s">
        <v>13</v>
      </c>
      <c r="W27" s="3406">
        <f>J27</f>
        <v>100</v>
      </c>
      <c r="X27" s="963"/>
      <c r="Y27" s="4895"/>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65"/>
      <c r="Q28" s="3274" t="str">
        <f t="shared" si="11"/>
        <v>朝向</v>
      </c>
      <c r="R28" s="3921" t="s">
        <v>13</v>
      </c>
      <c r="S28" s="3405">
        <f>F28</f>
        <v>100</v>
      </c>
      <c r="T28" s="3921" t="s">
        <v>13</v>
      </c>
      <c r="U28" s="3405">
        <f>H28</f>
        <v>100</v>
      </c>
      <c r="V28" s="3921" t="s">
        <v>13</v>
      </c>
      <c r="W28" s="3405">
        <f>J28</f>
        <v>100</v>
      </c>
      <c r="X28" s="504"/>
      <c r="Y28" s="4895"/>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65"/>
      <c r="Q29" s="3277">
        <f t="shared" si="11"/>
        <v>111</v>
      </c>
      <c r="R29" s="4042" t="s">
        <v>13</v>
      </c>
      <c r="S29" s="3406">
        <f t="shared" ref="S29:S47" si="12">F29</f>
        <v>100</v>
      </c>
      <c r="T29" s="4042" t="s">
        <v>13</v>
      </c>
      <c r="U29" s="3406">
        <f t="shared" ref="U29:U47" si="13">H29</f>
        <v>100</v>
      </c>
      <c r="V29" s="4042" t="s">
        <v>13</v>
      </c>
      <c r="W29" s="3406">
        <f t="shared" ref="W29:W47" si="14">J29</f>
        <v>100</v>
      </c>
      <c r="X29" s="963"/>
      <c r="Y29" s="4895"/>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65"/>
      <c r="Q30" s="3277">
        <f t="shared" si="11"/>
        <v>111</v>
      </c>
      <c r="R30" s="4042" t="s">
        <v>13</v>
      </c>
      <c r="S30" s="3406">
        <f t="shared" si="12"/>
        <v>100</v>
      </c>
      <c r="T30" s="4042" t="s">
        <v>13</v>
      </c>
      <c r="U30" s="3406">
        <f t="shared" si="13"/>
        <v>100</v>
      </c>
      <c r="V30" s="4042" t="s">
        <v>13</v>
      </c>
      <c r="W30" s="3406">
        <f t="shared" si="14"/>
        <v>100</v>
      </c>
      <c r="X30" s="963"/>
      <c r="Y30" s="4895"/>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65"/>
      <c r="Q31" s="3277">
        <f t="shared" si="11"/>
        <v>111</v>
      </c>
      <c r="R31" s="4042" t="s">
        <v>13</v>
      </c>
      <c r="S31" s="3406">
        <f t="shared" si="12"/>
        <v>100</v>
      </c>
      <c r="T31" s="4042" t="s">
        <v>13</v>
      </c>
      <c r="U31" s="3406">
        <f t="shared" si="13"/>
        <v>100</v>
      </c>
      <c r="V31" s="4042" t="s">
        <v>13</v>
      </c>
      <c r="W31" s="3406">
        <f t="shared" si="14"/>
        <v>100</v>
      </c>
      <c r="X31" s="963"/>
      <c r="Y31" s="4895"/>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65"/>
      <c r="Q32" s="3277">
        <f t="shared" si="11"/>
        <v>111</v>
      </c>
      <c r="R32" s="4042" t="s">
        <v>13</v>
      </c>
      <c r="S32" s="3406">
        <f t="shared" si="12"/>
        <v>100</v>
      </c>
      <c r="T32" s="4042" t="s">
        <v>13</v>
      </c>
      <c r="U32" s="3406">
        <f t="shared" si="13"/>
        <v>100</v>
      </c>
      <c r="V32" s="4042" t="s">
        <v>13</v>
      </c>
      <c r="W32" s="3406">
        <f t="shared" si="14"/>
        <v>100</v>
      </c>
      <c r="X32" s="963"/>
      <c r="Y32" s="4895"/>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960" t="s">
        <v>1603</v>
      </c>
      <c r="Q33" s="3277" t="str">
        <f t="shared" si="11"/>
        <v>建筑类型</v>
      </c>
      <c r="R33" s="4042" t="s">
        <v>13</v>
      </c>
      <c r="S33" s="3406">
        <f t="shared" si="12"/>
        <v>100</v>
      </c>
      <c r="T33" s="4042" t="s">
        <v>13</v>
      </c>
      <c r="U33" s="3406">
        <f t="shared" si="13"/>
        <v>100</v>
      </c>
      <c r="V33" s="4042" t="s">
        <v>13</v>
      </c>
      <c r="W33" s="3406">
        <f t="shared" si="14"/>
        <v>100</v>
      </c>
      <c r="X33" s="963"/>
      <c r="Y33" s="4898"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961"/>
      <c r="Q34" s="3106" t="str">
        <f t="shared" si="11"/>
        <v>项目建筑规模</v>
      </c>
      <c r="R34" s="4043" t="s">
        <v>13</v>
      </c>
      <c r="S34" s="3407" t="e">
        <f t="shared" si="12"/>
        <v>#N/A</v>
      </c>
      <c r="T34" s="4043" t="s">
        <v>13</v>
      </c>
      <c r="U34" s="3407" t="e">
        <f t="shared" si="13"/>
        <v>#N/A</v>
      </c>
      <c r="V34" s="4043" t="s">
        <v>13</v>
      </c>
      <c r="W34" s="3407" t="e">
        <f t="shared" si="14"/>
        <v>#N/A</v>
      </c>
      <c r="X34" s="507"/>
      <c r="Y34" s="4898"/>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961"/>
      <c r="Q35" s="3277" t="str">
        <f t="shared" si="11"/>
        <v>建筑结构</v>
      </c>
      <c r="R35" s="4042" t="s">
        <v>13</v>
      </c>
      <c r="S35" s="3406">
        <f t="shared" si="12"/>
        <v>100</v>
      </c>
      <c r="T35" s="4042" t="s">
        <v>13</v>
      </c>
      <c r="U35" s="3406">
        <f t="shared" si="13"/>
        <v>100</v>
      </c>
      <c r="V35" s="4042" t="s">
        <v>13</v>
      </c>
      <c r="W35" s="3406">
        <f t="shared" si="14"/>
        <v>100</v>
      </c>
      <c r="X35" s="963"/>
      <c r="Y35" s="4898"/>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961"/>
      <c r="Q36" s="3277" t="str">
        <f t="shared" si="11"/>
        <v>公共部分装修</v>
      </c>
      <c r="R36" s="4042" t="s">
        <v>13</v>
      </c>
      <c r="S36" s="3406">
        <f t="shared" si="12"/>
        <v>100</v>
      </c>
      <c r="T36" s="4042" t="s">
        <v>13</v>
      </c>
      <c r="U36" s="3406">
        <f t="shared" si="13"/>
        <v>100</v>
      </c>
      <c r="V36" s="4042" t="s">
        <v>13</v>
      </c>
      <c r="W36" s="3406">
        <f t="shared" si="14"/>
        <v>100</v>
      </c>
      <c r="X36" s="963"/>
      <c r="Y36" s="4898"/>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961"/>
      <c r="Q37" s="3277" t="str">
        <f t="shared" si="11"/>
        <v>成新度</v>
      </c>
      <c r="R37" s="4042" t="s">
        <v>13</v>
      </c>
      <c r="S37" s="3406" t="e">
        <f t="shared" si="12"/>
        <v>#N/A</v>
      </c>
      <c r="T37" s="4042" t="s">
        <v>13</v>
      </c>
      <c r="U37" s="3406" t="e">
        <f t="shared" si="13"/>
        <v>#N/A</v>
      </c>
      <c r="V37" s="4042" t="s">
        <v>13</v>
      </c>
      <c r="W37" s="3406" t="e">
        <f t="shared" si="14"/>
        <v>#N/A</v>
      </c>
      <c r="X37" s="963"/>
      <c r="Y37" s="4898"/>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961"/>
      <c r="Q38" s="3274" t="str">
        <f t="shared" si="11"/>
        <v>写字楼等级</v>
      </c>
      <c r="R38" s="3921" t="s">
        <v>13</v>
      </c>
      <c r="S38" s="3405">
        <f t="shared" si="12"/>
        <v>100</v>
      </c>
      <c r="T38" s="3921" t="s">
        <v>13</v>
      </c>
      <c r="U38" s="3405">
        <f t="shared" si="13"/>
        <v>100</v>
      </c>
      <c r="V38" s="3921" t="s">
        <v>13</v>
      </c>
      <c r="W38" s="3405">
        <f t="shared" si="14"/>
        <v>100</v>
      </c>
      <c r="X38" s="504"/>
      <c r="Y38" s="4898"/>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961" t="s">
        <v>1603</v>
      </c>
      <c r="Q39" s="3277" t="str">
        <f t="shared" si="11"/>
        <v>物业管理</v>
      </c>
      <c r="R39" s="4042" t="s">
        <v>13</v>
      </c>
      <c r="S39" s="3406">
        <f t="shared" si="12"/>
        <v>100</v>
      </c>
      <c r="T39" s="4042" t="s">
        <v>13</v>
      </c>
      <c r="U39" s="3406">
        <f t="shared" si="13"/>
        <v>100</v>
      </c>
      <c r="V39" s="4042" t="s">
        <v>13</v>
      </c>
      <c r="W39" s="3406">
        <f t="shared" si="14"/>
        <v>100</v>
      </c>
      <c r="X39" s="963"/>
      <c r="Y39" s="4898"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961"/>
      <c r="Q40" s="3277" t="str">
        <f t="shared" si="11"/>
        <v>市政基础设施</v>
      </c>
      <c r="R40" s="4042" t="s">
        <v>13</v>
      </c>
      <c r="S40" s="3406">
        <f t="shared" si="12"/>
        <v>100</v>
      </c>
      <c r="T40" s="4042" t="s">
        <v>13</v>
      </c>
      <c r="U40" s="3406">
        <f t="shared" si="13"/>
        <v>100</v>
      </c>
      <c r="V40" s="4042" t="s">
        <v>13</v>
      </c>
      <c r="W40" s="3406">
        <f t="shared" si="14"/>
        <v>100</v>
      </c>
      <c r="X40" s="963"/>
      <c r="Y40" s="4898"/>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961"/>
      <c r="Q41" s="3277" t="str">
        <f t="shared" si="11"/>
        <v>层高</v>
      </c>
      <c r="R41" s="4042" t="s">
        <v>13</v>
      </c>
      <c r="S41" s="3406">
        <f t="shared" si="12"/>
        <v>100</v>
      </c>
      <c r="T41" s="4042" t="s">
        <v>13</v>
      </c>
      <c r="U41" s="3406">
        <f t="shared" si="13"/>
        <v>100</v>
      </c>
      <c r="V41" s="4042" t="s">
        <v>13</v>
      </c>
      <c r="W41" s="3406">
        <f t="shared" si="14"/>
        <v>100</v>
      </c>
      <c r="X41" s="963"/>
      <c r="Y41" s="4898"/>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961"/>
      <c r="Q42" s="3106" t="str">
        <f t="shared" si="11"/>
        <v>单套建筑面积</v>
      </c>
      <c r="R42" s="4043" t="s">
        <v>13</v>
      </c>
      <c r="S42" s="3407">
        <f t="shared" si="12"/>
        <v>100</v>
      </c>
      <c r="T42" s="4043" t="s">
        <v>13</v>
      </c>
      <c r="U42" s="3407">
        <f t="shared" si="13"/>
        <v>100</v>
      </c>
      <c r="V42" s="4043" t="s">
        <v>13</v>
      </c>
      <c r="W42" s="3407">
        <f t="shared" si="14"/>
        <v>100</v>
      </c>
      <c r="X42" s="507"/>
      <c r="Y42" s="4898"/>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961"/>
      <c r="Q43" s="3277" t="str">
        <f t="shared" si="11"/>
        <v>内部装修</v>
      </c>
      <c r="R43" s="4042" t="s">
        <v>13</v>
      </c>
      <c r="S43" s="3406">
        <f t="shared" si="12"/>
        <v>100</v>
      </c>
      <c r="T43" s="4042" t="s">
        <v>13</v>
      </c>
      <c r="U43" s="3406">
        <f t="shared" si="13"/>
        <v>100</v>
      </c>
      <c r="V43" s="4042" t="s">
        <v>13</v>
      </c>
      <c r="W43" s="3406">
        <f t="shared" si="14"/>
        <v>100</v>
      </c>
      <c r="X43" s="963"/>
      <c r="Y43" s="4898"/>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961"/>
      <c r="Q44" s="3277" t="str">
        <f t="shared" si="11"/>
        <v>内部装修维护情况</v>
      </c>
      <c r="R44" s="4042" t="s">
        <v>13</v>
      </c>
      <c r="S44" s="3406">
        <f t="shared" si="12"/>
        <v>100</v>
      </c>
      <c r="T44" s="4042" t="s">
        <v>13</v>
      </c>
      <c r="U44" s="3406">
        <f t="shared" si="13"/>
        <v>100</v>
      </c>
      <c r="V44" s="4042" t="s">
        <v>13</v>
      </c>
      <c r="W44" s="3406">
        <f t="shared" si="14"/>
        <v>100</v>
      </c>
      <c r="X44" s="963"/>
      <c r="Y44" s="4898"/>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961"/>
      <c r="Q45" s="3274">
        <f t="shared" si="11"/>
        <v>111</v>
      </c>
      <c r="R45" s="3921" t="s">
        <v>13</v>
      </c>
      <c r="S45" s="3405">
        <f t="shared" si="12"/>
        <v>100</v>
      </c>
      <c r="T45" s="3921" t="s">
        <v>13</v>
      </c>
      <c r="U45" s="3405">
        <f t="shared" si="13"/>
        <v>100</v>
      </c>
      <c r="V45" s="3921" t="s">
        <v>13</v>
      </c>
      <c r="W45" s="3405">
        <f t="shared" si="14"/>
        <v>100</v>
      </c>
      <c r="X45" s="504"/>
      <c r="Y45" s="4898"/>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961"/>
      <c r="Q46" s="3277">
        <f t="shared" si="11"/>
        <v>111</v>
      </c>
      <c r="R46" s="4042" t="s">
        <v>13</v>
      </c>
      <c r="S46" s="3406">
        <f t="shared" si="12"/>
        <v>100</v>
      </c>
      <c r="T46" s="4042" t="s">
        <v>13</v>
      </c>
      <c r="U46" s="3406">
        <f t="shared" si="13"/>
        <v>100</v>
      </c>
      <c r="V46" s="4042" t="s">
        <v>13</v>
      </c>
      <c r="W46" s="3406">
        <f t="shared" si="14"/>
        <v>100</v>
      </c>
      <c r="X46" s="963"/>
      <c r="Y46" s="4898"/>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962"/>
      <c r="Q47" s="3277">
        <f t="shared" si="11"/>
        <v>111</v>
      </c>
      <c r="R47" s="4042" t="s">
        <v>13</v>
      </c>
      <c r="S47" s="3406">
        <f t="shared" si="12"/>
        <v>100</v>
      </c>
      <c r="T47" s="4042" t="s">
        <v>13</v>
      </c>
      <c r="U47" s="3406">
        <f t="shared" si="13"/>
        <v>100</v>
      </c>
      <c r="V47" s="4042" t="s">
        <v>13</v>
      </c>
      <c r="W47" s="3406">
        <f t="shared" si="14"/>
        <v>100</v>
      </c>
      <c r="X47" s="963"/>
      <c r="Y47" s="4963"/>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59" t="str">
        <f>A48</f>
        <v>成交单价（元/平方米）</v>
      </c>
      <c r="Q48" s="4868"/>
      <c r="R48" s="4899">
        <f>E48</f>
        <v>0</v>
      </c>
      <c r="S48" s="4899"/>
      <c r="T48" s="4899">
        <f>G48</f>
        <v>0</v>
      </c>
      <c r="U48" s="4899"/>
      <c r="V48" s="4899">
        <f>I48</f>
        <v>0</v>
      </c>
      <c r="W48" s="4899"/>
      <c r="X48" s="271"/>
      <c r="Y48" s="509"/>
      <c r="Z48" s="271"/>
      <c r="AA48" s="271"/>
      <c r="AB48" s="271"/>
      <c r="AC48" s="418"/>
    </row>
    <row r="49" spans="1:29" ht="15.75" thickBot="1">
      <c r="A49" s="295" t="s">
        <v>1700</v>
      </c>
      <c r="B49" s="296"/>
      <c r="C49" s="4040" t="e">
        <f>R50</f>
        <v>#DIV/0!</v>
      </c>
      <c r="D49" s="4197" t="s">
        <v>2041</v>
      </c>
      <c r="E49" s="4051" t="e">
        <f>R49</f>
        <v>#DIV/0!</v>
      </c>
      <c r="F49" s="3042"/>
      <c r="G49" s="4040" t="e">
        <f>T49</f>
        <v>#DIV/0!</v>
      </c>
      <c r="H49" s="3042"/>
      <c r="I49" s="4051" t="e">
        <f>V49</f>
        <v>#DIV/0!</v>
      </c>
      <c r="J49" s="3042"/>
      <c r="K49" s="3097">
        <f>F49+H49+J49</f>
        <v>0</v>
      </c>
      <c r="L49" s="2155"/>
      <c r="M49" s="2147"/>
      <c r="N49" s="2147"/>
      <c r="O49" s="2147"/>
      <c r="P49" s="4959" t="str">
        <f>A49</f>
        <v>比较价值（元/平方米）</v>
      </c>
      <c r="Q49" s="4868"/>
      <c r="R49" s="4899" t="e">
        <f>IF(F1="售价",ROUND(PRODUCT(R48,AA7:AA47),0),ROUND(PRODUCT(R48,AA7:AA47),1))</f>
        <v>#DIV/0!</v>
      </c>
      <c r="S49" s="4899"/>
      <c r="T49" s="4899" t="e">
        <f>IF(F1="售价",ROUND(PRODUCT(T48,AB7:AB47),0),ROUND(PRODUCT(T48,AB7:AB47),1))</f>
        <v>#DIV/0!</v>
      </c>
      <c r="U49" s="4899"/>
      <c r="V49" s="4899" t="e">
        <f>IF(F1="售价",ROUND(PRODUCT(V48,AC7:AC47),0),ROUND(PRODUCT(V48,AC7:AC47),1))</f>
        <v>#DIV/0!</v>
      </c>
      <c r="W49" s="4899"/>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92" t="str">
        <f>A50</f>
        <v>估价对象XX用房的比较价值（楼面单价，元/平方米）</v>
      </c>
      <c r="Q50" s="4993"/>
      <c r="R50" s="4994" t="e">
        <f>IF(F1="售价",ROUND(IF(D49="简单平均",AVERAGE(R49:V49),R49*F49+T49*H49+V49*J49),0),ROUND(IF(D49="简单平均",AVERAGE(R49:V49),R49*F49+T49*H49+V49*J49),1))</f>
        <v>#DIV/0!</v>
      </c>
      <c r="S50" s="4994"/>
      <c r="T50" s="4994"/>
      <c r="U50" s="4994"/>
      <c r="V50" s="4994"/>
      <c r="W50" s="4994"/>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95404.21</v>
      </c>
      <c r="E3" s="4198" t="s">
        <v>3475</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03" t="s">
        <v>1677</v>
      </c>
      <c r="D4" s="4981"/>
      <c r="E4" s="4982" t="s">
        <v>1678</v>
      </c>
      <c r="F4" s="4983"/>
      <c r="G4" s="4903" t="s">
        <v>1679</v>
      </c>
      <c r="H4" s="4981"/>
      <c r="I4" s="4903" t="s">
        <v>1680</v>
      </c>
      <c r="J4" s="4981"/>
      <c r="K4" s="406" t="s">
        <v>1681</v>
      </c>
      <c r="L4" s="625"/>
      <c r="M4" s="626"/>
      <c r="N4" s="626"/>
      <c r="O4" s="626"/>
      <c r="P4" s="4874" t="s">
        <v>1682</v>
      </c>
      <c r="Q4" s="4875"/>
      <c r="R4" s="4856" t="s">
        <v>1678</v>
      </c>
      <c r="S4" s="4857"/>
      <c r="T4" s="4856" t="s">
        <v>1679</v>
      </c>
      <c r="U4" s="4857"/>
      <c r="V4" s="4882" t="s">
        <v>1680</v>
      </c>
      <c r="W4" s="4882"/>
      <c r="X4" s="963"/>
      <c r="Y4" s="4885" t="s">
        <v>1682</v>
      </c>
      <c r="Z4" s="4886"/>
      <c r="AA4" s="4851" t="s">
        <v>1678</v>
      </c>
      <c r="AB4" s="4852" t="s">
        <v>1679</v>
      </c>
      <c r="AC4" s="4851" t="s">
        <v>1680</v>
      </c>
    </row>
    <row r="5" spans="1:29" ht="15">
      <c r="A5" s="244"/>
      <c r="B5" s="245"/>
      <c r="C5" s="4972" t="s">
        <v>1580</v>
      </c>
      <c r="D5" s="4973"/>
      <c r="E5" s="4970" t="s">
        <v>1581</v>
      </c>
      <c r="F5" s="4971"/>
      <c r="G5" s="4972" t="s">
        <v>1582</v>
      </c>
      <c r="H5" s="4973"/>
      <c r="I5" s="4972" t="s">
        <v>1583</v>
      </c>
      <c r="J5" s="4973"/>
      <c r="K5" s="406"/>
      <c r="L5" s="625"/>
      <c r="M5" s="626"/>
      <c r="N5" s="626"/>
      <c r="O5" s="626"/>
      <c r="P5" s="4876"/>
      <c r="Q5" s="4877"/>
      <c r="R5" s="4858"/>
      <c r="S5" s="4859"/>
      <c r="T5" s="4858"/>
      <c r="U5" s="4859"/>
      <c r="V5" s="4882"/>
      <c r="W5" s="4882"/>
      <c r="X5" s="963"/>
      <c r="Y5" s="4887"/>
      <c r="Z5" s="4888"/>
      <c r="AA5" s="4852"/>
      <c r="AB5" s="4852"/>
      <c r="AC5" s="4852"/>
    </row>
    <row r="6" spans="1:29" ht="15.75" thickBot="1">
      <c r="A6" s="246"/>
      <c r="B6" s="247"/>
      <c r="C6" s="4974" t="s">
        <v>1584</v>
      </c>
      <c r="D6" s="4975"/>
      <c r="E6" s="4976" t="s">
        <v>1584</v>
      </c>
      <c r="F6" s="4977"/>
      <c r="G6" s="4974" t="s">
        <v>1584</v>
      </c>
      <c r="H6" s="4975"/>
      <c r="I6" s="4974" t="s">
        <v>1584</v>
      </c>
      <c r="J6" s="4975"/>
      <c r="K6" s="406" t="s">
        <v>1585</v>
      </c>
      <c r="L6" s="625"/>
      <c r="M6" s="626"/>
      <c r="N6" s="626"/>
      <c r="O6" s="626"/>
      <c r="P6" s="4878"/>
      <c r="Q6" s="4879"/>
      <c r="R6" s="4858"/>
      <c r="S6" s="4859"/>
      <c r="T6" s="4880"/>
      <c r="U6" s="4881"/>
      <c r="V6" s="4882"/>
      <c r="W6" s="4882"/>
      <c r="X6" s="963"/>
      <c r="Y6" s="4889"/>
      <c r="Z6" s="4890"/>
      <c r="AA6" s="4853"/>
      <c r="AB6" s="4853"/>
      <c r="AC6" s="4853"/>
    </row>
    <row r="7" spans="1:29" s="49" customFormat="1" ht="15.75" thickBot="1">
      <c r="A7" s="248" t="s">
        <v>1586</v>
      </c>
      <c r="B7" s="249"/>
      <c r="C7" s="250">
        <f>'数据-取费表'!B2</f>
        <v>46087</v>
      </c>
      <c r="D7" s="3140">
        <v>100</v>
      </c>
      <c r="E7" s="251"/>
      <c r="F7" s="4055">
        <f>SUMIF(52:52,YEAR(E7)&amp;"-"&amp;MONTH(E7),53:53)</f>
        <v>0</v>
      </c>
      <c r="G7" s="251"/>
      <c r="H7" s="4066">
        <f>SUMIF(52:52,YEAR(G7)&amp;"-"&amp;MONTH(G7),53:53)</f>
        <v>0</v>
      </c>
      <c r="I7" s="251"/>
      <c r="J7" s="4066">
        <f>SUMIF(52:52,YEAR(I7)&amp;"-"&amp;MONTH(I7),53:53)</f>
        <v>0</v>
      </c>
      <c r="K7" s="407"/>
      <c r="L7" s="627"/>
      <c r="M7" s="628"/>
      <c r="N7" s="628"/>
      <c r="O7" s="628"/>
      <c r="P7" s="4883" t="s">
        <v>1587</v>
      </c>
      <c r="Q7" s="4891"/>
      <c r="R7" s="4074" t="s">
        <v>13</v>
      </c>
      <c r="S7" s="4077">
        <f t="shared" ref="S7:S15" si="0">F7</f>
        <v>0</v>
      </c>
      <c r="T7" s="4074" t="s">
        <v>13</v>
      </c>
      <c r="U7" s="4077">
        <f t="shared" ref="U7:U15" si="1">H7</f>
        <v>0</v>
      </c>
      <c r="V7" s="4074" t="s">
        <v>13</v>
      </c>
      <c r="W7" s="4077">
        <f t="shared" ref="W7:W15" si="2">J7</f>
        <v>0</v>
      </c>
      <c r="X7" s="504"/>
      <c r="Y7" s="4854" t="s">
        <v>1587</v>
      </c>
      <c r="Z7" s="4855"/>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883" t="s">
        <v>1590</v>
      </c>
      <c r="Q8" s="4884"/>
      <c r="R8" s="4074" t="s">
        <v>13</v>
      </c>
      <c r="S8" s="4077">
        <f t="shared" si="0"/>
        <v>100</v>
      </c>
      <c r="T8" s="4074" t="s">
        <v>13</v>
      </c>
      <c r="U8" s="4077">
        <f t="shared" si="1"/>
        <v>100</v>
      </c>
      <c r="V8" s="4074" t="s">
        <v>13</v>
      </c>
      <c r="W8" s="4077">
        <f t="shared" si="2"/>
        <v>100</v>
      </c>
      <c r="X8" s="504"/>
      <c r="Y8" s="4854" t="s">
        <v>1590</v>
      </c>
      <c r="Z8" s="4855"/>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68" t="s">
        <v>1593</v>
      </c>
      <c r="Q9" s="3274" t="str">
        <f t="shared" ref="Q9:Q15" si="6">B9</f>
        <v>用途</v>
      </c>
      <c r="R9" s="4074" t="s">
        <v>13</v>
      </c>
      <c r="S9" s="4077">
        <f t="shared" si="0"/>
        <v>100</v>
      </c>
      <c r="T9" s="4074" t="s">
        <v>13</v>
      </c>
      <c r="U9" s="4077">
        <f t="shared" si="1"/>
        <v>100</v>
      </c>
      <c r="V9" s="4074" t="s">
        <v>13</v>
      </c>
      <c r="W9" s="4077">
        <f t="shared" si="2"/>
        <v>100</v>
      </c>
      <c r="X9" s="504"/>
      <c r="Y9" s="4869"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68"/>
      <c r="Q10" s="3274" t="str">
        <f t="shared" si="6"/>
        <v>土地使用年限（年）</v>
      </c>
      <c r="R10" s="4074" t="s">
        <v>13</v>
      </c>
      <c r="S10" s="4077">
        <f t="shared" si="0"/>
        <v>100</v>
      </c>
      <c r="T10" s="4074" t="s">
        <v>13</v>
      </c>
      <c r="U10" s="4077">
        <f t="shared" si="1"/>
        <v>100</v>
      </c>
      <c r="V10" s="4074" t="s">
        <v>13</v>
      </c>
      <c r="W10" s="4077">
        <f t="shared" si="2"/>
        <v>100</v>
      </c>
      <c r="X10" s="504"/>
      <c r="Y10" s="4869"/>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68"/>
      <c r="Q11" s="3274" t="str">
        <f t="shared" si="6"/>
        <v>容积率</v>
      </c>
      <c r="R11" s="4074" t="s">
        <v>13</v>
      </c>
      <c r="S11" s="4077">
        <f t="shared" si="0"/>
        <v>100</v>
      </c>
      <c r="T11" s="4074" t="s">
        <v>13</v>
      </c>
      <c r="U11" s="4077">
        <f t="shared" si="1"/>
        <v>100</v>
      </c>
      <c r="V11" s="4074" t="s">
        <v>13</v>
      </c>
      <c r="W11" s="4077">
        <f t="shared" si="2"/>
        <v>100</v>
      </c>
      <c r="X11" s="504"/>
      <c r="Y11" s="4869"/>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68"/>
      <c r="Q12" s="3274">
        <f t="shared" si="6"/>
        <v>111</v>
      </c>
      <c r="R12" s="4074" t="s">
        <v>13</v>
      </c>
      <c r="S12" s="4077">
        <f t="shared" si="0"/>
        <v>100</v>
      </c>
      <c r="T12" s="4074" t="s">
        <v>13</v>
      </c>
      <c r="U12" s="4077">
        <f t="shared" si="1"/>
        <v>100</v>
      </c>
      <c r="V12" s="4074" t="s">
        <v>13</v>
      </c>
      <c r="W12" s="4077">
        <f t="shared" si="2"/>
        <v>100</v>
      </c>
      <c r="X12" s="504"/>
      <c r="Y12" s="4869"/>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68"/>
      <c r="Q13" s="3274">
        <f t="shared" si="6"/>
        <v>111</v>
      </c>
      <c r="R13" s="4074" t="s">
        <v>13</v>
      </c>
      <c r="S13" s="4077">
        <f t="shared" si="0"/>
        <v>100</v>
      </c>
      <c r="T13" s="4074" t="s">
        <v>13</v>
      </c>
      <c r="U13" s="4077">
        <f t="shared" si="1"/>
        <v>100</v>
      </c>
      <c r="V13" s="4074" t="s">
        <v>13</v>
      </c>
      <c r="W13" s="4077">
        <f t="shared" si="2"/>
        <v>100</v>
      </c>
      <c r="X13" s="504"/>
      <c r="Y13" s="4869"/>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68"/>
      <c r="Q14" s="3274">
        <f t="shared" si="6"/>
        <v>111</v>
      </c>
      <c r="R14" s="4074" t="s">
        <v>13</v>
      </c>
      <c r="S14" s="4077">
        <f t="shared" si="0"/>
        <v>100</v>
      </c>
      <c r="T14" s="4074" t="s">
        <v>13</v>
      </c>
      <c r="U14" s="4077">
        <f t="shared" si="1"/>
        <v>100</v>
      </c>
      <c r="V14" s="4074" t="s">
        <v>13</v>
      </c>
      <c r="W14" s="4077">
        <f t="shared" si="2"/>
        <v>100</v>
      </c>
      <c r="X14" s="504"/>
      <c r="Y14" s="4869"/>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892" t="s">
        <v>1598</v>
      </c>
      <c r="Q15" s="3277" t="str">
        <f t="shared" si="6"/>
        <v>产业集聚程度</v>
      </c>
      <c r="R15" s="4075" t="s">
        <v>13</v>
      </c>
      <c r="S15" s="4078">
        <f t="shared" si="0"/>
        <v>100</v>
      </c>
      <c r="T15" s="4075" t="s">
        <v>13</v>
      </c>
      <c r="U15" s="4078">
        <f t="shared" si="1"/>
        <v>100</v>
      </c>
      <c r="V15" s="4075" t="s">
        <v>13</v>
      </c>
      <c r="W15" s="4078">
        <f t="shared" si="2"/>
        <v>100</v>
      </c>
      <c r="X15" s="963"/>
      <c r="Y15" s="4894"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893"/>
      <c r="Q16" s="3277"/>
      <c r="R16" s="4075"/>
      <c r="S16" s="4078"/>
      <c r="T16" s="4075"/>
      <c r="U16" s="4078"/>
      <c r="V16" s="4075"/>
      <c r="W16" s="4078"/>
      <c r="X16" s="963"/>
      <c r="Y16" s="489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893"/>
      <c r="Q17" s="3277" t="str">
        <f>B17</f>
        <v>交通便捷度</v>
      </c>
      <c r="R17" s="4075" t="s">
        <v>13</v>
      </c>
      <c r="S17" s="4078">
        <f>F17</f>
        <v>100</v>
      </c>
      <c r="T17" s="4075" t="s">
        <v>13</v>
      </c>
      <c r="U17" s="4078">
        <f>H17</f>
        <v>100</v>
      </c>
      <c r="V17" s="4075" t="s">
        <v>13</v>
      </c>
      <c r="W17" s="4078">
        <f>J17</f>
        <v>100</v>
      </c>
      <c r="X17" s="963"/>
      <c r="Y17" s="4895"/>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893"/>
      <c r="Q18" s="3277"/>
      <c r="R18" s="4075"/>
      <c r="S18" s="4078"/>
      <c r="T18" s="4075"/>
      <c r="U18" s="4078"/>
      <c r="V18" s="4075"/>
      <c r="W18" s="4078"/>
      <c r="X18" s="963"/>
      <c r="Y18" s="4895"/>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893"/>
      <c r="Q19" s="3277" t="str">
        <f>B19</f>
        <v>公共配套设施</v>
      </c>
      <c r="R19" s="4075" t="s">
        <v>13</v>
      </c>
      <c r="S19" s="4078">
        <f>F19</f>
        <v>100</v>
      </c>
      <c r="T19" s="4075" t="s">
        <v>13</v>
      </c>
      <c r="U19" s="4078">
        <f>H19</f>
        <v>100</v>
      </c>
      <c r="V19" s="4075" t="s">
        <v>13</v>
      </c>
      <c r="W19" s="4078">
        <f>J19</f>
        <v>100</v>
      </c>
      <c r="X19" s="963"/>
      <c r="Y19" s="4895"/>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893"/>
      <c r="Q20" s="3277"/>
      <c r="R20" s="4075"/>
      <c r="S20" s="4078"/>
      <c r="T20" s="4075"/>
      <c r="U20" s="4078"/>
      <c r="V20" s="4075"/>
      <c r="W20" s="4078"/>
      <c r="X20" s="963"/>
      <c r="Y20" s="4895"/>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893"/>
      <c r="Q21" s="3277" t="str">
        <f>B21</f>
        <v>基础设施水平</v>
      </c>
      <c r="R21" s="4075" t="s">
        <v>13</v>
      </c>
      <c r="S21" s="4078">
        <f>F21</f>
        <v>100</v>
      </c>
      <c r="T21" s="4075" t="s">
        <v>13</v>
      </c>
      <c r="U21" s="4078">
        <f>H21</f>
        <v>100</v>
      </c>
      <c r="V21" s="4075" t="s">
        <v>13</v>
      </c>
      <c r="W21" s="4078">
        <f>J21</f>
        <v>100</v>
      </c>
      <c r="X21" s="963"/>
      <c r="Y21" s="489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893"/>
      <c r="Q22" s="3277"/>
      <c r="R22" s="4075"/>
      <c r="S22" s="4078"/>
      <c r="T22" s="4075"/>
      <c r="U22" s="4078"/>
      <c r="V22" s="4075"/>
      <c r="W22" s="4078"/>
      <c r="X22" s="963"/>
      <c r="Y22" s="4895"/>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893"/>
      <c r="Q23" s="3277" t="str">
        <f>B23</f>
        <v>环境质量</v>
      </c>
      <c r="R23" s="4075" t="s">
        <v>13</v>
      </c>
      <c r="S23" s="4078">
        <f>F23</f>
        <v>100</v>
      </c>
      <c r="T23" s="4075" t="s">
        <v>13</v>
      </c>
      <c r="U23" s="4078">
        <f>H23</f>
        <v>100</v>
      </c>
      <c r="V23" s="4075" t="s">
        <v>13</v>
      </c>
      <c r="W23" s="4078">
        <f>J23</f>
        <v>100</v>
      </c>
      <c r="X23" s="963"/>
      <c r="Y23" s="4895"/>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893"/>
      <c r="Q24" s="3277"/>
      <c r="R24" s="4075"/>
      <c r="S24" s="4078"/>
      <c r="T24" s="4075"/>
      <c r="U24" s="4078"/>
      <c r="V24" s="4075"/>
      <c r="W24" s="4078"/>
      <c r="X24" s="963"/>
      <c r="Y24" s="4895"/>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893"/>
      <c r="Q25" s="3277">
        <f>B25</f>
        <v>111</v>
      </c>
      <c r="R25" s="4075" t="s">
        <v>13</v>
      </c>
      <c r="S25" s="4078">
        <f>F25</f>
        <v>100</v>
      </c>
      <c r="T25" s="4075" t="s">
        <v>13</v>
      </c>
      <c r="U25" s="4078">
        <f>H25</f>
        <v>100</v>
      </c>
      <c r="V25" s="4075" t="s">
        <v>13</v>
      </c>
      <c r="W25" s="4078">
        <f>J25</f>
        <v>100</v>
      </c>
      <c r="X25" s="963"/>
      <c r="Y25" s="4895"/>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893"/>
      <c r="Q26" s="3277">
        <f t="shared" ref="Q26:Q40" si="11">B26</f>
        <v>111</v>
      </c>
      <c r="R26" s="4075" t="s">
        <v>13</v>
      </c>
      <c r="S26" s="4078">
        <f>F26</f>
        <v>100</v>
      </c>
      <c r="T26" s="4075" t="s">
        <v>13</v>
      </c>
      <c r="U26" s="4078">
        <f>H26</f>
        <v>100</v>
      </c>
      <c r="V26" s="4075" t="s">
        <v>13</v>
      </c>
      <c r="W26" s="4078">
        <f>J26</f>
        <v>100</v>
      </c>
      <c r="X26" s="963"/>
      <c r="Y26" s="4895"/>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893"/>
      <c r="Q27" s="3274">
        <f t="shared" si="11"/>
        <v>111</v>
      </c>
      <c r="R27" s="4074" t="s">
        <v>13</v>
      </c>
      <c r="S27" s="4077">
        <f>F27</f>
        <v>100</v>
      </c>
      <c r="T27" s="4074" t="s">
        <v>13</v>
      </c>
      <c r="U27" s="4077">
        <f>H27</f>
        <v>100</v>
      </c>
      <c r="V27" s="4074" t="s">
        <v>13</v>
      </c>
      <c r="W27" s="4077">
        <f>J27</f>
        <v>100</v>
      </c>
      <c r="X27" s="504"/>
      <c r="Y27" s="4895"/>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893"/>
      <c r="Q28" s="3277">
        <f t="shared" si="11"/>
        <v>111</v>
      </c>
      <c r="R28" s="4075" t="s">
        <v>13</v>
      </c>
      <c r="S28" s="4078">
        <f t="shared" ref="S28:S40" si="12">F28</f>
        <v>100</v>
      </c>
      <c r="T28" s="4075" t="s">
        <v>13</v>
      </c>
      <c r="U28" s="4078">
        <f t="shared" ref="U28:U40" si="13">H28</f>
        <v>100</v>
      </c>
      <c r="V28" s="4075" t="s">
        <v>13</v>
      </c>
      <c r="W28" s="4078">
        <f t="shared" ref="W28:W40" si="14">J28</f>
        <v>100</v>
      </c>
      <c r="X28" s="963"/>
      <c r="Y28" s="4895"/>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896" t="s">
        <v>1603</v>
      </c>
      <c r="Q29" s="3277" t="str">
        <f t="shared" si="11"/>
        <v>建筑类型</v>
      </c>
      <c r="R29" s="4075" t="s">
        <v>13</v>
      </c>
      <c r="S29" s="4078">
        <f t="shared" si="12"/>
        <v>100</v>
      </c>
      <c r="T29" s="4075" t="s">
        <v>13</v>
      </c>
      <c r="U29" s="4078">
        <f t="shared" si="13"/>
        <v>100</v>
      </c>
      <c r="V29" s="4075" t="s">
        <v>13</v>
      </c>
      <c r="W29" s="4078">
        <f t="shared" si="14"/>
        <v>100</v>
      </c>
      <c r="X29" s="963"/>
      <c r="Y29" s="4898"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897"/>
      <c r="Q30" s="3106" t="str">
        <f t="shared" si="11"/>
        <v>项目建筑规模</v>
      </c>
      <c r="R30" s="4076" t="s">
        <v>13</v>
      </c>
      <c r="S30" s="4079" t="e">
        <f t="shared" si="12"/>
        <v>#N/A</v>
      </c>
      <c r="T30" s="4076" t="s">
        <v>13</v>
      </c>
      <c r="U30" s="4079" t="e">
        <f t="shared" si="13"/>
        <v>#N/A</v>
      </c>
      <c r="V30" s="4076" t="s">
        <v>13</v>
      </c>
      <c r="W30" s="4079" t="e">
        <f t="shared" si="14"/>
        <v>#N/A</v>
      </c>
      <c r="X30" s="507"/>
      <c r="Y30" s="4898"/>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897"/>
      <c r="Q31" s="3277" t="str">
        <f t="shared" si="11"/>
        <v>建筑结构</v>
      </c>
      <c r="R31" s="4075" t="s">
        <v>13</v>
      </c>
      <c r="S31" s="4078">
        <f t="shared" si="12"/>
        <v>100</v>
      </c>
      <c r="T31" s="4075" t="s">
        <v>13</v>
      </c>
      <c r="U31" s="4078">
        <f t="shared" si="13"/>
        <v>100</v>
      </c>
      <c r="V31" s="4075" t="s">
        <v>13</v>
      </c>
      <c r="W31" s="4078">
        <f t="shared" si="14"/>
        <v>100</v>
      </c>
      <c r="X31" s="963"/>
      <c r="Y31" s="4898"/>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897"/>
      <c r="Q32" s="3277" t="str">
        <f t="shared" si="11"/>
        <v>公共部分装修</v>
      </c>
      <c r="R32" s="4075" t="s">
        <v>13</v>
      </c>
      <c r="S32" s="4078">
        <f t="shared" si="12"/>
        <v>100</v>
      </c>
      <c r="T32" s="4075" t="s">
        <v>13</v>
      </c>
      <c r="U32" s="4078">
        <f t="shared" si="13"/>
        <v>100</v>
      </c>
      <c r="V32" s="4075" t="s">
        <v>13</v>
      </c>
      <c r="W32" s="4078">
        <f t="shared" si="14"/>
        <v>100</v>
      </c>
      <c r="X32" s="963"/>
      <c r="Y32" s="4898"/>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897"/>
      <c r="Q33" s="3277" t="str">
        <f t="shared" si="11"/>
        <v>成新度</v>
      </c>
      <c r="R33" s="4075" t="s">
        <v>13</v>
      </c>
      <c r="S33" s="4078" t="e">
        <f t="shared" si="12"/>
        <v>#N/A</v>
      </c>
      <c r="T33" s="4075" t="s">
        <v>13</v>
      </c>
      <c r="U33" s="4078" t="e">
        <f t="shared" si="13"/>
        <v>#N/A</v>
      </c>
      <c r="V33" s="4075" t="s">
        <v>13</v>
      </c>
      <c r="W33" s="4078" t="e">
        <f t="shared" si="14"/>
        <v>#N/A</v>
      </c>
      <c r="X33" s="963"/>
      <c r="Y33" s="4898"/>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897"/>
      <c r="Q34" s="3274" t="str">
        <f t="shared" si="11"/>
        <v>物业管理</v>
      </c>
      <c r="R34" s="4074" t="s">
        <v>13</v>
      </c>
      <c r="S34" s="4077">
        <f t="shared" si="12"/>
        <v>100</v>
      </c>
      <c r="T34" s="4074" t="s">
        <v>13</v>
      </c>
      <c r="U34" s="4077">
        <f t="shared" si="13"/>
        <v>100</v>
      </c>
      <c r="V34" s="4074" t="s">
        <v>13</v>
      </c>
      <c r="W34" s="4077">
        <f t="shared" si="14"/>
        <v>100</v>
      </c>
      <c r="X34" s="504"/>
      <c r="Y34" s="4898"/>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897" t="s">
        <v>1603</v>
      </c>
      <c r="Q35" s="3277" t="str">
        <f t="shared" si="11"/>
        <v>市政基础设施</v>
      </c>
      <c r="R35" s="4075" t="s">
        <v>13</v>
      </c>
      <c r="S35" s="4078">
        <f t="shared" si="12"/>
        <v>100</v>
      </c>
      <c r="T35" s="4075" t="s">
        <v>13</v>
      </c>
      <c r="U35" s="4078">
        <f t="shared" si="13"/>
        <v>100</v>
      </c>
      <c r="V35" s="4075" t="s">
        <v>13</v>
      </c>
      <c r="W35" s="4078">
        <f t="shared" si="14"/>
        <v>100</v>
      </c>
      <c r="X35" s="963"/>
      <c r="Y35" s="4898"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897"/>
      <c r="Q36" s="3277" t="str">
        <f t="shared" si="11"/>
        <v>内部装修</v>
      </c>
      <c r="R36" s="4075" t="s">
        <v>13</v>
      </c>
      <c r="S36" s="4078">
        <f t="shared" si="12"/>
        <v>100</v>
      </c>
      <c r="T36" s="4075" t="s">
        <v>13</v>
      </c>
      <c r="U36" s="4078">
        <f t="shared" si="13"/>
        <v>100</v>
      </c>
      <c r="V36" s="4075" t="s">
        <v>13</v>
      </c>
      <c r="W36" s="4078">
        <f t="shared" si="14"/>
        <v>100</v>
      </c>
      <c r="X36" s="963"/>
      <c r="Y36" s="4898"/>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897"/>
      <c r="Q37" s="3277" t="str">
        <f t="shared" si="11"/>
        <v>内部装修状况</v>
      </c>
      <c r="R37" s="4075" t="s">
        <v>13</v>
      </c>
      <c r="S37" s="4078">
        <f t="shared" si="12"/>
        <v>100</v>
      </c>
      <c r="T37" s="4075" t="s">
        <v>13</v>
      </c>
      <c r="U37" s="4078">
        <f t="shared" si="13"/>
        <v>100</v>
      </c>
      <c r="V37" s="4075" t="s">
        <v>13</v>
      </c>
      <c r="W37" s="4078">
        <f t="shared" si="14"/>
        <v>100</v>
      </c>
      <c r="X37" s="963"/>
      <c r="Y37" s="4898"/>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897"/>
      <c r="Q38" s="3106">
        <f t="shared" si="11"/>
        <v>111</v>
      </c>
      <c r="R38" s="4076" t="s">
        <v>13</v>
      </c>
      <c r="S38" s="4079">
        <f t="shared" si="12"/>
        <v>100</v>
      </c>
      <c r="T38" s="4076" t="s">
        <v>13</v>
      </c>
      <c r="U38" s="4079">
        <f t="shared" si="13"/>
        <v>100</v>
      </c>
      <c r="V38" s="4076" t="s">
        <v>13</v>
      </c>
      <c r="W38" s="4079">
        <f t="shared" si="14"/>
        <v>100</v>
      </c>
      <c r="X38" s="507"/>
      <c r="Y38" s="4898"/>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897"/>
      <c r="Q39" s="3277">
        <f t="shared" si="11"/>
        <v>111</v>
      </c>
      <c r="R39" s="4075" t="s">
        <v>13</v>
      </c>
      <c r="S39" s="4078">
        <f t="shared" si="12"/>
        <v>100</v>
      </c>
      <c r="T39" s="4075" t="s">
        <v>13</v>
      </c>
      <c r="U39" s="4078">
        <f t="shared" si="13"/>
        <v>100</v>
      </c>
      <c r="V39" s="4075" t="s">
        <v>13</v>
      </c>
      <c r="W39" s="4078">
        <f t="shared" si="14"/>
        <v>100</v>
      </c>
      <c r="X39" s="963"/>
      <c r="Y39" s="4898"/>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95"/>
      <c r="Q40" s="3277">
        <f t="shared" si="11"/>
        <v>111</v>
      </c>
      <c r="R40" s="4075" t="s">
        <v>13</v>
      </c>
      <c r="S40" s="4078">
        <f t="shared" si="12"/>
        <v>100</v>
      </c>
      <c r="T40" s="4075" t="s">
        <v>13</v>
      </c>
      <c r="U40" s="4078">
        <f t="shared" si="13"/>
        <v>100</v>
      </c>
      <c r="V40" s="4075" t="s">
        <v>13</v>
      </c>
      <c r="W40" s="4078">
        <f t="shared" si="14"/>
        <v>100</v>
      </c>
      <c r="X40" s="963"/>
      <c r="Y40" s="4963"/>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68" t="str">
        <f>A41</f>
        <v>成交单价（元/平方米）</v>
      </c>
      <c r="Q41" s="4868"/>
      <c r="R41" s="4899">
        <f>E41</f>
        <v>0</v>
      </c>
      <c r="S41" s="4899"/>
      <c r="T41" s="4899">
        <f>G41</f>
        <v>0</v>
      </c>
      <c r="U41" s="4899"/>
      <c r="V41" s="4899">
        <f>I41</f>
        <v>0</v>
      </c>
      <c r="W41" s="4899"/>
      <c r="X41" s="493"/>
      <c r="Y41" s="509"/>
      <c r="Z41" s="493"/>
      <c r="AA41" s="493"/>
      <c r="AB41" s="493"/>
      <c r="AC41" s="493"/>
    </row>
    <row r="42" spans="1:29" ht="15.75" thickBot="1">
      <c r="A42" s="295" t="s">
        <v>1700</v>
      </c>
      <c r="B42" s="296"/>
      <c r="C42" s="4040" t="e">
        <f>R43</f>
        <v>#DIV/0!</v>
      </c>
      <c r="D42" s="4197" t="s">
        <v>2041</v>
      </c>
      <c r="E42" s="3127" t="e">
        <f>R42</f>
        <v>#DIV/0!</v>
      </c>
      <c r="F42" s="3042"/>
      <c r="G42" s="3126" t="e">
        <f>T42</f>
        <v>#DIV/0!</v>
      </c>
      <c r="H42" s="3042"/>
      <c r="I42" s="3127" t="e">
        <f>V42</f>
        <v>#DIV/0!</v>
      </c>
      <c r="J42" s="3042"/>
      <c r="K42" s="3097">
        <f>F42+H42+J42</f>
        <v>0</v>
      </c>
      <c r="L42" s="638"/>
      <c r="M42" s="639"/>
      <c r="N42" s="626"/>
      <c r="O42" s="639"/>
      <c r="P42" s="4868" t="str">
        <f>A42</f>
        <v>比较价值（元/平方米）</v>
      </c>
      <c r="Q42" s="4868"/>
      <c r="R42" s="4899" t="e">
        <f>IF(F1="售价",ROUND(PRODUCT(R41,AA7:AA40),0),ROUND(PRODUCT(R41,AA7:AA40),1))</f>
        <v>#DIV/0!</v>
      </c>
      <c r="S42" s="4899"/>
      <c r="T42" s="4899" t="e">
        <f>IF(F1="售价",ROUND(PRODUCT(T41,AB7:AB40),0),ROUND(PRODUCT(T41,AB7:AB40),1))</f>
        <v>#DIV/0!</v>
      </c>
      <c r="U42" s="4899"/>
      <c r="V42" s="4899" t="e">
        <f>IF(F1="售价",ROUND(PRODUCT(V41,AC7:AC40),0),ROUND(PRODUCT(V41,AC7:AC40),1))</f>
        <v>#DIV/0!</v>
      </c>
      <c r="W42" s="4899"/>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900" t="str">
        <f>A43</f>
        <v>估价对象XX用房的比较价值（楼面单价，元/平方米）</v>
      </c>
      <c r="Q43" s="4901"/>
      <c r="R43" s="4902" t="e">
        <f>IF(F1="售价",ROUND(IF(D42="简单平均",AVERAGE(R42:V42),R42*F42+T42*H42+V42*J42),0),ROUND(IF(D42="简单平均",AVERAGE(R42:V42),R42*F42+T42*H42+V42*J42),1))</f>
        <v>#DIV/0!</v>
      </c>
      <c r="S43" s="4902"/>
      <c r="T43" s="4902"/>
      <c r="U43" s="4902"/>
      <c r="V43" s="4902"/>
      <c r="W43" s="490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3475</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03" t="s">
        <v>1677</v>
      </c>
      <c r="D4" s="4981"/>
      <c r="E4" s="4982" t="s">
        <v>1678</v>
      </c>
      <c r="F4" s="4983"/>
      <c r="G4" s="4903" t="s">
        <v>1679</v>
      </c>
      <c r="H4" s="4981"/>
      <c r="I4" s="4903" t="s">
        <v>1680</v>
      </c>
      <c r="J4" s="4981"/>
      <c r="K4" s="406" t="s">
        <v>1681</v>
      </c>
      <c r="L4" s="2146"/>
      <c r="M4" s="2147"/>
      <c r="N4" s="2147"/>
      <c r="O4" s="2147"/>
      <c r="P4" s="4996" t="s">
        <v>1682</v>
      </c>
      <c r="Q4" s="4997"/>
      <c r="R4" s="4885" t="s">
        <v>1678</v>
      </c>
      <c r="S4" s="4886"/>
      <c r="T4" s="4885" t="s">
        <v>1679</v>
      </c>
      <c r="U4" s="4886"/>
      <c r="V4" s="4966" t="s">
        <v>1680</v>
      </c>
      <c r="W4" s="4966"/>
      <c r="X4" s="963"/>
      <c r="Y4" s="4885" t="s">
        <v>1682</v>
      </c>
      <c r="Z4" s="4886"/>
      <c r="AA4" s="4851" t="s">
        <v>1678</v>
      </c>
      <c r="AB4" s="4852" t="s">
        <v>1679</v>
      </c>
      <c r="AC4" s="4851" t="s">
        <v>1680</v>
      </c>
    </row>
    <row r="5" spans="1:29" ht="15">
      <c r="A5" s="244"/>
      <c r="B5" s="245"/>
      <c r="C5" s="4972" t="s">
        <v>1580</v>
      </c>
      <c r="D5" s="4973"/>
      <c r="E5" s="4970" t="s">
        <v>1581</v>
      </c>
      <c r="F5" s="4971"/>
      <c r="G5" s="4972" t="s">
        <v>1582</v>
      </c>
      <c r="H5" s="4973"/>
      <c r="I5" s="4972" t="s">
        <v>1583</v>
      </c>
      <c r="J5" s="4973"/>
      <c r="K5" s="406"/>
      <c r="L5" s="2146"/>
      <c r="M5" s="2147"/>
      <c r="N5" s="2147"/>
      <c r="O5" s="2147"/>
      <c r="P5" s="4998"/>
      <c r="Q5" s="4999"/>
      <c r="R5" s="4887"/>
      <c r="S5" s="4888"/>
      <c r="T5" s="4887"/>
      <c r="U5" s="4888"/>
      <c r="V5" s="4966"/>
      <c r="W5" s="4966"/>
      <c r="X5" s="963"/>
      <c r="Y5" s="4887"/>
      <c r="Z5" s="4888"/>
      <c r="AA5" s="4852"/>
      <c r="AB5" s="4852"/>
      <c r="AC5" s="4852"/>
    </row>
    <row r="6" spans="1:29" ht="15.75" thickBot="1">
      <c r="A6" s="246"/>
      <c r="B6" s="247"/>
      <c r="C6" s="4974" t="s">
        <v>1584</v>
      </c>
      <c r="D6" s="4975"/>
      <c r="E6" s="4976" t="s">
        <v>1584</v>
      </c>
      <c r="F6" s="4977"/>
      <c r="G6" s="4974" t="s">
        <v>1584</v>
      </c>
      <c r="H6" s="4975"/>
      <c r="I6" s="4974" t="s">
        <v>1584</v>
      </c>
      <c r="J6" s="4975"/>
      <c r="K6" s="406" t="s">
        <v>1585</v>
      </c>
      <c r="L6" s="2146"/>
      <c r="M6" s="2147"/>
      <c r="N6" s="2147"/>
      <c r="O6" s="2147"/>
      <c r="P6" s="5000"/>
      <c r="Q6" s="5001"/>
      <c r="R6" s="4887"/>
      <c r="S6" s="4888"/>
      <c r="T6" s="4889"/>
      <c r="U6" s="4890"/>
      <c r="V6" s="4966"/>
      <c r="W6" s="4966"/>
      <c r="X6" s="963"/>
      <c r="Y6" s="4889"/>
      <c r="Z6" s="4890"/>
      <c r="AA6" s="4853"/>
      <c r="AB6" s="4853"/>
      <c r="AC6" s="4853"/>
    </row>
    <row r="7" spans="1:29" s="49" customFormat="1" ht="15.75" thickBot="1">
      <c r="A7" s="248" t="s">
        <v>1586</v>
      </c>
      <c r="B7" s="249"/>
      <c r="C7" s="250">
        <f>'数据-取费表'!B2</f>
        <v>46087</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854" t="s">
        <v>1587</v>
      </c>
      <c r="Q7" s="5002"/>
      <c r="R7" s="4082" t="s">
        <v>13</v>
      </c>
      <c r="S7" s="4085">
        <f t="shared" ref="S7:S14" si="0">F7</f>
        <v>0</v>
      </c>
      <c r="T7" s="4082" t="s">
        <v>13</v>
      </c>
      <c r="U7" s="4085">
        <f t="shared" ref="U7:U14" si="1">H7</f>
        <v>0</v>
      </c>
      <c r="V7" s="4082" t="s">
        <v>13</v>
      </c>
      <c r="W7" s="4085">
        <f t="shared" ref="W7:W14" si="2">J7</f>
        <v>0</v>
      </c>
      <c r="X7" s="504"/>
      <c r="Y7" s="4854" t="s">
        <v>1587</v>
      </c>
      <c r="Z7" s="4855"/>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854" t="s">
        <v>1590</v>
      </c>
      <c r="Q8" s="4855"/>
      <c r="R8" s="4082" t="s">
        <v>13</v>
      </c>
      <c r="S8" s="4085">
        <f t="shared" si="0"/>
        <v>100</v>
      </c>
      <c r="T8" s="4082" t="s">
        <v>13</v>
      </c>
      <c r="U8" s="4085">
        <f t="shared" si="1"/>
        <v>100</v>
      </c>
      <c r="V8" s="4082" t="s">
        <v>13</v>
      </c>
      <c r="W8" s="4085">
        <f t="shared" si="2"/>
        <v>100</v>
      </c>
      <c r="X8" s="504"/>
      <c r="Y8" s="4854" t="s">
        <v>1590</v>
      </c>
      <c r="Z8" s="4855"/>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906" t="s">
        <v>1593</v>
      </c>
      <c r="Q9" s="952" t="str">
        <f t="shared" ref="Q9:Q14" si="6">B9</f>
        <v>用途</v>
      </c>
      <c r="R9" s="4082" t="s">
        <v>13</v>
      </c>
      <c r="S9" s="4085">
        <f t="shared" si="0"/>
        <v>100</v>
      </c>
      <c r="T9" s="4082" t="s">
        <v>13</v>
      </c>
      <c r="U9" s="4085">
        <f t="shared" si="1"/>
        <v>100</v>
      </c>
      <c r="V9" s="4082" t="s">
        <v>13</v>
      </c>
      <c r="W9" s="4085">
        <f t="shared" si="2"/>
        <v>100</v>
      </c>
      <c r="X9" s="504"/>
      <c r="Y9" s="4869"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906"/>
      <c r="Q10" s="952" t="str">
        <f t="shared" si="6"/>
        <v>土地使用年限（年）</v>
      </c>
      <c r="R10" s="4082" t="s">
        <v>13</v>
      </c>
      <c r="S10" s="4085">
        <f t="shared" si="0"/>
        <v>100</v>
      </c>
      <c r="T10" s="4082" t="s">
        <v>13</v>
      </c>
      <c r="U10" s="4085">
        <f t="shared" si="1"/>
        <v>100</v>
      </c>
      <c r="V10" s="4082" t="s">
        <v>13</v>
      </c>
      <c r="W10" s="4085">
        <f t="shared" si="2"/>
        <v>100</v>
      </c>
      <c r="X10" s="504"/>
      <c r="Y10" s="4869"/>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906"/>
      <c r="Q11" s="952">
        <f t="shared" si="6"/>
        <v>111</v>
      </c>
      <c r="R11" s="4082" t="s">
        <v>13</v>
      </c>
      <c r="S11" s="4085">
        <f t="shared" si="0"/>
        <v>100</v>
      </c>
      <c r="T11" s="4082" t="s">
        <v>13</v>
      </c>
      <c r="U11" s="4085">
        <f t="shared" si="1"/>
        <v>100</v>
      </c>
      <c r="V11" s="4082" t="s">
        <v>13</v>
      </c>
      <c r="W11" s="4085">
        <f t="shared" si="2"/>
        <v>100</v>
      </c>
      <c r="X11" s="504"/>
      <c r="Y11" s="4869"/>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906"/>
      <c r="Q12" s="952">
        <f t="shared" si="6"/>
        <v>111</v>
      </c>
      <c r="R12" s="4082" t="s">
        <v>13</v>
      </c>
      <c r="S12" s="4085">
        <f t="shared" si="0"/>
        <v>100</v>
      </c>
      <c r="T12" s="4082" t="s">
        <v>13</v>
      </c>
      <c r="U12" s="4085">
        <f t="shared" si="1"/>
        <v>100</v>
      </c>
      <c r="V12" s="4082" t="s">
        <v>13</v>
      </c>
      <c r="W12" s="4085">
        <f t="shared" si="2"/>
        <v>100</v>
      </c>
      <c r="X12" s="504"/>
      <c r="Y12" s="4869"/>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906"/>
      <c r="Q13" s="952">
        <f t="shared" si="6"/>
        <v>111</v>
      </c>
      <c r="R13" s="4082" t="s">
        <v>13</v>
      </c>
      <c r="S13" s="4085">
        <f t="shared" si="0"/>
        <v>100</v>
      </c>
      <c r="T13" s="4082" t="s">
        <v>13</v>
      </c>
      <c r="U13" s="4085">
        <f t="shared" si="1"/>
        <v>100</v>
      </c>
      <c r="V13" s="4082" t="s">
        <v>13</v>
      </c>
      <c r="W13" s="4085">
        <f t="shared" si="2"/>
        <v>100</v>
      </c>
      <c r="X13" s="504"/>
      <c r="Y13" s="4869"/>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94" t="s">
        <v>1598</v>
      </c>
      <c r="Q14" s="960" t="str">
        <f t="shared" si="6"/>
        <v>交通便捷度</v>
      </c>
      <c r="R14" s="4083" t="s">
        <v>13</v>
      </c>
      <c r="S14" s="4086">
        <f t="shared" si="0"/>
        <v>100</v>
      </c>
      <c r="T14" s="4083" t="s">
        <v>13</v>
      </c>
      <c r="U14" s="4086">
        <f t="shared" si="1"/>
        <v>100</v>
      </c>
      <c r="V14" s="4083" t="s">
        <v>13</v>
      </c>
      <c r="W14" s="4086">
        <f t="shared" si="2"/>
        <v>100</v>
      </c>
      <c r="X14" s="963"/>
      <c r="Y14" s="4894"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95"/>
      <c r="Q15" s="960"/>
      <c r="R15" s="4083"/>
      <c r="S15" s="4086"/>
      <c r="T15" s="4083"/>
      <c r="U15" s="4086"/>
      <c r="V15" s="4083"/>
      <c r="W15" s="4086"/>
      <c r="X15" s="963"/>
      <c r="Y15" s="4895"/>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95"/>
      <c r="Q16" s="960" t="str">
        <f>B16</f>
        <v>公共配套设施</v>
      </c>
      <c r="R16" s="4083" t="s">
        <v>13</v>
      </c>
      <c r="S16" s="4086">
        <f>F16</f>
        <v>100</v>
      </c>
      <c r="T16" s="4083" t="s">
        <v>13</v>
      </c>
      <c r="U16" s="4086">
        <f>H16</f>
        <v>100</v>
      </c>
      <c r="V16" s="4083" t="s">
        <v>13</v>
      </c>
      <c r="W16" s="4086">
        <f>J16</f>
        <v>100</v>
      </c>
      <c r="X16" s="963"/>
      <c r="Y16" s="4895"/>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95"/>
      <c r="Q17" s="960"/>
      <c r="R17" s="4083"/>
      <c r="S17" s="4086"/>
      <c r="T17" s="4083"/>
      <c r="U17" s="4086"/>
      <c r="V17" s="4083"/>
      <c r="W17" s="4086"/>
      <c r="X17" s="963"/>
      <c r="Y17" s="4895"/>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95"/>
      <c r="Q18" s="960" t="str">
        <f>B18</f>
        <v>基础设施水平</v>
      </c>
      <c r="R18" s="4083" t="s">
        <v>13</v>
      </c>
      <c r="S18" s="4086">
        <f>F18</f>
        <v>100</v>
      </c>
      <c r="T18" s="4083" t="s">
        <v>13</v>
      </c>
      <c r="U18" s="4086">
        <f>H18</f>
        <v>100</v>
      </c>
      <c r="V18" s="4083" t="s">
        <v>13</v>
      </c>
      <c r="W18" s="4086">
        <f>J18</f>
        <v>100</v>
      </c>
      <c r="X18" s="963"/>
      <c r="Y18" s="489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95"/>
      <c r="Q19" s="960"/>
      <c r="R19" s="4083"/>
      <c r="S19" s="4086"/>
      <c r="T19" s="4083"/>
      <c r="U19" s="4086"/>
      <c r="V19" s="4083"/>
      <c r="W19" s="4086"/>
      <c r="X19" s="963"/>
      <c r="Y19" s="4895"/>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95"/>
      <c r="Q20" s="960" t="str">
        <f>B20</f>
        <v>自然及人文环境</v>
      </c>
      <c r="R20" s="4083" t="s">
        <v>13</v>
      </c>
      <c r="S20" s="4086">
        <f>F20</f>
        <v>100</v>
      </c>
      <c r="T20" s="4083" t="s">
        <v>13</v>
      </c>
      <c r="U20" s="4086">
        <f>H20</f>
        <v>100</v>
      </c>
      <c r="V20" s="4083" t="s">
        <v>13</v>
      </c>
      <c r="W20" s="4086">
        <f>J20</f>
        <v>100</v>
      </c>
      <c r="X20" s="963"/>
      <c r="Y20" s="4895"/>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95"/>
      <c r="Q21" s="960"/>
      <c r="R21" s="4083"/>
      <c r="S21" s="4086"/>
      <c r="T21" s="4083"/>
      <c r="U21" s="4086"/>
      <c r="V21" s="4083"/>
      <c r="W21" s="4086"/>
      <c r="X21" s="963"/>
      <c r="Y21" s="4895"/>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95"/>
      <c r="Q22" s="960" t="str">
        <f>B22</f>
        <v>楼层</v>
      </c>
      <c r="R22" s="4083" t="s">
        <v>13</v>
      </c>
      <c r="S22" s="4086">
        <f>F22</f>
        <v>100</v>
      </c>
      <c r="T22" s="4083" t="s">
        <v>13</v>
      </c>
      <c r="U22" s="4086">
        <f>H22</f>
        <v>100</v>
      </c>
      <c r="V22" s="4083" t="s">
        <v>13</v>
      </c>
      <c r="W22" s="4086">
        <f>J22</f>
        <v>100</v>
      </c>
      <c r="X22" s="963"/>
      <c r="Y22" s="4895"/>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95"/>
      <c r="Q23" s="960">
        <f>B23</f>
        <v>111</v>
      </c>
      <c r="R23" s="4083" t="s">
        <v>13</v>
      </c>
      <c r="S23" s="4086">
        <f>F23</f>
        <v>100</v>
      </c>
      <c r="T23" s="4083" t="s">
        <v>13</v>
      </c>
      <c r="U23" s="4086">
        <f>H23</f>
        <v>100</v>
      </c>
      <c r="V23" s="4083" t="s">
        <v>13</v>
      </c>
      <c r="W23" s="4086">
        <f>J23</f>
        <v>100</v>
      </c>
      <c r="X23" s="963"/>
      <c r="Y23" s="4895"/>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95"/>
      <c r="Q24" s="960">
        <f t="shared" ref="Q24:Q36" si="11">B24</f>
        <v>111</v>
      </c>
      <c r="R24" s="4083" t="s">
        <v>13</v>
      </c>
      <c r="S24" s="4086">
        <f>F24</f>
        <v>100</v>
      </c>
      <c r="T24" s="4083" t="s">
        <v>13</v>
      </c>
      <c r="U24" s="4086">
        <f>H24</f>
        <v>100</v>
      </c>
      <c r="V24" s="4083" t="s">
        <v>13</v>
      </c>
      <c r="W24" s="4086">
        <f>J24</f>
        <v>100</v>
      </c>
      <c r="X24" s="963"/>
      <c r="Y24" s="4895"/>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95"/>
      <c r="Q25" s="952">
        <f t="shared" si="11"/>
        <v>111</v>
      </c>
      <c r="R25" s="4082" t="s">
        <v>13</v>
      </c>
      <c r="S25" s="4085">
        <f>F25</f>
        <v>100</v>
      </c>
      <c r="T25" s="4082" t="s">
        <v>13</v>
      </c>
      <c r="U25" s="4085">
        <f>H25</f>
        <v>100</v>
      </c>
      <c r="V25" s="4082" t="s">
        <v>13</v>
      </c>
      <c r="W25" s="4085">
        <f>J25</f>
        <v>100</v>
      </c>
      <c r="X25" s="504"/>
      <c r="Y25" s="4895"/>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5003"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98"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98"/>
      <c r="Q27" s="506" t="str">
        <f t="shared" si="11"/>
        <v>项目停车位配比</v>
      </c>
      <c r="R27" s="4084" t="s">
        <v>13</v>
      </c>
      <c r="S27" s="4087">
        <f t="shared" si="12"/>
        <v>100</v>
      </c>
      <c r="T27" s="4084" t="s">
        <v>13</v>
      </c>
      <c r="U27" s="4087">
        <f t="shared" si="13"/>
        <v>100</v>
      </c>
      <c r="V27" s="4084" t="s">
        <v>13</v>
      </c>
      <c r="W27" s="4087">
        <f t="shared" si="14"/>
        <v>100</v>
      </c>
      <c r="X27" s="507"/>
      <c r="Y27" s="4898"/>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98"/>
      <c r="Q28" s="960" t="str">
        <f t="shared" si="11"/>
        <v>公共部分装修</v>
      </c>
      <c r="R28" s="4083" t="s">
        <v>13</v>
      </c>
      <c r="S28" s="4086">
        <f t="shared" si="12"/>
        <v>100</v>
      </c>
      <c r="T28" s="4083" t="s">
        <v>13</v>
      </c>
      <c r="U28" s="4086">
        <f t="shared" si="13"/>
        <v>100</v>
      </c>
      <c r="V28" s="4083" t="s">
        <v>13</v>
      </c>
      <c r="W28" s="4086">
        <f t="shared" si="14"/>
        <v>100</v>
      </c>
      <c r="X28" s="963"/>
      <c r="Y28" s="4898"/>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98"/>
      <c r="Q29" s="960" t="str">
        <f t="shared" si="11"/>
        <v>成新率</v>
      </c>
      <c r="R29" s="4083" t="s">
        <v>13</v>
      </c>
      <c r="S29" s="4086" t="e">
        <f t="shared" si="12"/>
        <v>#N/A</v>
      </c>
      <c r="T29" s="4083" t="s">
        <v>13</v>
      </c>
      <c r="U29" s="4086" t="e">
        <f t="shared" si="13"/>
        <v>#N/A</v>
      </c>
      <c r="V29" s="4083" t="s">
        <v>13</v>
      </c>
      <c r="W29" s="4086" t="e">
        <f t="shared" si="14"/>
        <v>#N/A</v>
      </c>
      <c r="X29" s="963"/>
      <c r="Y29" s="4898"/>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98"/>
      <c r="Q30" s="960" t="str">
        <f t="shared" si="11"/>
        <v>物业等级</v>
      </c>
      <c r="R30" s="4083" t="s">
        <v>13</v>
      </c>
      <c r="S30" s="4086">
        <f t="shared" si="12"/>
        <v>100</v>
      </c>
      <c r="T30" s="4083" t="s">
        <v>13</v>
      </c>
      <c r="U30" s="4086">
        <f t="shared" si="13"/>
        <v>100</v>
      </c>
      <c r="V30" s="4083" t="s">
        <v>13</v>
      </c>
      <c r="W30" s="4086">
        <f t="shared" si="14"/>
        <v>100</v>
      </c>
      <c r="X30" s="963"/>
      <c r="Y30" s="4898"/>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98"/>
      <c r="Q31" s="952" t="str">
        <f t="shared" si="11"/>
        <v>停车位面积</v>
      </c>
      <c r="R31" s="4082" t="s">
        <v>13</v>
      </c>
      <c r="S31" s="4085" t="e">
        <f t="shared" si="12"/>
        <v>#N/A</v>
      </c>
      <c r="T31" s="4082" t="s">
        <v>13</v>
      </c>
      <c r="U31" s="4085" t="e">
        <f t="shared" si="13"/>
        <v>#N/A</v>
      </c>
      <c r="V31" s="4082" t="s">
        <v>13</v>
      </c>
      <c r="W31" s="4085" t="e">
        <f t="shared" si="14"/>
        <v>#N/A</v>
      </c>
      <c r="X31" s="504"/>
      <c r="Y31" s="4898"/>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98" t="s">
        <v>1603</v>
      </c>
      <c r="Q32" s="960" t="str">
        <f t="shared" si="11"/>
        <v>车位类型</v>
      </c>
      <c r="R32" s="4083" t="s">
        <v>13</v>
      </c>
      <c r="S32" s="4086">
        <f t="shared" si="12"/>
        <v>100</v>
      </c>
      <c r="T32" s="4083" t="s">
        <v>13</v>
      </c>
      <c r="U32" s="4086">
        <f t="shared" si="13"/>
        <v>100</v>
      </c>
      <c r="V32" s="4083" t="s">
        <v>13</v>
      </c>
      <c r="W32" s="4086">
        <f t="shared" si="14"/>
        <v>100</v>
      </c>
      <c r="X32" s="963"/>
      <c r="Y32" s="4898"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98"/>
      <c r="Q33" s="960" t="str">
        <f t="shared" si="11"/>
        <v>是否直接入户</v>
      </c>
      <c r="R33" s="4083" t="s">
        <v>13</v>
      </c>
      <c r="S33" s="4086">
        <f t="shared" si="12"/>
        <v>100</v>
      </c>
      <c r="T33" s="4083" t="s">
        <v>13</v>
      </c>
      <c r="U33" s="4086">
        <f t="shared" si="13"/>
        <v>100</v>
      </c>
      <c r="V33" s="4083" t="s">
        <v>13</v>
      </c>
      <c r="W33" s="4086">
        <f t="shared" si="14"/>
        <v>100</v>
      </c>
      <c r="X33" s="963"/>
      <c r="Y33" s="4898"/>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98"/>
      <c r="Q34" s="960">
        <f t="shared" si="11"/>
        <v>111</v>
      </c>
      <c r="R34" s="4083" t="s">
        <v>13</v>
      </c>
      <c r="S34" s="4086">
        <f t="shared" si="12"/>
        <v>100</v>
      </c>
      <c r="T34" s="4083" t="s">
        <v>13</v>
      </c>
      <c r="U34" s="4086">
        <f t="shared" si="13"/>
        <v>100</v>
      </c>
      <c r="V34" s="4083" t="s">
        <v>13</v>
      </c>
      <c r="W34" s="4086">
        <f t="shared" si="14"/>
        <v>100</v>
      </c>
      <c r="X34" s="963"/>
      <c r="Y34" s="4898"/>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98"/>
      <c r="Q35" s="506">
        <f t="shared" si="11"/>
        <v>111</v>
      </c>
      <c r="R35" s="4084" t="s">
        <v>13</v>
      </c>
      <c r="S35" s="4087">
        <f t="shared" si="12"/>
        <v>100</v>
      </c>
      <c r="T35" s="4084" t="s">
        <v>13</v>
      </c>
      <c r="U35" s="4087">
        <f t="shared" si="13"/>
        <v>100</v>
      </c>
      <c r="V35" s="4084" t="s">
        <v>13</v>
      </c>
      <c r="W35" s="4087">
        <f t="shared" si="14"/>
        <v>100</v>
      </c>
      <c r="X35" s="507"/>
      <c r="Y35" s="4898"/>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98"/>
      <c r="Q36" s="960">
        <f t="shared" si="11"/>
        <v>111</v>
      </c>
      <c r="R36" s="4083" t="s">
        <v>13</v>
      </c>
      <c r="S36" s="4086">
        <f t="shared" si="12"/>
        <v>100</v>
      </c>
      <c r="T36" s="4083" t="s">
        <v>13</v>
      </c>
      <c r="U36" s="4086">
        <f t="shared" si="13"/>
        <v>100</v>
      </c>
      <c r="V36" s="4083" t="s">
        <v>13</v>
      </c>
      <c r="W36" s="4086">
        <f t="shared" si="14"/>
        <v>100</v>
      </c>
      <c r="X36" s="963"/>
      <c r="Y36" s="4898"/>
      <c r="Z36" s="964">
        <f t="shared" si="15"/>
        <v>111</v>
      </c>
      <c r="AA36" s="961">
        <f t="shared" si="3"/>
        <v>1</v>
      </c>
      <c r="AB36" s="961">
        <f t="shared" si="4"/>
        <v>1</v>
      </c>
      <c r="AC36" s="961">
        <f t="shared" si="5"/>
        <v>1</v>
      </c>
    </row>
    <row r="37" spans="1:29" ht="15">
      <c r="A37" s="292" t="s">
        <v>1751</v>
      </c>
      <c r="B37" s="1532" t="s">
        <v>3239</v>
      </c>
      <c r="C37" s="808" t="s">
        <v>0</v>
      </c>
      <c r="D37" s="809"/>
      <c r="E37" s="3458"/>
      <c r="F37" s="3460"/>
      <c r="G37" s="3459"/>
      <c r="H37" s="3461"/>
      <c r="I37" s="3458"/>
      <c r="J37" s="3461"/>
      <c r="K37" s="3462"/>
      <c r="L37" s="2155"/>
      <c r="M37" s="2156"/>
      <c r="N37" s="2147"/>
      <c r="O37" s="2156"/>
      <c r="P37" s="4906" t="str">
        <f>A37</f>
        <v>成交单价</v>
      </c>
      <c r="Q37" s="4906"/>
      <c r="R37" s="4966">
        <f>E37</f>
        <v>0</v>
      </c>
      <c r="S37" s="4966"/>
      <c r="T37" s="4966">
        <f>G37</f>
        <v>0</v>
      </c>
      <c r="U37" s="4966"/>
      <c r="V37" s="4966">
        <f>I37</f>
        <v>0</v>
      </c>
      <c r="W37" s="4966"/>
      <c r="X37" s="493"/>
      <c r="Y37" s="509"/>
      <c r="Z37" s="493"/>
      <c r="AA37" s="493"/>
      <c r="AB37" s="493"/>
      <c r="AC37" s="493"/>
    </row>
    <row r="38" spans="1:29" ht="15.75" thickBot="1">
      <c r="A38" s="295" t="s">
        <v>1752</v>
      </c>
      <c r="B38" s="296" t="str">
        <f>B37</f>
        <v>元/平方米</v>
      </c>
      <c r="C38" s="4040" t="e">
        <f>R39</f>
        <v>#DIV/0!</v>
      </c>
      <c r="D38" s="4197" t="s">
        <v>2041</v>
      </c>
      <c r="E38" s="4051" t="e">
        <f>R38</f>
        <v>#DIV/0!</v>
      </c>
      <c r="F38" s="3042"/>
      <c r="G38" s="4040" t="e">
        <f>T38</f>
        <v>#DIV/0!</v>
      </c>
      <c r="H38" s="3042"/>
      <c r="I38" s="4051" t="e">
        <f>V38</f>
        <v>#DIV/0!</v>
      </c>
      <c r="J38" s="3042"/>
      <c r="K38" s="3097">
        <f>F38+H38+J38</f>
        <v>0</v>
      </c>
      <c r="L38" s="2155"/>
      <c r="M38" s="2156"/>
      <c r="N38" s="2156"/>
      <c r="O38" s="2156"/>
      <c r="P38" s="4906" t="str">
        <f>A38</f>
        <v>比较价值（元/平方米）</v>
      </c>
      <c r="Q38" s="4906"/>
      <c r="R38" s="4966" t="e">
        <f>IF(F1="售价",ROUND(PRODUCT(R37,AA7:AA36),0),ROUND(PRODUCT(R37,AA7:AA36),1))</f>
        <v>#DIV/0!</v>
      </c>
      <c r="S38" s="4966"/>
      <c r="T38" s="4966" t="e">
        <f>IF(F1="售价",ROUND(PRODUCT(T37,AB7:AB36),0),ROUND(PRODUCT(T37,AB7:AB36),1))</f>
        <v>#DIV/0!</v>
      </c>
      <c r="U38" s="4966"/>
      <c r="V38" s="4966" t="e">
        <f>IF(F1="售价",ROUND(PRODUCT(V37,AC7:AC36),0),ROUND(PRODUCT(V37,AC7:AC36),1))</f>
        <v>#DIV/0!</v>
      </c>
      <c r="W38" s="4966"/>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5004" t="str">
        <f>A39</f>
        <v>估价对象XX用房的比较价值（楼面单价，元/平方米）</v>
      </c>
      <c r="Q39" s="5005"/>
      <c r="R39" s="5006" t="e">
        <f>IF(F1="售价",ROUND(IF(D38="简单平均",AVERAGE(R38:W38),R38*F38+T38*H38+V38*J38),0),ROUND(IF(D38="简单平均",AVERAGE(R38:V38),R38*F38+T38*H38+V38*J38),1))</f>
        <v>#DIV/0!</v>
      </c>
      <c r="S39" s="5006"/>
      <c r="T39" s="5006"/>
      <c r="U39" s="5006"/>
      <c r="V39" s="5006"/>
      <c r="W39" s="5006"/>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3475</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03" t="s">
        <v>1677</v>
      </c>
      <c r="D4" s="4981"/>
      <c r="E4" s="4982" t="s">
        <v>1678</v>
      </c>
      <c r="F4" s="4983"/>
      <c r="G4" s="4903" t="s">
        <v>1679</v>
      </c>
      <c r="H4" s="4981"/>
      <c r="I4" s="4903" t="s">
        <v>1680</v>
      </c>
      <c r="J4" s="4981"/>
      <c r="K4" s="406" t="s">
        <v>1681</v>
      </c>
      <c r="L4" s="2146"/>
      <c r="M4" s="2147"/>
      <c r="N4" s="2147"/>
      <c r="O4" s="2147"/>
      <c r="P4" s="4996" t="s">
        <v>1682</v>
      </c>
      <c r="Q4" s="4997"/>
      <c r="R4" s="4885" t="s">
        <v>1678</v>
      </c>
      <c r="S4" s="4886"/>
      <c r="T4" s="4885" t="s">
        <v>1679</v>
      </c>
      <c r="U4" s="4886"/>
      <c r="V4" s="4966" t="s">
        <v>1680</v>
      </c>
      <c r="W4" s="4966"/>
      <c r="X4" s="963"/>
      <c r="Y4" s="4885" t="s">
        <v>1682</v>
      </c>
      <c r="Z4" s="4886"/>
      <c r="AA4" s="4851" t="s">
        <v>1678</v>
      </c>
      <c r="AB4" s="4852" t="s">
        <v>1679</v>
      </c>
      <c r="AC4" s="4851" t="s">
        <v>1680</v>
      </c>
    </row>
    <row r="5" spans="1:29" ht="15">
      <c r="A5" s="244"/>
      <c r="B5" s="245"/>
      <c r="C5" s="4972" t="s">
        <v>1580</v>
      </c>
      <c r="D5" s="4973"/>
      <c r="E5" s="4970" t="s">
        <v>1581</v>
      </c>
      <c r="F5" s="4971"/>
      <c r="G5" s="4972" t="s">
        <v>1582</v>
      </c>
      <c r="H5" s="4973"/>
      <c r="I5" s="4972" t="s">
        <v>1583</v>
      </c>
      <c r="J5" s="4973"/>
      <c r="K5" s="406"/>
      <c r="L5" s="2146"/>
      <c r="M5" s="2147"/>
      <c r="N5" s="2147"/>
      <c r="O5" s="2147"/>
      <c r="P5" s="4998"/>
      <c r="Q5" s="4999"/>
      <c r="R5" s="4887"/>
      <c r="S5" s="4888"/>
      <c r="T5" s="4887"/>
      <c r="U5" s="4888"/>
      <c r="V5" s="4966"/>
      <c r="W5" s="4966"/>
      <c r="X5" s="963"/>
      <c r="Y5" s="4887"/>
      <c r="Z5" s="4888"/>
      <c r="AA5" s="4852"/>
      <c r="AB5" s="4852"/>
      <c r="AC5" s="4852"/>
    </row>
    <row r="6" spans="1:29" ht="15.75" thickBot="1">
      <c r="A6" s="246"/>
      <c r="B6" s="247"/>
      <c r="C6" s="4974" t="s">
        <v>1584</v>
      </c>
      <c r="D6" s="4975"/>
      <c r="E6" s="4976" t="s">
        <v>1584</v>
      </c>
      <c r="F6" s="4977"/>
      <c r="G6" s="4974" t="s">
        <v>1584</v>
      </c>
      <c r="H6" s="4975"/>
      <c r="I6" s="4974" t="s">
        <v>1584</v>
      </c>
      <c r="J6" s="4975"/>
      <c r="K6" s="406" t="s">
        <v>1585</v>
      </c>
      <c r="L6" s="2146"/>
      <c r="M6" s="2147"/>
      <c r="N6" s="2147"/>
      <c r="O6" s="2147"/>
      <c r="P6" s="5000"/>
      <c r="Q6" s="5001"/>
      <c r="R6" s="4887"/>
      <c r="S6" s="4888"/>
      <c r="T6" s="4889"/>
      <c r="U6" s="4890"/>
      <c r="V6" s="4966"/>
      <c r="W6" s="4966"/>
      <c r="X6" s="963"/>
      <c r="Y6" s="4889"/>
      <c r="Z6" s="4890"/>
      <c r="AA6" s="4853"/>
      <c r="AB6" s="4853"/>
      <c r="AC6" s="4853"/>
    </row>
    <row r="7" spans="1:29" s="49" customFormat="1" ht="15.75" thickBot="1">
      <c r="A7" s="248" t="s">
        <v>1586</v>
      </c>
      <c r="B7" s="249"/>
      <c r="C7" s="250">
        <f>'数据-取费表'!B2</f>
        <v>46087</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854" t="s">
        <v>1587</v>
      </c>
      <c r="Q7" s="5002"/>
      <c r="R7" s="4082" t="s">
        <v>13</v>
      </c>
      <c r="S7" s="4085">
        <f t="shared" ref="S7:S14" si="0">F7</f>
        <v>0</v>
      </c>
      <c r="T7" s="4082" t="s">
        <v>13</v>
      </c>
      <c r="U7" s="4085">
        <f t="shared" ref="U7:U14" si="1">H7</f>
        <v>0</v>
      </c>
      <c r="V7" s="4082" t="s">
        <v>13</v>
      </c>
      <c r="W7" s="4085">
        <f t="shared" ref="W7:W14" si="2">J7</f>
        <v>0</v>
      </c>
      <c r="X7" s="504"/>
      <c r="Y7" s="4854" t="s">
        <v>1587</v>
      </c>
      <c r="Z7" s="4855"/>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854" t="s">
        <v>1590</v>
      </c>
      <c r="Q8" s="4855"/>
      <c r="R8" s="4082" t="s">
        <v>13</v>
      </c>
      <c r="S8" s="4085">
        <f t="shared" si="0"/>
        <v>100</v>
      </c>
      <c r="T8" s="4082" t="s">
        <v>13</v>
      </c>
      <c r="U8" s="4085">
        <f t="shared" si="1"/>
        <v>100</v>
      </c>
      <c r="V8" s="4082" t="s">
        <v>13</v>
      </c>
      <c r="W8" s="4085">
        <f t="shared" si="2"/>
        <v>100</v>
      </c>
      <c r="X8" s="504"/>
      <c r="Y8" s="4854" t="s">
        <v>1590</v>
      </c>
      <c r="Z8" s="4855"/>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906" t="s">
        <v>1593</v>
      </c>
      <c r="Q9" s="952" t="str">
        <f t="shared" ref="Q9:Q14" si="6">B9</f>
        <v>用途</v>
      </c>
      <c r="R9" s="4082" t="s">
        <v>13</v>
      </c>
      <c r="S9" s="4085">
        <f t="shared" si="0"/>
        <v>100</v>
      </c>
      <c r="T9" s="4082" t="s">
        <v>13</v>
      </c>
      <c r="U9" s="4085">
        <f t="shared" si="1"/>
        <v>100</v>
      </c>
      <c r="V9" s="4082" t="s">
        <v>13</v>
      </c>
      <c r="W9" s="4085">
        <f t="shared" si="2"/>
        <v>100</v>
      </c>
      <c r="X9" s="504"/>
      <c r="Y9" s="4869"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906"/>
      <c r="Q10" s="952" t="str">
        <f t="shared" si="6"/>
        <v>土地使用年限（年）</v>
      </c>
      <c r="R10" s="4082" t="s">
        <v>13</v>
      </c>
      <c r="S10" s="4085">
        <f t="shared" si="0"/>
        <v>100</v>
      </c>
      <c r="T10" s="4082" t="s">
        <v>13</v>
      </c>
      <c r="U10" s="4085">
        <f t="shared" si="1"/>
        <v>100</v>
      </c>
      <c r="V10" s="4082" t="s">
        <v>13</v>
      </c>
      <c r="W10" s="4085">
        <f t="shared" si="2"/>
        <v>100</v>
      </c>
      <c r="X10" s="504"/>
      <c r="Y10" s="4869"/>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906"/>
      <c r="Q11" s="952">
        <f t="shared" si="6"/>
        <v>111</v>
      </c>
      <c r="R11" s="4082" t="s">
        <v>13</v>
      </c>
      <c r="S11" s="4085">
        <f t="shared" si="0"/>
        <v>100</v>
      </c>
      <c r="T11" s="4082" t="s">
        <v>13</v>
      </c>
      <c r="U11" s="4085">
        <f t="shared" si="1"/>
        <v>100</v>
      </c>
      <c r="V11" s="4082" t="s">
        <v>13</v>
      </c>
      <c r="W11" s="4085">
        <f t="shared" si="2"/>
        <v>100</v>
      </c>
      <c r="X11" s="504"/>
      <c r="Y11" s="4869"/>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906"/>
      <c r="Q12" s="952">
        <f t="shared" si="6"/>
        <v>111</v>
      </c>
      <c r="R12" s="4082" t="s">
        <v>13</v>
      </c>
      <c r="S12" s="4085">
        <f t="shared" si="0"/>
        <v>100</v>
      </c>
      <c r="T12" s="4082" t="s">
        <v>13</v>
      </c>
      <c r="U12" s="4085">
        <f t="shared" si="1"/>
        <v>100</v>
      </c>
      <c r="V12" s="4082" t="s">
        <v>13</v>
      </c>
      <c r="W12" s="4085">
        <f t="shared" si="2"/>
        <v>100</v>
      </c>
      <c r="X12" s="504"/>
      <c r="Y12" s="4869"/>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906"/>
      <c r="Q13" s="952">
        <f t="shared" si="6"/>
        <v>111</v>
      </c>
      <c r="R13" s="4082" t="s">
        <v>13</v>
      </c>
      <c r="S13" s="4085">
        <f t="shared" si="0"/>
        <v>100</v>
      </c>
      <c r="T13" s="4082" t="s">
        <v>13</v>
      </c>
      <c r="U13" s="4085">
        <f t="shared" si="1"/>
        <v>100</v>
      </c>
      <c r="V13" s="4082" t="s">
        <v>13</v>
      </c>
      <c r="W13" s="4085">
        <f t="shared" si="2"/>
        <v>100</v>
      </c>
      <c r="X13" s="504"/>
      <c r="Y13" s="4869"/>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94" t="s">
        <v>1598</v>
      </c>
      <c r="Q14" s="960" t="str">
        <f t="shared" si="6"/>
        <v>交通便捷度</v>
      </c>
      <c r="R14" s="4083" t="s">
        <v>13</v>
      </c>
      <c r="S14" s="4086">
        <f t="shared" si="0"/>
        <v>100</v>
      </c>
      <c r="T14" s="4083" t="s">
        <v>13</v>
      </c>
      <c r="U14" s="4086">
        <f t="shared" si="1"/>
        <v>100</v>
      </c>
      <c r="V14" s="4083" t="s">
        <v>13</v>
      </c>
      <c r="W14" s="4086">
        <f t="shared" si="2"/>
        <v>100</v>
      </c>
      <c r="X14" s="963"/>
      <c r="Y14" s="4894"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95"/>
      <c r="Q15" s="960"/>
      <c r="R15" s="4083"/>
      <c r="S15" s="4086"/>
      <c r="T15" s="4083"/>
      <c r="U15" s="4086"/>
      <c r="V15" s="4083"/>
      <c r="W15" s="4086"/>
      <c r="X15" s="963"/>
      <c r="Y15" s="4895"/>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95"/>
      <c r="Q16" s="960" t="str">
        <f>B16</f>
        <v>公共配套设施</v>
      </c>
      <c r="R16" s="4083" t="s">
        <v>13</v>
      </c>
      <c r="S16" s="4086">
        <f>F16</f>
        <v>100</v>
      </c>
      <c r="T16" s="4083" t="s">
        <v>13</v>
      </c>
      <c r="U16" s="4086">
        <f>H16</f>
        <v>100</v>
      </c>
      <c r="V16" s="4083" t="s">
        <v>13</v>
      </c>
      <c r="W16" s="4086">
        <f>J16</f>
        <v>100</v>
      </c>
      <c r="X16" s="963"/>
      <c r="Y16" s="4895"/>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95"/>
      <c r="Q17" s="960"/>
      <c r="R17" s="4083"/>
      <c r="S17" s="4086"/>
      <c r="T17" s="4083"/>
      <c r="U17" s="4086"/>
      <c r="V17" s="4083"/>
      <c r="W17" s="4086"/>
      <c r="X17" s="963"/>
      <c r="Y17" s="4895"/>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95"/>
      <c r="Q18" s="960" t="str">
        <f>B18</f>
        <v>基础设施水平</v>
      </c>
      <c r="R18" s="4083" t="s">
        <v>13</v>
      </c>
      <c r="S18" s="4086">
        <f>F18</f>
        <v>100</v>
      </c>
      <c r="T18" s="4083" t="s">
        <v>13</v>
      </c>
      <c r="U18" s="4086">
        <f>H18</f>
        <v>100</v>
      </c>
      <c r="V18" s="4083" t="s">
        <v>13</v>
      </c>
      <c r="W18" s="4086">
        <f>J18</f>
        <v>100</v>
      </c>
      <c r="X18" s="963"/>
      <c r="Y18" s="489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95"/>
      <c r="Q19" s="960"/>
      <c r="R19" s="4083"/>
      <c r="S19" s="4086"/>
      <c r="T19" s="4083"/>
      <c r="U19" s="4086"/>
      <c r="V19" s="4083"/>
      <c r="W19" s="4086"/>
      <c r="X19" s="963"/>
      <c r="Y19" s="4895"/>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95"/>
      <c r="Q20" s="960" t="str">
        <f>B20</f>
        <v>自然及人文环境</v>
      </c>
      <c r="R20" s="4083" t="s">
        <v>13</v>
      </c>
      <c r="S20" s="4086">
        <f>F20</f>
        <v>100</v>
      </c>
      <c r="T20" s="4083" t="s">
        <v>13</v>
      </c>
      <c r="U20" s="4086">
        <f>H20</f>
        <v>100</v>
      </c>
      <c r="V20" s="4083" t="s">
        <v>13</v>
      </c>
      <c r="W20" s="4086">
        <f>J20</f>
        <v>100</v>
      </c>
      <c r="X20" s="963"/>
      <c r="Y20" s="4895"/>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95"/>
      <c r="Q21" s="960"/>
      <c r="R21" s="4083"/>
      <c r="S21" s="4086"/>
      <c r="T21" s="4083"/>
      <c r="U21" s="4086"/>
      <c r="V21" s="4083"/>
      <c r="W21" s="4086"/>
      <c r="X21" s="963"/>
      <c r="Y21" s="4895"/>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95"/>
      <c r="Q22" s="960" t="str">
        <f>B22</f>
        <v>楼层</v>
      </c>
      <c r="R22" s="4083" t="s">
        <v>13</v>
      </c>
      <c r="S22" s="4086">
        <f>F22</f>
        <v>100</v>
      </c>
      <c r="T22" s="4083" t="s">
        <v>13</v>
      </c>
      <c r="U22" s="4086">
        <f>H22</f>
        <v>100</v>
      </c>
      <c r="V22" s="4083" t="s">
        <v>13</v>
      </c>
      <c r="W22" s="4086">
        <f>J22</f>
        <v>100</v>
      </c>
      <c r="X22" s="963"/>
      <c r="Y22" s="4895"/>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95"/>
      <c r="Q23" s="960">
        <f>B23</f>
        <v>111</v>
      </c>
      <c r="R23" s="4083" t="s">
        <v>13</v>
      </c>
      <c r="S23" s="4086">
        <f>F23</f>
        <v>100</v>
      </c>
      <c r="T23" s="4083" t="s">
        <v>13</v>
      </c>
      <c r="U23" s="4086">
        <f>H23</f>
        <v>100</v>
      </c>
      <c r="V23" s="4083" t="s">
        <v>13</v>
      </c>
      <c r="W23" s="4086">
        <f>J23</f>
        <v>100</v>
      </c>
      <c r="X23" s="963"/>
      <c r="Y23" s="4895"/>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95"/>
      <c r="Q24" s="960">
        <f t="shared" ref="Q24:Q34" si="11">B24</f>
        <v>111</v>
      </c>
      <c r="R24" s="4083" t="s">
        <v>13</v>
      </c>
      <c r="S24" s="4086">
        <f>F24</f>
        <v>100</v>
      </c>
      <c r="T24" s="4083" t="s">
        <v>13</v>
      </c>
      <c r="U24" s="4086">
        <f>H24</f>
        <v>100</v>
      </c>
      <c r="V24" s="4083" t="s">
        <v>13</v>
      </c>
      <c r="W24" s="4086">
        <f>J24</f>
        <v>100</v>
      </c>
      <c r="X24" s="963"/>
      <c r="Y24" s="4895"/>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95"/>
      <c r="Q25" s="952">
        <f t="shared" si="11"/>
        <v>111</v>
      </c>
      <c r="R25" s="4082" t="s">
        <v>13</v>
      </c>
      <c r="S25" s="4085">
        <f>F25</f>
        <v>100</v>
      </c>
      <c r="T25" s="4082" t="s">
        <v>13</v>
      </c>
      <c r="U25" s="4085">
        <f>H25</f>
        <v>100</v>
      </c>
      <c r="V25" s="4082" t="s">
        <v>13</v>
      </c>
      <c r="W25" s="4085">
        <f>J25</f>
        <v>100</v>
      </c>
      <c r="X25" s="504"/>
      <c r="Y25" s="4895"/>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5003"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98"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98"/>
      <c r="Q27" s="506" t="str">
        <f t="shared" si="11"/>
        <v>成新率</v>
      </c>
      <c r="R27" s="4084" t="s">
        <v>13</v>
      </c>
      <c r="S27" s="4087" t="e">
        <f t="shared" si="12"/>
        <v>#N/A</v>
      </c>
      <c r="T27" s="4084" t="s">
        <v>13</v>
      </c>
      <c r="U27" s="4087" t="e">
        <f t="shared" si="13"/>
        <v>#N/A</v>
      </c>
      <c r="V27" s="4084" t="s">
        <v>13</v>
      </c>
      <c r="W27" s="4087" t="e">
        <f t="shared" si="14"/>
        <v>#N/A</v>
      </c>
      <c r="X27" s="507"/>
      <c r="Y27" s="4898"/>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98"/>
      <c r="Q28" s="960" t="str">
        <f t="shared" si="11"/>
        <v>物业等级</v>
      </c>
      <c r="R28" s="4083" t="s">
        <v>13</v>
      </c>
      <c r="S28" s="4086">
        <f t="shared" si="12"/>
        <v>100</v>
      </c>
      <c r="T28" s="4083" t="s">
        <v>13</v>
      </c>
      <c r="U28" s="4086">
        <f t="shared" si="13"/>
        <v>100</v>
      </c>
      <c r="V28" s="4083" t="s">
        <v>13</v>
      </c>
      <c r="W28" s="4086">
        <f t="shared" si="14"/>
        <v>100</v>
      </c>
      <c r="X28" s="963"/>
      <c r="Y28" s="4898"/>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98"/>
      <c r="Q29" s="960" t="str">
        <f t="shared" si="11"/>
        <v>有无电梯</v>
      </c>
      <c r="R29" s="4083" t="s">
        <v>13</v>
      </c>
      <c r="S29" s="4086">
        <f t="shared" si="12"/>
        <v>100</v>
      </c>
      <c r="T29" s="4083" t="s">
        <v>13</v>
      </c>
      <c r="U29" s="4086">
        <f t="shared" si="13"/>
        <v>100</v>
      </c>
      <c r="V29" s="4083" t="s">
        <v>13</v>
      </c>
      <c r="W29" s="4086">
        <f t="shared" si="14"/>
        <v>100</v>
      </c>
      <c r="X29" s="963"/>
      <c r="Y29" s="4898"/>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98"/>
      <c r="Q30" s="960" t="str">
        <f t="shared" si="11"/>
        <v>建筑面积</v>
      </c>
      <c r="R30" s="4083" t="s">
        <v>13</v>
      </c>
      <c r="S30" s="4086" t="e">
        <f t="shared" si="12"/>
        <v>#N/A</v>
      </c>
      <c r="T30" s="4083" t="s">
        <v>13</v>
      </c>
      <c r="U30" s="4086" t="e">
        <f t="shared" si="13"/>
        <v>#N/A</v>
      </c>
      <c r="V30" s="4083" t="s">
        <v>13</v>
      </c>
      <c r="W30" s="4086" t="e">
        <f t="shared" si="14"/>
        <v>#N/A</v>
      </c>
      <c r="X30" s="963"/>
      <c r="Y30" s="4898"/>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98"/>
      <c r="Q31" s="952" t="str">
        <f t="shared" si="11"/>
        <v>是否封闭</v>
      </c>
      <c r="R31" s="4082" t="s">
        <v>13</v>
      </c>
      <c r="S31" s="4085">
        <f t="shared" si="12"/>
        <v>100</v>
      </c>
      <c r="T31" s="4082" t="s">
        <v>13</v>
      </c>
      <c r="U31" s="4085">
        <f t="shared" si="13"/>
        <v>100</v>
      </c>
      <c r="V31" s="4082" t="s">
        <v>13</v>
      </c>
      <c r="W31" s="4085">
        <f t="shared" si="14"/>
        <v>100</v>
      </c>
      <c r="X31" s="504"/>
      <c r="Y31" s="4898"/>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98" t="s">
        <v>1603</v>
      </c>
      <c r="Q32" s="960">
        <f t="shared" si="11"/>
        <v>111</v>
      </c>
      <c r="R32" s="4083" t="s">
        <v>13</v>
      </c>
      <c r="S32" s="4086">
        <f t="shared" si="12"/>
        <v>100</v>
      </c>
      <c r="T32" s="4083" t="s">
        <v>13</v>
      </c>
      <c r="U32" s="4086">
        <f t="shared" si="13"/>
        <v>100</v>
      </c>
      <c r="V32" s="4083" t="s">
        <v>13</v>
      </c>
      <c r="W32" s="4086">
        <f t="shared" si="14"/>
        <v>100</v>
      </c>
      <c r="X32" s="963"/>
      <c r="Y32" s="4898"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98"/>
      <c r="Q33" s="960">
        <f t="shared" si="11"/>
        <v>111</v>
      </c>
      <c r="R33" s="4083" t="s">
        <v>13</v>
      </c>
      <c r="S33" s="4086">
        <f t="shared" si="12"/>
        <v>100</v>
      </c>
      <c r="T33" s="4083" t="s">
        <v>13</v>
      </c>
      <c r="U33" s="4086">
        <f t="shared" si="13"/>
        <v>100</v>
      </c>
      <c r="V33" s="4083" t="s">
        <v>13</v>
      </c>
      <c r="W33" s="4086">
        <f t="shared" si="14"/>
        <v>100</v>
      </c>
      <c r="X33" s="963"/>
      <c r="Y33" s="4898"/>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98"/>
      <c r="Q34" s="960">
        <f t="shared" si="11"/>
        <v>111</v>
      </c>
      <c r="R34" s="4083" t="s">
        <v>13</v>
      </c>
      <c r="S34" s="4086">
        <f t="shared" si="12"/>
        <v>100</v>
      </c>
      <c r="T34" s="4083" t="s">
        <v>13</v>
      </c>
      <c r="U34" s="4086">
        <f t="shared" si="13"/>
        <v>100</v>
      </c>
      <c r="V34" s="4083" t="s">
        <v>13</v>
      </c>
      <c r="W34" s="4086">
        <f t="shared" si="14"/>
        <v>100</v>
      </c>
      <c r="X34" s="963"/>
      <c r="Y34" s="4898"/>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06" t="str">
        <f>A35</f>
        <v>成交单价（元/平方米）</v>
      </c>
      <c r="Q35" s="4906"/>
      <c r="R35" s="4966">
        <f>E35</f>
        <v>0</v>
      </c>
      <c r="S35" s="4966"/>
      <c r="T35" s="4966">
        <f>G35</f>
        <v>0</v>
      </c>
      <c r="U35" s="4966"/>
      <c r="V35" s="4966">
        <f>I35</f>
        <v>0</v>
      </c>
      <c r="W35" s="4966"/>
      <c r="X35" s="493"/>
      <c r="Y35" s="509"/>
      <c r="Z35" s="493"/>
      <c r="AA35" s="493"/>
      <c r="AB35" s="493"/>
      <c r="AC35" s="493"/>
    </row>
    <row r="36" spans="1:30" ht="15.75" thickBot="1">
      <c r="A36" s="295" t="s">
        <v>1700</v>
      </c>
      <c r="B36" s="296"/>
      <c r="C36" s="4040" t="e">
        <f>R37</f>
        <v>#DIV/0!</v>
      </c>
      <c r="D36" s="4197" t="s">
        <v>2041</v>
      </c>
      <c r="E36" s="4051" t="e">
        <f>R36</f>
        <v>#DIV/0!</v>
      </c>
      <c r="F36" s="3042"/>
      <c r="G36" s="4040" t="e">
        <f>T36</f>
        <v>#DIV/0!</v>
      </c>
      <c r="H36" s="3042"/>
      <c r="I36" s="4051" t="e">
        <f>V36</f>
        <v>#DIV/0!</v>
      </c>
      <c r="J36" s="3042"/>
      <c r="K36" s="3097">
        <f>F36+H36+J36</f>
        <v>0</v>
      </c>
      <c r="L36" s="2155"/>
      <c r="M36" s="2156"/>
      <c r="N36" s="2147"/>
      <c r="O36" s="2156"/>
      <c r="P36" s="4906" t="str">
        <f>A36</f>
        <v>比较价值（元/平方米）</v>
      </c>
      <c r="Q36" s="4906"/>
      <c r="R36" s="4966" t="e">
        <f>IF(F1="售价",ROUND(PRODUCT(R35,AA7:AA34),0),ROUND(PRODUCT(R35,AA7:AA34),1))</f>
        <v>#DIV/0!</v>
      </c>
      <c r="S36" s="4966"/>
      <c r="T36" s="4966" t="e">
        <f>IF(F1="售价",ROUND(PRODUCT(T35,AB7:AB34),0),ROUND(PRODUCT(T35,AB7:AB34),1))</f>
        <v>#DIV/0!</v>
      </c>
      <c r="U36" s="4966"/>
      <c r="V36" s="4966" t="e">
        <f>IF(F1="售价",ROUND(PRODUCT(V35,AC7:AC34),0),ROUND(PRODUCT(V35,AC7:AC34),1))</f>
        <v>#DIV/0!</v>
      </c>
      <c r="W36" s="4966"/>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5004" t="str">
        <f>A37</f>
        <v>估价对象XX用房的比较价值（楼面单价，元/平方米）</v>
      </c>
      <c r="Q37" s="5005"/>
      <c r="R37" s="5006" t="e">
        <f>IF(F1="售价",ROUND(IF(D36="简单平均",AVERAGE(R36:W36),R36*F36+T36*H36+V36*J36),0),ROUND(IF(D36="简单平均",AVERAGE(R36:V36),R36*F36+T36*H36+V36*J36),1))</f>
        <v>#DIV/0!</v>
      </c>
      <c r="S37" s="5006"/>
      <c r="T37" s="5006"/>
      <c r="U37" s="5006"/>
      <c r="V37" s="5006"/>
      <c r="W37" s="5006"/>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1824</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870" t="s">
        <v>1677</v>
      </c>
      <c r="D6" s="4871"/>
      <c r="E6" s="4872" t="s">
        <v>1678</v>
      </c>
      <c r="F6" s="4873"/>
      <c r="G6" s="4870" t="s">
        <v>1679</v>
      </c>
      <c r="H6" s="4871"/>
      <c r="I6" s="4870" t="s">
        <v>1680</v>
      </c>
      <c r="J6" s="4871"/>
      <c r="K6" s="406" t="s">
        <v>1681</v>
      </c>
      <c r="L6" s="2146"/>
      <c r="M6" s="2147"/>
      <c r="N6" s="2147"/>
      <c r="O6" s="2147"/>
      <c r="P6" s="4874" t="s">
        <v>1682</v>
      </c>
      <c r="Q6" s="4875"/>
      <c r="R6" s="4856" t="s">
        <v>1678</v>
      </c>
      <c r="S6" s="4857"/>
      <c r="T6" s="4856" t="s">
        <v>1679</v>
      </c>
      <c r="U6" s="4857"/>
      <c r="V6" s="4882" t="s">
        <v>1680</v>
      </c>
      <c r="W6" s="4882"/>
      <c r="X6" s="963"/>
      <c r="Y6" s="4885" t="s">
        <v>1682</v>
      </c>
      <c r="Z6" s="4886"/>
      <c r="AA6" s="4851" t="s">
        <v>1678</v>
      </c>
      <c r="AB6" s="4852" t="s">
        <v>1679</v>
      </c>
      <c r="AC6" s="4851" t="s">
        <v>1680</v>
      </c>
    </row>
    <row r="7" spans="1:29" ht="15">
      <c r="A7" s="3346"/>
      <c r="B7" s="3411"/>
      <c r="C7" s="4862" t="s">
        <v>1580</v>
      </c>
      <c r="D7" s="4863"/>
      <c r="E7" s="4860" t="s">
        <v>1581</v>
      </c>
      <c r="F7" s="4861"/>
      <c r="G7" s="4862" t="s">
        <v>1582</v>
      </c>
      <c r="H7" s="4863"/>
      <c r="I7" s="4862" t="s">
        <v>1583</v>
      </c>
      <c r="J7" s="4863"/>
      <c r="K7" s="406"/>
      <c r="L7" s="2146"/>
      <c r="M7" s="2147"/>
      <c r="N7" s="2147"/>
      <c r="O7" s="2147"/>
      <c r="P7" s="4876"/>
      <c r="Q7" s="4877"/>
      <c r="R7" s="4858"/>
      <c r="S7" s="4859"/>
      <c r="T7" s="4858"/>
      <c r="U7" s="4859"/>
      <c r="V7" s="4882"/>
      <c r="W7" s="4882"/>
      <c r="X7" s="963"/>
      <c r="Y7" s="4887"/>
      <c r="Z7" s="4888"/>
      <c r="AA7" s="4852"/>
      <c r="AB7" s="4852"/>
      <c r="AC7" s="4852"/>
    </row>
    <row r="8" spans="1:29" ht="15.75" thickBot="1">
      <c r="A8" s="3412"/>
      <c r="B8" s="3413"/>
      <c r="C8" s="5007" t="s">
        <v>1825</v>
      </c>
      <c r="D8" s="5008"/>
      <c r="E8" s="5009" t="s">
        <v>1825</v>
      </c>
      <c r="F8" s="5010"/>
      <c r="G8" s="5007" t="s">
        <v>1825</v>
      </c>
      <c r="H8" s="5008"/>
      <c r="I8" s="5007" t="s">
        <v>1825</v>
      </c>
      <c r="J8" s="5008"/>
      <c r="K8" s="406" t="s">
        <v>1585</v>
      </c>
      <c r="L8" s="2146"/>
      <c r="M8" s="2147"/>
      <c r="N8" s="2147"/>
      <c r="O8" s="2147"/>
      <c r="P8" s="4878"/>
      <c r="Q8" s="4879"/>
      <c r="R8" s="4858"/>
      <c r="S8" s="4859"/>
      <c r="T8" s="4880"/>
      <c r="U8" s="4881"/>
      <c r="V8" s="4882"/>
      <c r="W8" s="4882"/>
      <c r="X8" s="963"/>
      <c r="Y8" s="4889"/>
      <c r="Z8" s="4890"/>
      <c r="AA8" s="4853"/>
      <c r="AB8" s="4853"/>
      <c r="AC8" s="4853"/>
    </row>
    <row r="9" spans="1:29" s="49" customFormat="1" ht="15.75" thickBot="1">
      <c r="A9" s="3338" t="s">
        <v>1586</v>
      </c>
      <c r="B9" s="3339"/>
      <c r="C9" s="3052">
        <f>'数据-取费表'!B2</f>
        <v>46087</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883" t="s">
        <v>1587</v>
      </c>
      <c r="Q9" s="4891"/>
      <c r="R9" s="4074" t="s">
        <v>13</v>
      </c>
      <c r="S9" s="4077">
        <f t="shared" ref="S9:S17" si="0">F9</f>
        <v>0</v>
      </c>
      <c r="T9" s="4074" t="s">
        <v>13</v>
      </c>
      <c r="U9" s="4077">
        <f t="shared" ref="U9:U17" si="1">H9</f>
        <v>0</v>
      </c>
      <c r="V9" s="4074" t="s">
        <v>13</v>
      </c>
      <c r="W9" s="4077">
        <f t="shared" ref="W9:W17" si="2">J9</f>
        <v>0</v>
      </c>
      <c r="X9" s="504"/>
      <c r="Y9" s="4854" t="s">
        <v>1587</v>
      </c>
      <c r="Z9" s="4855"/>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883" t="s">
        <v>1590</v>
      </c>
      <c r="Q10" s="4884"/>
      <c r="R10" s="4074" t="s">
        <v>13</v>
      </c>
      <c r="S10" s="4077">
        <f t="shared" si="0"/>
        <v>0</v>
      </c>
      <c r="T10" s="4074" t="s">
        <v>13</v>
      </c>
      <c r="U10" s="4077">
        <f t="shared" si="1"/>
        <v>0</v>
      </c>
      <c r="V10" s="4074" t="s">
        <v>13</v>
      </c>
      <c r="W10" s="4077">
        <f t="shared" si="2"/>
        <v>0</v>
      </c>
      <c r="X10" s="504"/>
      <c r="Y10" s="4854" t="s">
        <v>1590</v>
      </c>
      <c r="Z10" s="4855"/>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68" t="s">
        <v>1593</v>
      </c>
      <c r="Q11" s="3274" t="str">
        <f t="shared" ref="Q11:Q17" si="6">B11</f>
        <v>用途</v>
      </c>
      <c r="R11" s="4074" t="s">
        <v>13</v>
      </c>
      <c r="S11" s="4077">
        <f t="shared" si="0"/>
        <v>100</v>
      </c>
      <c r="T11" s="4074" t="s">
        <v>13</v>
      </c>
      <c r="U11" s="4077">
        <f t="shared" si="1"/>
        <v>100</v>
      </c>
      <c r="V11" s="4074" t="s">
        <v>13</v>
      </c>
      <c r="W11" s="4077">
        <f t="shared" si="2"/>
        <v>100</v>
      </c>
      <c r="X11" s="504"/>
      <c r="Y11" s="4869"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f>ROUND(100/'数据-取费表'!G16,1)</f>
        <v>100.4</v>
      </c>
      <c r="G12" s="3057"/>
      <c r="H12" s="4038">
        <f>ROUND(100/'数据-取费表'!G16,1)</f>
        <v>100.4</v>
      </c>
      <c r="I12" s="3057"/>
      <c r="J12" s="4038">
        <f>ROUND(100/'数据-取费表'!G16,1)</f>
        <v>100.4</v>
      </c>
      <c r="K12" s="450"/>
      <c r="L12" s="2150"/>
      <c r="M12" s="2151"/>
      <c r="N12" s="2151"/>
      <c r="O12" s="2204"/>
      <c r="P12" s="4868"/>
      <c r="Q12" s="3274" t="str">
        <f t="shared" si="6"/>
        <v>土地使用年限（年）</v>
      </c>
      <c r="R12" s="4074" t="s">
        <v>13</v>
      </c>
      <c r="S12" s="4077">
        <f t="shared" si="0"/>
        <v>100.4</v>
      </c>
      <c r="T12" s="4074" t="s">
        <v>13</v>
      </c>
      <c r="U12" s="4077">
        <f t="shared" si="1"/>
        <v>100.4</v>
      </c>
      <c r="V12" s="4074" t="s">
        <v>13</v>
      </c>
      <c r="W12" s="4077">
        <f t="shared" si="2"/>
        <v>100.4</v>
      </c>
      <c r="X12" s="504"/>
      <c r="Y12" s="4869"/>
      <c r="Z12" s="28" t="str">
        <f t="shared" si="7"/>
        <v>土地使用年限（年）</v>
      </c>
      <c r="AA12" s="505">
        <f t="shared" si="3"/>
        <v>0.99601593625497997</v>
      </c>
      <c r="AB12" s="505">
        <f t="shared" si="4"/>
        <v>0.99601593625497997</v>
      </c>
      <c r="AC12" s="505">
        <f t="shared" si="5"/>
        <v>0.99601593625497997</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68"/>
      <c r="Q13" s="3274" t="str">
        <f t="shared" si="6"/>
        <v>容积率</v>
      </c>
      <c r="R13" s="4074" t="s">
        <v>13</v>
      </c>
      <c r="S13" s="4077" t="e">
        <f t="shared" si="0"/>
        <v>#N/A</v>
      </c>
      <c r="T13" s="4074" t="s">
        <v>13</v>
      </c>
      <c r="U13" s="4077" t="e">
        <f t="shared" si="1"/>
        <v>#N/A</v>
      </c>
      <c r="V13" s="4074" t="s">
        <v>13</v>
      </c>
      <c r="W13" s="4077" t="e">
        <f t="shared" si="2"/>
        <v>#N/A</v>
      </c>
      <c r="X13" s="504"/>
      <c r="Y13" s="4869"/>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68"/>
      <c r="Q14" s="3274">
        <f t="shared" si="6"/>
        <v>111</v>
      </c>
      <c r="R14" s="4074" t="s">
        <v>13</v>
      </c>
      <c r="S14" s="4077">
        <f t="shared" si="0"/>
        <v>100</v>
      </c>
      <c r="T14" s="4074" t="s">
        <v>13</v>
      </c>
      <c r="U14" s="4077">
        <f t="shared" si="1"/>
        <v>100</v>
      </c>
      <c r="V14" s="4074" t="s">
        <v>13</v>
      </c>
      <c r="W14" s="4077">
        <f t="shared" si="2"/>
        <v>100</v>
      </c>
      <c r="X14" s="504"/>
      <c r="Y14" s="4869"/>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68"/>
      <c r="Q15" s="3274">
        <f t="shared" si="6"/>
        <v>111</v>
      </c>
      <c r="R15" s="4074" t="s">
        <v>13</v>
      </c>
      <c r="S15" s="4077">
        <f t="shared" si="0"/>
        <v>100</v>
      </c>
      <c r="T15" s="4074" t="s">
        <v>13</v>
      </c>
      <c r="U15" s="4077">
        <f t="shared" si="1"/>
        <v>100</v>
      </c>
      <c r="V15" s="4074" t="s">
        <v>13</v>
      </c>
      <c r="W15" s="4077">
        <f t="shared" si="2"/>
        <v>100</v>
      </c>
      <c r="X15" s="504"/>
      <c r="Y15" s="4869"/>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68"/>
      <c r="Q16" s="3274">
        <f t="shared" si="6"/>
        <v>111</v>
      </c>
      <c r="R16" s="4074" t="s">
        <v>13</v>
      </c>
      <c r="S16" s="4077">
        <f t="shared" si="0"/>
        <v>100</v>
      </c>
      <c r="T16" s="4074" t="s">
        <v>13</v>
      </c>
      <c r="U16" s="4077">
        <f t="shared" si="1"/>
        <v>100</v>
      </c>
      <c r="V16" s="4074" t="s">
        <v>13</v>
      </c>
      <c r="W16" s="4077">
        <f t="shared" si="2"/>
        <v>100</v>
      </c>
      <c r="X16" s="504"/>
      <c r="Y16" s="4869"/>
      <c r="Z16" s="28">
        <f t="shared" si="7"/>
        <v>111</v>
      </c>
      <c r="AA16" s="505">
        <f t="shared" si="3"/>
        <v>1</v>
      </c>
      <c r="AB16" s="505">
        <f t="shared" si="4"/>
        <v>1</v>
      </c>
      <c r="AC16" s="505">
        <f t="shared" si="5"/>
        <v>1</v>
      </c>
    </row>
    <row r="17" spans="1:29" ht="57">
      <c r="A17" s="3345" t="s">
        <v>1597</v>
      </c>
      <c r="B17" s="3414" t="s">
        <v>1826</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892" t="s">
        <v>1598</v>
      </c>
      <c r="Q17" s="3277" t="str">
        <f t="shared" si="6"/>
        <v>产业集聚程度</v>
      </c>
      <c r="R17" s="4075" t="s">
        <v>13</v>
      </c>
      <c r="S17" s="4078">
        <f t="shared" si="0"/>
        <v>100</v>
      </c>
      <c r="T17" s="4075" t="s">
        <v>13</v>
      </c>
      <c r="U17" s="4078">
        <f t="shared" si="1"/>
        <v>100</v>
      </c>
      <c r="V17" s="4075" t="s">
        <v>13</v>
      </c>
      <c r="W17" s="4078">
        <f t="shared" si="2"/>
        <v>100</v>
      </c>
      <c r="X17" s="963"/>
      <c r="Y17" s="4894"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893"/>
      <c r="Q18" s="3277"/>
      <c r="R18" s="4075"/>
      <c r="S18" s="4078"/>
      <c r="T18" s="4075"/>
      <c r="U18" s="4078"/>
      <c r="V18" s="4075"/>
      <c r="W18" s="4078"/>
      <c r="X18" s="963"/>
      <c r="Y18" s="4895"/>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893"/>
      <c r="Q19" s="3277" t="str">
        <f>B19</f>
        <v>交通便捷度</v>
      </c>
      <c r="R19" s="4075" t="s">
        <v>13</v>
      </c>
      <c r="S19" s="4078">
        <f>F19</f>
        <v>100</v>
      </c>
      <c r="T19" s="4075" t="s">
        <v>13</v>
      </c>
      <c r="U19" s="4078">
        <f>H19</f>
        <v>100</v>
      </c>
      <c r="V19" s="4075" t="s">
        <v>13</v>
      </c>
      <c r="W19" s="4078">
        <f>J19</f>
        <v>100</v>
      </c>
      <c r="X19" s="963"/>
      <c r="Y19" s="4895"/>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893"/>
      <c r="Q20" s="3277"/>
      <c r="R20" s="4075"/>
      <c r="S20" s="4078"/>
      <c r="T20" s="4075"/>
      <c r="U20" s="4078"/>
      <c r="V20" s="4075"/>
      <c r="W20" s="4078"/>
      <c r="X20" s="963"/>
      <c r="Y20" s="4895"/>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893"/>
      <c r="Q21" s="3277" t="str">
        <f t="shared" ref="Q21:Q35" si="8">B21</f>
        <v>区域土地利用方向</v>
      </c>
      <c r="R21" s="4075" t="s">
        <v>13</v>
      </c>
      <c r="S21" s="4078">
        <f>F21</f>
        <v>100</v>
      </c>
      <c r="T21" s="4075" t="s">
        <v>13</v>
      </c>
      <c r="U21" s="4078">
        <f>H21</f>
        <v>100</v>
      </c>
      <c r="V21" s="4075" t="s">
        <v>13</v>
      </c>
      <c r="W21" s="4078">
        <f>J21</f>
        <v>100</v>
      </c>
      <c r="X21" s="963"/>
      <c r="Y21" s="4895"/>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893"/>
      <c r="Q22" s="3277"/>
      <c r="R22" s="4075"/>
      <c r="S22" s="4078"/>
      <c r="T22" s="4075"/>
      <c r="U22" s="4078"/>
      <c r="V22" s="4075"/>
      <c r="W22" s="4078"/>
      <c r="X22" s="963"/>
      <c r="Y22" s="4895"/>
      <c r="Z22" s="964"/>
      <c r="AA22" s="961"/>
      <c r="AB22" s="961"/>
      <c r="AC22" s="961"/>
    </row>
    <row r="23" spans="1:29" ht="71.25">
      <c r="A23" s="3346"/>
      <c r="B23" s="3416" t="s">
        <v>1827</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893"/>
      <c r="Q23" s="3277" t="str">
        <f t="shared" si="8"/>
        <v>环境状况</v>
      </c>
      <c r="R23" s="4075" t="s">
        <v>13</v>
      </c>
      <c r="S23" s="4078">
        <f>F23</f>
        <v>100</v>
      </c>
      <c r="T23" s="4075" t="s">
        <v>13</v>
      </c>
      <c r="U23" s="4078">
        <f>H23</f>
        <v>100</v>
      </c>
      <c r="V23" s="4075" t="s">
        <v>13</v>
      </c>
      <c r="W23" s="4078">
        <f>J23</f>
        <v>100</v>
      </c>
      <c r="X23" s="963"/>
      <c r="Y23" s="4895"/>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893"/>
      <c r="Q24" s="3277"/>
      <c r="R24" s="4075"/>
      <c r="S24" s="4078"/>
      <c r="T24" s="4075"/>
      <c r="U24" s="4078"/>
      <c r="V24" s="4075"/>
      <c r="W24" s="4078"/>
      <c r="X24" s="963"/>
      <c r="Y24" s="4895"/>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893"/>
      <c r="Q25" s="3274" t="str">
        <f t="shared" si="8"/>
        <v>公共配套设施</v>
      </c>
      <c r="R25" s="4074" t="s">
        <v>13</v>
      </c>
      <c r="S25" s="4077">
        <f>F25</f>
        <v>100</v>
      </c>
      <c r="T25" s="4074" t="s">
        <v>13</v>
      </c>
      <c r="U25" s="4077">
        <f>H25</f>
        <v>100</v>
      </c>
      <c r="V25" s="4074" t="s">
        <v>13</v>
      </c>
      <c r="W25" s="4077">
        <f>J25</f>
        <v>100</v>
      </c>
      <c r="X25" s="504"/>
      <c r="Y25" s="4895"/>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893"/>
      <c r="Q26" s="3274"/>
      <c r="R26" s="4074"/>
      <c r="S26" s="4077"/>
      <c r="T26" s="4074"/>
      <c r="U26" s="4077"/>
      <c r="V26" s="4074"/>
      <c r="W26" s="4077"/>
      <c r="X26" s="504"/>
      <c r="Y26" s="4895"/>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893"/>
      <c r="Q27" s="3274" t="str">
        <f t="shared" ref="Q27" si="9">B27</f>
        <v>基础设施水平</v>
      </c>
      <c r="R27" s="4074" t="s">
        <v>13</v>
      </c>
      <c r="S27" s="4077">
        <f>F27</f>
        <v>100</v>
      </c>
      <c r="T27" s="4074" t="s">
        <v>13</v>
      </c>
      <c r="U27" s="4077">
        <f>H27</f>
        <v>100</v>
      </c>
      <c r="V27" s="4074" t="s">
        <v>13</v>
      </c>
      <c r="W27" s="4077">
        <f>J27</f>
        <v>100</v>
      </c>
      <c r="X27" s="504"/>
      <c r="Y27" s="4895"/>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893"/>
      <c r="Q28" s="3274"/>
      <c r="R28" s="4074"/>
      <c r="S28" s="4077"/>
      <c r="T28" s="4074"/>
      <c r="U28" s="4077"/>
      <c r="V28" s="4074"/>
      <c r="W28" s="4077"/>
      <c r="X28" s="504"/>
      <c r="Y28" s="4895"/>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89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95"/>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893"/>
      <c r="Q30" s="3277" t="str">
        <f t="shared" si="8"/>
        <v>毗邻道路的类型与等级</v>
      </c>
      <c r="R30" s="4075" t="s">
        <v>13</v>
      </c>
      <c r="S30" s="4078">
        <f t="shared" si="10"/>
        <v>100</v>
      </c>
      <c r="T30" s="4075" t="s">
        <v>13</v>
      </c>
      <c r="U30" s="4078">
        <f t="shared" si="11"/>
        <v>100</v>
      </c>
      <c r="V30" s="4075" t="s">
        <v>13</v>
      </c>
      <c r="W30" s="4078">
        <f t="shared" si="12"/>
        <v>100</v>
      </c>
      <c r="X30" s="963"/>
      <c r="Y30" s="4895"/>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893"/>
      <c r="Q31" s="3277"/>
      <c r="R31" s="4075"/>
      <c r="S31" s="4078"/>
      <c r="T31" s="4075"/>
      <c r="U31" s="4078"/>
      <c r="V31" s="4075"/>
      <c r="W31" s="4078"/>
      <c r="X31" s="963"/>
      <c r="Y31" s="4895"/>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893"/>
      <c r="Q32" s="3277" t="str">
        <f t="shared" si="8"/>
        <v>土地级别</v>
      </c>
      <c r="R32" s="4075" t="s">
        <v>13</v>
      </c>
      <c r="S32" s="4078">
        <f t="shared" si="10"/>
        <v>100</v>
      </c>
      <c r="T32" s="4075" t="s">
        <v>13</v>
      </c>
      <c r="U32" s="4078">
        <f t="shared" si="11"/>
        <v>100</v>
      </c>
      <c r="V32" s="4075" t="s">
        <v>13</v>
      </c>
      <c r="W32" s="4078">
        <f t="shared" si="12"/>
        <v>100</v>
      </c>
      <c r="X32" s="963"/>
      <c r="Y32" s="4895"/>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893"/>
      <c r="Q33" s="3277">
        <f t="shared" si="8"/>
        <v>111</v>
      </c>
      <c r="R33" s="4075" t="s">
        <v>13</v>
      </c>
      <c r="S33" s="4078">
        <f t="shared" si="10"/>
        <v>100</v>
      </c>
      <c r="T33" s="4075" t="s">
        <v>13</v>
      </c>
      <c r="U33" s="4078">
        <f t="shared" si="11"/>
        <v>100</v>
      </c>
      <c r="V33" s="4075" t="s">
        <v>13</v>
      </c>
      <c r="W33" s="4078">
        <f t="shared" si="12"/>
        <v>100</v>
      </c>
      <c r="X33" s="963"/>
      <c r="Y33" s="4895"/>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896" t="s">
        <v>1603</v>
      </c>
      <c r="Q34" s="3277">
        <f t="shared" si="8"/>
        <v>111</v>
      </c>
      <c r="R34" s="4075" t="s">
        <v>13</v>
      </c>
      <c r="S34" s="4078">
        <f t="shared" si="10"/>
        <v>100</v>
      </c>
      <c r="T34" s="4075" t="s">
        <v>13</v>
      </c>
      <c r="U34" s="4078">
        <f t="shared" si="11"/>
        <v>100</v>
      </c>
      <c r="V34" s="4075" t="s">
        <v>13</v>
      </c>
      <c r="W34" s="4078">
        <f t="shared" si="12"/>
        <v>100</v>
      </c>
      <c r="X34" s="963"/>
      <c r="Y34" s="4898"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897"/>
      <c r="Q35" s="3277">
        <f t="shared" si="8"/>
        <v>111</v>
      </c>
      <c r="R35" s="4076" t="s">
        <v>13</v>
      </c>
      <c r="S35" s="4079">
        <f t="shared" si="10"/>
        <v>100</v>
      </c>
      <c r="T35" s="4076" t="s">
        <v>13</v>
      </c>
      <c r="U35" s="4079">
        <f t="shared" si="11"/>
        <v>100</v>
      </c>
      <c r="V35" s="4076" t="s">
        <v>13</v>
      </c>
      <c r="W35" s="4079">
        <f t="shared" si="12"/>
        <v>100</v>
      </c>
      <c r="X35" s="507"/>
      <c r="Y35" s="4898"/>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897"/>
      <c r="Q36" s="3277" t="str">
        <f>B36</f>
        <v>宗地面积</v>
      </c>
      <c r="R36" s="4075" t="s">
        <v>13</v>
      </c>
      <c r="S36" s="4078" t="e">
        <f t="shared" si="10"/>
        <v>#N/A</v>
      </c>
      <c r="T36" s="4075" t="s">
        <v>13</v>
      </c>
      <c r="U36" s="4078" t="e">
        <f t="shared" si="11"/>
        <v>#N/A</v>
      </c>
      <c r="V36" s="4075" t="s">
        <v>13</v>
      </c>
      <c r="W36" s="4078" t="e">
        <f t="shared" si="12"/>
        <v>#N/A</v>
      </c>
      <c r="X36" s="963"/>
      <c r="Y36" s="4898"/>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897"/>
      <c r="Q37" s="3277" t="str">
        <f t="shared" ref="Q37:Q42" si="14">B37</f>
        <v>宗地形状</v>
      </c>
      <c r="R37" s="4075" t="s">
        <v>13</v>
      </c>
      <c r="S37" s="4078">
        <f t="shared" si="10"/>
        <v>100</v>
      </c>
      <c r="T37" s="4075" t="s">
        <v>13</v>
      </c>
      <c r="U37" s="4078">
        <f t="shared" si="11"/>
        <v>100</v>
      </c>
      <c r="V37" s="4075" t="s">
        <v>13</v>
      </c>
      <c r="W37" s="4078">
        <f t="shared" si="12"/>
        <v>100</v>
      </c>
      <c r="X37" s="963"/>
      <c r="Y37" s="4898"/>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897"/>
      <c r="Q38" s="3277" t="str">
        <f t="shared" si="14"/>
        <v>宗地开发程度</v>
      </c>
      <c r="R38" s="4074" t="s">
        <v>13</v>
      </c>
      <c r="S38" s="4077">
        <f t="shared" si="10"/>
        <v>100</v>
      </c>
      <c r="T38" s="4074" t="s">
        <v>13</v>
      </c>
      <c r="U38" s="4077">
        <f t="shared" si="11"/>
        <v>100</v>
      </c>
      <c r="V38" s="4074" t="s">
        <v>13</v>
      </c>
      <c r="W38" s="4077">
        <f t="shared" si="12"/>
        <v>100</v>
      </c>
      <c r="X38" s="504"/>
      <c r="Y38" s="4898"/>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897" t="s">
        <v>1603</v>
      </c>
      <c r="Q39" s="3277" t="str">
        <f t="shared" si="14"/>
        <v>工程地质条件</v>
      </c>
      <c r="R39" s="4075" t="s">
        <v>13</v>
      </c>
      <c r="S39" s="4078">
        <f t="shared" si="10"/>
        <v>100</v>
      </c>
      <c r="T39" s="4075" t="s">
        <v>13</v>
      </c>
      <c r="U39" s="4078">
        <f t="shared" si="11"/>
        <v>100</v>
      </c>
      <c r="V39" s="4075" t="s">
        <v>13</v>
      </c>
      <c r="W39" s="4078">
        <f t="shared" si="12"/>
        <v>100</v>
      </c>
      <c r="X39" s="963"/>
      <c r="Y39" s="4898"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897"/>
      <c r="Q40" s="3277">
        <f t="shared" si="14"/>
        <v>111</v>
      </c>
      <c r="R40" s="4075" t="s">
        <v>13</v>
      </c>
      <c r="S40" s="4078">
        <f t="shared" si="10"/>
        <v>100</v>
      </c>
      <c r="T40" s="4075" t="s">
        <v>13</v>
      </c>
      <c r="U40" s="4078">
        <f t="shared" si="11"/>
        <v>100</v>
      </c>
      <c r="V40" s="4075" t="s">
        <v>13</v>
      </c>
      <c r="W40" s="4078">
        <f t="shared" si="12"/>
        <v>100</v>
      </c>
      <c r="X40" s="963"/>
      <c r="Y40" s="4898"/>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897"/>
      <c r="Q41" s="3277">
        <f t="shared" si="14"/>
        <v>111</v>
      </c>
      <c r="R41" s="4075" t="s">
        <v>13</v>
      </c>
      <c r="S41" s="4078">
        <f t="shared" si="10"/>
        <v>100</v>
      </c>
      <c r="T41" s="4075" t="s">
        <v>13</v>
      </c>
      <c r="U41" s="4078">
        <f t="shared" si="11"/>
        <v>100</v>
      </c>
      <c r="V41" s="4075" t="s">
        <v>13</v>
      </c>
      <c r="W41" s="4078">
        <f t="shared" si="12"/>
        <v>100</v>
      </c>
      <c r="X41" s="963"/>
      <c r="Y41" s="4898"/>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897"/>
      <c r="Q42" s="3277">
        <f t="shared" si="14"/>
        <v>111</v>
      </c>
      <c r="R42" s="4076" t="s">
        <v>13</v>
      </c>
      <c r="S42" s="4079">
        <f t="shared" si="10"/>
        <v>100</v>
      </c>
      <c r="T42" s="4076" t="s">
        <v>13</v>
      </c>
      <c r="U42" s="4079">
        <f t="shared" si="11"/>
        <v>100</v>
      </c>
      <c r="V42" s="4076" t="s">
        <v>13</v>
      </c>
      <c r="W42" s="4079">
        <f t="shared" si="12"/>
        <v>100</v>
      </c>
      <c r="X42" s="507"/>
      <c r="Y42" s="4898"/>
      <c r="Z42" s="508">
        <f t="shared" si="13"/>
        <v>111</v>
      </c>
      <c r="AA42" s="961">
        <f t="shared" si="3"/>
        <v>1</v>
      </c>
      <c r="AB42" s="961">
        <f t="shared" si="4"/>
        <v>1</v>
      </c>
      <c r="AC42" s="961">
        <f t="shared" si="5"/>
        <v>1</v>
      </c>
    </row>
    <row r="43" spans="1:31" ht="15">
      <c r="A43" s="292" t="s">
        <v>1751</v>
      </c>
      <c r="B43" s="1536" t="s">
        <v>1828</v>
      </c>
      <c r="C43" s="455" t="s">
        <v>0</v>
      </c>
      <c r="D43" s="3425"/>
      <c r="E43" s="3458"/>
      <c r="F43" s="3402"/>
      <c r="G43" s="3459"/>
      <c r="H43" s="3461"/>
      <c r="I43" s="3458"/>
      <c r="J43" s="3403"/>
      <c r="K43" s="3104"/>
      <c r="L43" s="2155"/>
      <c r="M43" s="2147"/>
      <c r="N43" s="2147"/>
      <c r="O43" s="2156"/>
      <c r="P43" s="4868" t="str">
        <f>A43</f>
        <v>成交单价</v>
      </c>
      <c r="Q43" s="4868"/>
      <c r="R43" s="4899">
        <f>E43</f>
        <v>0</v>
      </c>
      <c r="S43" s="4899"/>
      <c r="T43" s="4899">
        <f>G43</f>
        <v>0</v>
      </c>
      <c r="U43" s="4899"/>
      <c r="V43" s="4899">
        <f>I43</f>
        <v>0</v>
      </c>
      <c r="W43" s="4899"/>
      <c r="X43" s="493"/>
      <c r="Y43" s="509"/>
      <c r="Z43" s="493"/>
      <c r="AA43" s="493"/>
      <c r="AB43" s="493"/>
      <c r="AC43" s="493"/>
    </row>
    <row r="44" spans="1:31" ht="15.75" thickBot="1">
      <c r="A44" s="295" t="s">
        <v>1700</v>
      </c>
      <c r="B44" s="456"/>
      <c r="C44" s="4051" t="e">
        <f>R45</f>
        <v>#DIV/0!</v>
      </c>
      <c r="D44" s="4200" t="s">
        <v>2041</v>
      </c>
      <c r="E44" s="4051" t="e">
        <f>R44</f>
        <v>#DIV/0!</v>
      </c>
      <c r="F44" s="3042"/>
      <c r="G44" s="4040" t="e">
        <f>T44</f>
        <v>#DIV/0!</v>
      </c>
      <c r="H44" s="3042"/>
      <c r="I44" s="4051" t="e">
        <f>V44</f>
        <v>#DIV/0!</v>
      </c>
      <c r="J44" s="3042"/>
      <c r="K44" s="3097">
        <f>F44+H44+J44</f>
        <v>0</v>
      </c>
      <c r="L44" s="2155"/>
      <c r="M44" s="2147"/>
      <c r="N44" s="2147"/>
      <c r="O44" s="2156"/>
      <c r="P44" s="4868" t="str">
        <f>A44</f>
        <v>比较价值（元/平方米）</v>
      </c>
      <c r="Q44" s="4868"/>
      <c r="R44" s="4899" t="e">
        <f>ROUND(PRODUCT(R43,AA9:AA42),0)</f>
        <v>#DIV/0!</v>
      </c>
      <c r="S44" s="4899"/>
      <c r="T44" s="4899" t="e">
        <f>ROUND(PRODUCT(T43,AB9:AB42),0)</f>
        <v>#DIV/0!</v>
      </c>
      <c r="U44" s="4899"/>
      <c r="V44" s="4899" t="e">
        <f>ROUND(PRODUCT(V43,AC9:AC42),0)</f>
        <v>#DIV/0!</v>
      </c>
      <c r="W44" s="4899"/>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900" t="str">
        <f>A45</f>
        <v>估价对象XX用房的比较价值（楼面单价，元/平方米）</v>
      </c>
      <c r="Q45" s="4901"/>
      <c r="R45" s="4902" t="e">
        <f>ROUND(IF(D44="简单平均",AVERAGE(R44:W44),R44*F44+T44*H44+V44*J44),0)</f>
        <v>#DIV/0!</v>
      </c>
      <c r="S45" s="4902"/>
      <c r="T45" s="4902"/>
      <c r="U45" s="4902"/>
      <c r="V45" s="4902"/>
      <c r="W45" s="490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1787</v>
      </c>
      <c r="B52" s="458" t="s">
        <v>1788</v>
      </c>
      <c r="C52" s="1537" t="s">
        <v>1789</v>
      </c>
      <c r="D52" s="1538" t="s">
        <v>1790</v>
      </c>
      <c r="E52" s="459" t="s">
        <v>1791</v>
      </c>
      <c r="F52" s="460" t="s">
        <v>1792</v>
      </c>
      <c r="G52" s="4903" t="s">
        <v>1793</v>
      </c>
      <c r="H52" s="4904"/>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2" t="e">
        <f>C45</f>
        <v>#DIV/0!</v>
      </c>
      <c r="C53" s="3337">
        <v>1</v>
      </c>
      <c r="D53" s="3314">
        <v>1</v>
      </c>
      <c r="E53" s="3313">
        <f>'数据-汇总表'!E8+'数据-汇总表'!E9</f>
        <v>66183.3</v>
      </c>
      <c r="F53" s="3316" t="e">
        <f t="shared" ref="F53:F62" si="15">ROUND(B53*E53/10000,0)</f>
        <v>#DIV/0!</v>
      </c>
      <c r="G53" s="4905"/>
      <c r="H53" s="490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2" t="e">
        <f>ROUND($C$45*C54*D54,0)</f>
        <v>#DIV/0!</v>
      </c>
      <c r="C54" s="3312">
        <f t="shared" ref="C54:C62" si="16">IF($C$52="北京市系数",I54,J54)</f>
        <v>0.6</v>
      </c>
      <c r="D54" s="3315">
        <v>0.25</v>
      </c>
      <c r="E54" s="3317"/>
      <c r="F54" s="3316" t="e">
        <f t="shared" si="15"/>
        <v>#DIV/0!</v>
      </c>
      <c r="G54" s="3324" t="s">
        <v>1798</v>
      </c>
      <c r="H54" s="3321" t="str">
        <f>项目基本情况!B37</f>
        <v>六级</v>
      </c>
      <c r="I54" s="2968">
        <f>SUMIF(修正!A59:A70,H54,修正!B59:B70)</f>
        <v>0.6</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2" t="e">
        <f t="shared" ref="B55:B62" si="17">ROUND($C$45*C55*D55,0)</f>
        <v>#DIV/0!</v>
      </c>
      <c r="C55" s="3312">
        <f t="shared" si="16"/>
        <v>0.3</v>
      </c>
      <c r="D55" s="3315">
        <v>0.25</v>
      </c>
      <c r="E55" s="3317"/>
      <c r="F55" s="3316" t="e">
        <f t="shared" si="15"/>
        <v>#DIV/0!</v>
      </c>
      <c r="G55" s="3325"/>
      <c r="H55" s="3321" t="str">
        <f>项目基本情况!B37</f>
        <v>六级</v>
      </c>
      <c r="I55" s="2968">
        <f>SUMIF(修正!A59:A70,H55,修正!C59:C70)</f>
        <v>0.3</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2" t="e">
        <f t="shared" si="17"/>
        <v>#DIV/0!</v>
      </c>
      <c r="C56" s="3312">
        <f t="shared" si="16"/>
        <v>0.25</v>
      </c>
      <c r="D56" s="3315">
        <v>0.25</v>
      </c>
      <c r="E56" s="3317"/>
      <c r="F56" s="3316" t="e">
        <f t="shared" si="15"/>
        <v>#DIV/0!</v>
      </c>
      <c r="G56" s="3325"/>
      <c r="H56" s="3321" t="str">
        <f>项目基本情况!B37</f>
        <v>六级</v>
      </c>
      <c r="I56" s="2968">
        <f>SUMIF(修正!A59:A70,H56,修正!D59:D70)</f>
        <v>0.25</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2"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2" t="e">
        <f t="shared" si="17"/>
        <v>#DIV/0!</v>
      </c>
      <c r="C59" s="3312">
        <f t="shared" si="16"/>
        <v>0</v>
      </c>
      <c r="D59" s="3315">
        <v>0.25</v>
      </c>
      <c r="E59" s="3318">
        <f>'数据-汇总表'!E12</f>
        <v>1136.82</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2" t="e">
        <f t="shared" si="17"/>
        <v>#DIV/0!</v>
      </c>
      <c r="C60" s="3312">
        <f t="shared" si="16"/>
        <v>0.15</v>
      </c>
      <c r="D60" s="3315">
        <v>0.25</v>
      </c>
      <c r="E60" s="3318">
        <f>'数据-汇总表'!E13</f>
        <v>11179.69</v>
      </c>
      <c r="F60" s="3316" t="e">
        <f t="shared" si="15"/>
        <v>#DIV/0!</v>
      </c>
      <c r="G60" s="3328" t="s">
        <v>1806</v>
      </c>
      <c r="H60" s="3321" t="str">
        <f>IF(G60="商业",项目基本情况!B37,IF(G60="办公",项目基本情况!C37,IF(G60="住宅",项目基本情况!D37,项目基本情况!E37)))</f>
        <v>六级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2" t="e">
        <f t="shared" si="17"/>
        <v>#DIV/0!</v>
      </c>
      <c r="C61" s="3312">
        <f t="shared" si="16"/>
        <v>0.15</v>
      </c>
      <c r="D61" s="3315">
        <v>0.25</v>
      </c>
      <c r="E61" s="3318">
        <f>'数据-汇总表'!E14</f>
        <v>0</v>
      </c>
      <c r="F61" s="3316" t="e">
        <f t="shared" si="15"/>
        <v>#DIV/0!</v>
      </c>
      <c r="G61" s="3327" t="s">
        <v>1798</v>
      </c>
      <c r="H61" s="3321" t="str">
        <f>项目基本情况!B37</f>
        <v>六级</v>
      </c>
      <c r="I61" s="2968">
        <f>SUMIF(修正!A59:A70,H61,修正!G59:G70)</f>
        <v>0.15</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1808</v>
      </c>
      <c r="B62" s="4092"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1809</v>
      </c>
      <c r="B63" s="4095" t="s">
        <v>20</v>
      </c>
      <c r="C63" s="465" t="s">
        <v>21</v>
      </c>
      <c r="D63" s="465" t="s">
        <v>386</v>
      </c>
      <c r="E63" s="3319">
        <f>IF(B43="楼面地价",SUM(E53:E62),'数据-汇总表'!D3)</f>
        <v>28389.67</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1813</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1814</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1831</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1987</v>
      </c>
      <c r="B1" s="1690"/>
      <c r="C1" s="1690"/>
      <c r="D1" s="1690"/>
      <c r="E1" s="1690"/>
      <c r="F1" s="2223"/>
      <c r="G1" s="2223"/>
      <c r="H1" s="2223"/>
      <c r="I1" s="2223"/>
      <c r="J1" s="2223"/>
      <c r="K1" s="2223"/>
      <c r="L1" s="2223"/>
      <c r="M1" s="2223"/>
      <c r="N1" s="2223"/>
      <c r="O1" s="2223"/>
      <c r="P1" s="2223"/>
    </row>
    <row r="2" spans="1:16" ht="15.75">
      <c r="A2" s="1688" t="s">
        <v>1979</v>
      </c>
      <c r="B2" s="3164" t="e">
        <f ca="1">SUMIF(B6:B13,"&lt;&gt;#ref!",B6:B13)</f>
        <v>#DIV/0!</v>
      </c>
      <c r="C2" s="1688" t="s">
        <v>1980</v>
      </c>
      <c r="D2" s="1688" t="s">
        <v>1981</v>
      </c>
      <c r="E2" s="3165">
        <f ca="1">SUMIF(E6:E13,"&lt;&gt;#ref!",E6:E13)</f>
        <v>0</v>
      </c>
      <c r="F2" s="2223"/>
      <c r="G2" s="2223"/>
      <c r="H2" s="2223"/>
      <c r="I2" s="2223"/>
      <c r="J2" s="2223"/>
      <c r="K2" s="2223"/>
      <c r="L2" s="2223"/>
      <c r="M2" s="2223"/>
      <c r="N2" s="2223"/>
      <c r="O2" s="2223"/>
      <c r="P2" s="2223"/>
    </row>
    <row r="3" spans="1:16" ht="15.75">
      <c r="A3" s="1688" t="s">
        <v>1982</v>
      </c>
      <c r="B3" s="3164" t="e">
        <f ca="1">ROUND(B2*10000/E2,0)</f>
        <v>#DIV/0!</v>
      </c>
      <c r="C3" s="1688" t="s">
        <v>1988</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1983</v>
      </c>
      <c r="B5" s="2046" t="s">
        <v>1984</v>
      </c>
      <c r="C5" s="1689"/>
      <c r="D5" s="2223"/>
      <c r="E5" s="2047" t="s">
        <v>1985</v>
      </c>
      <c r="F5" s="2223"/>
      <c r="G5" s="2223"/>
      <c r="H5" s="2223"/>
      <c r="I5" s="2223"/>
      <c r="J5" s="2223"/>
      <c r="K5" s="2223"/>
      <c r="L5" s="2223"/>
      <c r="M5" s="2223"/>
      <c r="N5" s="2223"/>
      <c r="O5" s="2223"/>
      <c r="P5" s="2223"/>
    </row>
    <row r="6" spans="1:16" ht="15.75">
      <c r="A6" s="2045" t="s">
        <v>1986</v>
      </c>
      <c r="B6" s="3164" t="e">
        <f ca="1">SUMIF(INDIRECT("'"&amp;A6&amp;"'"&amp;"!A:A"),"总价",INDIRECT("'"&amp;A6&amp;"'"&amp;"!B:B"))</f>
        <v>#DIV/0!</v>
      </c>
      <c r="C6" s="1688" t="s">
        <v>1980</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1832</v>
      </c>
      <c r="B1" s="96"/>
      <c r="C1" s="100" t="s">
        <v>1833</v>
      </c>
      <c r="D1" s="229">
        <f>SUM(D33:D34,D37:D42)</f>
        <v>0</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75">
      <c r="A2" s="100" t="s">
        <v>1840</v>
      </c>
      <c r="B2" s="2757" t="e">
        <f>C30</f>
        <v>#DIV/0!</v>
      </c>
      <c r="C2" s="1548" t="s">
        <v>1841</v>
      </c>
      <c r="D2" s="1549" t="s">
        <v>1842</v>
      </c>
      <c r="E2" s="2697"/>
      <c r="F2" s="1549" t="s">
        <v>1843</v>
      </c>
      <c r="G2" s="3954">
        <f>IF(E2="商业",项目基本情况!B37,IF(E2="办公",项目基本情况!C37,IF(E2="住宅",项目基本情况!D37,IF(E2="工业",项目基本情况!E37,项目基本情况!F37))))</f>
        <v>0</v>
      </c>
      <c r="H2" s="1549" t="s">
        <v>1844</v>
      </c>
      <c r="I2" s="3954">
        <f>IF(E2="商业",项目基本情况!B38,IF(E2="办公",项目基本情况!C38,IF(E2="住宅",项目基本情况!D38,IF(E2="工业",项目基本情况!E38,项目基本情况!F38))))</f>
        <v>0</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1846</v>
      </c>
      <c r="B3" s="2757" t="e">
        <f>ROUND(B2*10000/D1,0)</f>
        <v>#DIV/0!</v>
      </c>
      <c r="C3" s="1548" t="s">
        <v>1847</v>
      </c>
      <c r="D3" s="1549" t="s">
        <v>1848</v>
      </c>
      <c r="E3" s="2696"/>
      <c r="F3" s="1552"/>
      <c r="G3" s="4512">
        <f>IF(F3="宗地容积率",'数据-汇总表'!I4,IF(F3="估价对象容积率",'数据-汇总表'!I6,'数据-汇总表'!I7))</f>
        <v>2.37</v>
      </c>
      <c r="H3" s="72" t="s">
        <v>1849</v>
      </c>
      <c r="I3" s="4513"/>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1853</v>
      </c>
      <c r="C5" s="4503" t="e">
        <f>ROUND(IF(E2="商业",C6*C7*C17+C20,(IF(E2="住宅",C6*C13*C17+C20,IF(E2="办公",C6*C12*C17+C20,C6+C20)))),0)</f>
        <v>#DIV/0!</v>
      </c>
      <c r="D5" s="3166" t="e">
        <f>ROUND(C6*C17+C20,0)</f>
        <v>#DIV/0!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1855</v>
      </c>
      <c r="B6" s="1564" t="s">
        <v>1856</v>
      </c>
      <c r="C6" s="4504">
        <f>SUMIF(L1:L12,G2,M1:M12)</f>
        <v>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3125</v>
      </c>
      <c r="B7" s="1569" t="s">
        <v>1858</v>
      </c>
      <c r="C7" s="4505" t="e">
        <f>IF(C8="不临65条商业街",1,ROUND(1+(1.6*E8+1.2*E9+0.8*E10+0.4*E11)*C9,4))</f>
        <v>#DIV/0!</v>
      </c>
      <c r="D7" s="1570" t="s">
        <v>1859</v>
      </c>
      <c r="E7" s="4511"/>
      <c r="F7" s="1571"/>
      <c r="G7" s="1572"/>
      <c r="H7" s="1572"/>
      <c r="I7" s="1572"/>
      <c r="J7" s="1573"/>
      <c r="K7" s="991"/>
      <c r="L7" s="1551" t="s">
        <v>1860</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1861</v>
      </c>
      <c r="X7" s="4556">
        <f>G2</f>
        <v>0</v>
      </c>
      <c r="Y7" s="853" t="s">
        <v>1862</v>
      </c>
      <c r="Z7" s="4558">
        <f>G3</f>
        <v>2.37</v>
      </c>
      <c r="AA7" s="854"/>
      <c r="AB7" s="854"/>
      <c r="AC7" s="855"/>
      <c r="AD7" s="856"/>
      <c r="AE7" s="856"/>
      <c r="AF7" s="856"/>
      <c r="AG7" s="856"/>
      <c r="AH7" s="856"/>
      <c r="AI7" s="856"/>
      <c r="AJ7" s="857"/>
    </row>
    <row r="8" spans="1:36" ht="15">
      <c r="A8" s="2613"/>
      <c r="B8" s="72" t="s">
        <v>1863</v>
      </c>
      <c r="C8" s="4506"/>
      <c r="D8" s="4507" t="s">
        <v>110</v>
      </c>
      <c r="E8" s="4508"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15" t="s">
        <v>1866</v>
      </c>
      <c r="X8" s="5016"/>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17"/>
      <c r="X9" s="2667" t="s">
        <v>3154</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17"/>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1885</v>
      </c>
      <c r="C11" s="4509">
        <f>C10/4</f>
        <v>0</v>
      </c>
      <c r="D11" s="4510" t="s">
        <v>113</v>
      </c>
      <c r="E11" s="4510"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3126</v>
      </c>
      <c r="B12" s="2619" t="s">
        <v>3127</v>
      </c>
      <c r="C12" s="4514"/>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3130</v>
      </c>
      <c r="B13" s="1582" t="s">
        <v>1888</v>
      </c>
      <c r="C13" s="4515">
        <f>ROUND(C16*D16*E16*F16*G16*H16*I16*J16,4)</f>
        <v>0</v>
      </c>
      <c r="D13" s="1583" t="s">
        <v>1889</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3132</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1895</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3133</v>
      </c>
      <c r="B17" s="2632" t="s">
        <v>3134</v>
      </c>
      <c r="C17" s="4518">
        <f>ROUND(IF(OR(E2="工业",E2="公共服务"),1,IF(AND(E18=0,E19=0),1,IF(AND(E18=J24,E19=G19),0.8,IF(E19=0,1+E17*(-0.2),1+E17*G17*(-0.2))))),4)</f>
        <v>1</v>
      </c>
      <c r="D17" s="2633" t="s">
        <v>3135</v>
      </c>
      <c r="E17" s="2640" t="e">
        <f>ROUND(G18/I18,2)</f>
        <v>#DIV/0!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3136</v>
      </c>
      <c r="E18" s="2827"/>
      <c r="F18" s="2635" t="s">
        <v>3139</v>
      </c>
      <c r="G18" s="2638">
        <f>ROUND(1-(1/(POWER(1+G24,E18))),4)</f>
        <v>0</v>
      </c>
      <c r="H18" s="2635" t="s">
        <v>3141</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18" t="s">
        <v>3142</v>
      </c>
      <c r="B20" s="70" t="s">
        <v>1900</v>
      </c>
      <c r="C20" s="4521" t="e">
        <f>ROUND(IF(F21="与级别开发程度一致",0,(G21-E21)/C21),0)</f>
        <v>#DIV/0!</v>
      </c>
      <c r="D20" s="2649" t="s">
        <v>1904</v>
      </c>
      <c r="E20" s="2650"/>
      <c r="F20" s="5024" t="s">
        <v>1901</v>
      </c>
      <c r="G20" s="5025"/>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9"/>
      <c r="B21" s="1704" t="s">
        <v>1903</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1906</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1907</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1908</v>
      </c>
      <c r="E23" s="4544">
        <v>44197</v>
      </c>
      <c r="F23" s="1602" t="s">
        <v>1909</v>
      </c>
      <c r="G23" s="4545">
        <f>'数据-取费表'!B2</f>
        <v>46087</v>
      </c>
      <c r="H23" s="2651"/>
      <c r="I23" s="2652" t="str">
        <f>IF(H23="季度增幅（自定义）",SUMIF(N25:N28,E2,O25:O28),"")</f>
        <v/>
      </c>
      <c r="J23" s="2713"/>
      <c r="K23" s="794"/>
      <c r="L23" s="1603" t="s">
        <v>1910</v>
      </c>
      <c r="M23" s="940">
        <f>ROUND(SUMIF(地价!B2:G2,E2,地价!B16:G16),0)</f>
        <v>0</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1912</v>
      </c>
      <c r="C24" s="4525" t="e">
        <f>ROUND(POWER(1+G24,J24-I24)*(POWER(1+G24,I24)-1)/(POWER(1+G24,J24)-1),4)</f>
        <v>#DIV/0!</v>
      </c>
      <c r="D24" s="1608" t="s">
        <v>1913</v>
      </c>
      <c r="E24" s="4543">
        <f>存贷款利率!E28/100</f>
        <v>4.3499999999999997E-2</v>
      </c>
      <c r="F24" s="1608" t="s">
        <v>1905</v>
      </c>
      <c r="G24" s="4546">
        <f>SUMIF(M30:Q30,E2,M33:Q33)</f>
        <v>0</v>
      </c>
      <c r="H24" s="1608" t="s">
        <v>1914</v>
      </c>
      <c r="I24" s="4547" t="e">
        <f>SUMIF('数据-取费表'!C6:C15,E2,'数据-取费表'!F6:F15)/COUNTIF('数据-取费表'!C6:C15,E2)</f>
        <v>#DIV/0!</v>
      </c>
      <c r="J24" s="4548">
        <f>IF(E2="住宅",70,IF(E2="商业",40,50))</f>
        <v>50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1920</v>
      </c>
      <c r="B26" s="1618" t="s">
        <v>1921</v>
      </c>
      <c r="C26" s="2653" t="s">
        <v>3143</v>
      </c>
      <c r="D26" s="4537">
        <f>IF(E26=G26,F26,IF(G3&lt;10,ROUND(F26+(H26-F26)*(G3-E26)/(G26-E26),4),"——"))</f>
        <v>0</v>
      </c>
      <c r="E26" s="4537">
        <f>ROUNDDOWN(G3,1)</f>
        <v>2.2999999999999998</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2.4</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3144</v>
      </c>
      <c r="J26" s="4538"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1923</v>
      </c>
      <c r="B27" s="1619" t="s">
        <v>1924</v>
      </c>
      <c r="C27" s="4527">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1926</v>
      </c>
      <c r="C28" s="4528">
        <f>SUMIF(A47:A101,E2,B47:B101)</f>
        <v>0</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1930</v>
      </c>
      <c r="C30" s="4529" t="e">
        <f>IF(B25="容积率修正",E33+SUM(I37:I42),SUM(V2:V16)+SUM(I37:I42))</f>
        <v>#DIV/0!</v>
      </c>
      <c r="D30" s="4201" t="s">
        <v>3791</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1931</v>
      </c>
      <c r="C31" s="4530" t="e">
        <f>E34+SUM(I37:I42)</f>
        <v>#DIV/0!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1936</v>
      </c>
      <c r="C33" s="4529" t="e">
        <f>ROUND(C5*C22*C23*C24*C25*C28,0)</f>
        <v>#DIV/0!</v>
      </c>
      <c r="D33" s="4531"/>
      <c r="E33" s="2845" t="e">
        <f>ROUND(C33*D33/10000,0)</f>
        <v>#DIV/0!</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1937</v>
      </c>
      <c r="C34" s="4532" t="e">
        <f>ROUND(IF(E2="工业",C33*M42,IF(B25="楼层修正",SUM(V2:V16)*M41*10000/D34,C33*M41)),0)</f>
        <v>#DIV/0!</v>
      </c>
      <c r="D34" s="4533"/>
      <c r="E34" s="2845" t="e">
        <f>ROUND(IF(B25="楼层修正",SUM(V2:V16)*M40,C34*D34/10000),0)</f>
        <v>#DIV/0!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3.1300000000000001E-2</v>
      </c>
      <c r="M36" s="3170">
        <f ca="1">ROUND($L$36*(1+M31),3)</f>
        <v>3.9E-2</v>
      </c>
      <c r="N36" s="3170">
        <f ca="1">ROUND($L$36*(1+N31),3)</f>
        <v>3.7999999999999999E-2</v>
      </c>
      <c r="O36" s="3170">
        <f ca="1">ROUND($L$36*(1+O31),3)</f>
        <v>3.5999999999999997E-2</v>
      </c>
      <c r="P36" s="3170">
        <f ca="1">ROUND($L$36*(1+P31),3)</f>
        <v>3.4000000000000002E-2</v>
      </c>
      <c r="Q36" s="3170">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22"/>
      <c r="B37" s="4559" t="s">
        <v>1942</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3152</v>
      </c>
      <c r="L37" s="3171">
        <f ca="1">L36+K38</f>
        <v>3.6299999999999999E-2</v>
      </c>
      <c r="M37" s="3170">
        <f ca="1">ROUND($L$37*(1+M31),3)</f>
        <v>4.4999999999999998E-2</v>
      </c>
      <c r="N37" s="3170">
        <f t="shared" ref="N37:Q37" ca="1" si="3">ROUND($L$37*(1+N31),3)</f>
        <v>4.3999999999999997E-2</v>
      </c>
      <c r="O37" s="3170">
        <f t="shared" ca="1" si="3"/>
        <v>4.2000000000000003E-2</v>
      </c>
      <c r="P37" s="3170">
        <f t="shared" ca="1" si="3"/>
        <v>0.04</v>
      </c>
      <c r="Q37" s="3170">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23"/>
      <c r="B38" s="3812" t="s">
        <v>1943</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23"/>
      <c r="B39" s="3812" t="s">
        <v>3145</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3153</v>
      </c>
      <c r="M41" s="1662">
        <v>0.25</v>
      </c>
      <c r="Z41" s="789"/>
      <c r="AA41" s="789"/>
      <c r="AB41" s="789"/>
      <c r="AC41" s="789"/>
      <c r="AD41" s="789"/>
      <c r="AE41" s="789"/>
      <c r="AF41" s="789"/>
      <c r="AG41" s="789"/>
      <c r="AH41" s="789"/>
      <c r="AI41" s="789"/>
      <c r="AJ41" s="789"/>
    </row>
    <row r="42" spans="1:37" s="788" customFormat="1" ht="13.5" thickBot="1">
      <c r="A42" s="1647"/>
      <c r="B42" s="4560" t="s">
        <v>1947</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t="e">
        <f>ROUND(POWER(1+E44,H44-G44)*(POWER(1+E44,G44)-1)/(POWER(1+E44,H44)-1),4)</f>
        <v>#DIV/0!</v>
      </c>
      <c r="D44" s="73" t="s">
        <v>1905</v>
      </c>
      <c r="E44" s="1696">
        <f>G24</f>
        <v>0</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1949</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1950</v>
      </c>
      <c r="B49" s="959" t="s">
        <v>1951</v>
      </c>
      <c r="C49" s="959" t="s">
        <v>1952</v>
      </c>
      <c r="D49" s="959" t="s">
        <v>1953</v>
      </c>
      <c r="E49" s="531" t="s">
        <v>1954</v>
      </c>
      <c r="F49" s="1674" t="s">
        <v>1955</v>
      </c>
      <c r="G49" s="959" t="s">
        <v>308</v>
      </c>
      <c r="H49" s="1675" t="s">
        <v>1956</v>
      </c>
      <c r="I49" s="959" t="s">
        <v>1957</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1958</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1959</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3155</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1960</v>
      </c>
      <c r="B53" s="1678" t="s">
        <v>1961</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1963</v>
      </c>
      <c r="B55" s="1679" t="s">
        <v>1964</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1965</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1966</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1967</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1950</v>
      </c>
      <c r="B60" s="959"/>
      <c r="C60" s="959" t="s">
        <v>1952</v>
      </c>
      <c r="D60" s="959" t="s">
        <v>1953</v>
      </c>
      <c r="E60" s="531" t="s">
        <v>1954</v>
      </c>
      <c r="F60" s="1674" t="s">
        <v>1969</v>
      </c>
      <c r="G60" s="959" t="s">
        <v>308</v>
      </c>
      <c r="H60" s="1675" t="s">
        <v>1956</v>
      </c>
      <c r="I60" s="959" t="s">
        <v>1957</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1970</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1959</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3155</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1960</v>
      </c>
      <c r="B64" s="1678" t="s">
        <v>1961</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1963</v>
      </c>
      <c r="B66" s="1679" t="s">
        <v>1964</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1965</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1966</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1967</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1971</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1950</v>
      </c>
      <c r="B71" s="959"/>
      <c r="C71" s="959" t="s">
        <v>1952</v>
      </c>
      <c r="D71" s="959" t="s">
        <v>1953</v>
      </c>
      <c r="E71" s="531" t="s">
        <v>1954</v>
      </c>
      <c r="F71" s="1674" t="s">
        <v>1969</v>
      </c>
      <c r="G71" s="959" t="s">
        <v>308</v>
      </c>
      <c r="H71" s="1675" t="s">
        <v>1956</v>
      </c>
      <c r="I71" s="959" t="s">
        <v>1957</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1972</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1959</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3155</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1973</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1965</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1966</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1963</v>
      </c>
      <c r="B78" s="1679" t="s">
        <v>1964</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1967</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1974</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1975</v>
      </c>
      <c r="B81" s="1670">
        <f>1+E83</f>
        <v>1</v>
      </c>
      <c r="C81" s="529"/>
      <c r="D81" s="529"/>
      <c r="E81" s="530"/>
      <c r="F81" s="1672"/>
      <c r="G81" s="3"/>
      <c r="H81" s="3"/>
      <c r="I81" s="3"/>
      <c r="J81" s="4"/>
      <c r="K81" s="4"/>
      <c r="L81" s="4"/>
      <c r="M81" s="4"/>
      <c r="N81" s="4"/>
      <c r="Z81" s="1547"/>
      <c r="AA81" s="1601"/>
      <c r="AG81" s="790"/>
      <c r="AK81" s="1601"/>
    </row>
    <row r="82" spans="1:37" ht="24.75">
      <c r="A82" s="1673" t="s">
        <v>1950</v>
      </c>
      <c r="B82" s="959"/>
      <c r="C82" s="959" t="s">
        <v>1952</v>
      </c>
      <c r="D82" s="959" t="s">
        <v>1953</v>
      </c>
      <c r="E82" s="531" t="s">
        <v>1954</v>
      </c>
      <c r="F82" s="1674" t="s">
        <v>1969</v>
      </c>
      <c r="G82" s="959" t="s">
        <v>308</v>
      </c>
      <c r="H82" s="1675" t="s">
        <v>1956</v>
      </c>
      <c r="I82" s="959" t="s">
        <v>1957</v>
      </c>
      <c r="J82" s="402" t="s">
        <v>1628</v>
      </c>
      <c r="K82" s="402" t="s">
        <v>1629</v>
      </c>
      <c r="L82" s="402" t="s">
        <v>1630</v>
      </c>
      <c r="M82" s="402" t="s">
        <v>1631</v>
      </c>
      <c r="N82" s="402" t="s">
        <v>1632</v>
      </c>
      <c r="Z82" s="1547"/>
      <c r="AA82" s="1601"/>
      <c r="AG82" s="790"/>
      <c r="AK82" s="1601"/>
    </row>
    <row r="83" spans="1:37" ht="38.25">
      <c r="A83" s="1673" t="s">
        <v>1976</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1959</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3156</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1973</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1965</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1966</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1963</v>
      </c>
      <c r="B89" s="1679" t="s">
        <v>1977</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1978</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2500</v>
      </c>
      <c r="B91" s="2678">
        <f>1+E93</f>
        <v>1</v>
      </c>
      <c r="C91" s="2671"/>
      <c r="D91" s="2672"/>
      <c r="E91" s="1397"/>
      <c r="F91" s="1397"/>
      <c r="G91" s="2673"/>
      <c r="H91" s="2674"/>
      <c r="I91" s="2675"/>
      <c r="J91" s="2676"/>
      <c r="K91" s="2676"/>
      <c r="L91" s="2676"/>
      <c r="M91" s="2676"/>
      <c r="N91" s="2676"/>
    </row>
    <row r="92" spans="1:37" ht="24.75">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3159</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3155</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3160</v>
      </c>
      <c r="B96" s="2682" t="s">
        <v>3171</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3161</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3162</v>
      </c>
      <c r="B98" s="2683" t="s">
        <v>3172</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3163</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3164</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3165</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20" t="s">
        <v>3180</v>
      </c>
      <c r="B103" s="5020"/>
      <c r="C103" s="5020"/>
      <c r="D103" s="5020"/>
      <c r="E103" s="5020"/>
      <c r="F103" s="5020"/>
      <c r="G103" s="5020"/>
      <c r="H103" s="5020"/>
      <c r="I103" s="5020"/>
      <c r="J103" s="5020"/>
      <c r="K103" s="2687"/>
      <c r="L103" s="2687"/>
      <c r="M103" s="2687"/>
      <c r="N103" s="2687"/>
    </row>
    <row r="104" spans="1:14">
      <c r="A104" s="5021" t="s">
        <v>3181</v>
      </c>
      <c r="B104" s="5021" t="s">
        <v>3182</v>
      </c>
      <c r="C104" s="4595" t="s">
        <v>3183</v>
      </c>
      <c r="D104" s="4596"/>
      <c r="E104" s="4596"/>
      <c r="F104" s="4596"/>
      <c r="G104" s="4596"/>
      <c r="H104" s="4596"/>
      <c r="I104" s="4596"/>
      <c r="J104" s="4596"/>
      <c r="K104" s="4596"/>
      <c r="L104" s="4596"/>
      <c r="M104" s="4596"/>
      <c r="N104" s="4597"/>
    </row>
    <row r="105" spans="1:14">
      <c r="A105" s="5021"/>
      <c r="B105" s="5021"/>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11" t="s">
        <v>3196</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12"/>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12"/>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12"/>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12"/>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12"/>
      <c r="B111" s="2688" t="s">
        <v>3154</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13"/>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14" t="s">
        <v>3197</v>
      </c>
      <c r="B113" s="5014"/>
      <c r="C113" s="5014"/>
      <c r="D113" s="5014"/>
      <c r="E113" s="5014"/>
      <c r="F113" s="5014"/>
      <c r="G113" s="5014"/>
      <c r="H113" s="5014"/>
      <c r="I113" s="5014"/>
      <c r="J113" s="5014"/>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3198</v>
      </c>
      <c r="B116" s="4593">
        <f>G3</f>
        <v>2.37</v>
      </c>
      <c r="C116" s="4590" t="s">
        <v>3199</v>
      </c>
      <c r="D116" s="4594">
        <f>SUMPRODUCT((A118:A122=F116)*(B117:M117=H116)*B118:M122)</f>
        <v>0</v>
      </c>
      <c r="E116" s="4590" t="s">
        <v>3200</v>
      </c>
      <c r="F116" s="4591">
        <f>E2</f>
        <v>0</v>
      </c>
      <c r="G116" s="4590" t="s">
        <v>3201</v>
      </c>
      <c r="H116" s="4591">
        <f>G2</f>
        <v>0</v>
      </c>
      <c r="I116" s="4592"/>
      <c r="J116" s="2691"/>
      <c r="K116" s="2691"/>
      <c r="L116" s="2691"/>
      <c r="M116" s="2691"/>
      <c r="N116" s="2690"/>
    </row>
    <row r="117" spans="1:14">
      <c r="A117" s="4585"/>
      <c r="B117" s="2692" t="s">
        <v>3202</v>
      </c>
      <c r="C117" s="2692" t="s">
        <v>3203</v>
      </c>
      <c r="D117" s="2692" t="s">
        <v>3204</v>
      </c>
      <c r="E117" s="2692" t="s">
        <v>3205</v>
      </c>
      <c r="F117" s="2692" t="s">
        <v>3206</v>
      </c>
      <c r="G117" s="2692" t="s">
        <v>3207</v>
      </c>
      <c r="H117" s="4586" t="s">
        <v>3208</v>
      </c>
      <c r="I117" s="4586" t="s">
        <v>3209</v>
      </c>
      <c r="J117" s="2692" t="s">
        <v>3210</v>
      </c>
      <c r="K117" s="2692" t="s">
        <v>3211</v>
      </c>
      <c r="L117" s="2692" t="s">
        <v>3212</v>
      </c>
      <c r="M117" s="4587" t="s">
        <v>3213</v>
      </c>
      <c r="N117" s="2690"/>
    </row>
    <row r="118" spans="1:14">
      <c r="A118" s="2693" t="s">
        <v>3214</v>
      </c>
      <c r="B118" s="4581">
        <f>ROUND(0.9968-0.011*B116,4)</f>
        <v>0.97070000000000001</v>
      </c>
      <c r="C118" s="4581">
        <f>B118</f>
        <v>0.97070000000000001</v>
      </c>
      <c r="D118" s="4581">
        <f>ROUND(0.949-0.014*B116,4)</f>
        <v>0.91579999999999995</v>
      </c>
      <c r="E118" s="4581">
        <f>D118</f>
        <v>0.91579999999999995</v>
      </c>
      <c r="F118" s="4581">
        <f>E118</f>
        <v>0.91579999999999995</v>
      </c>
      <c r="G118" s="4581">
        <f>F118</f>
        <v>0.91579999999999995</v>
      </c>
      <c r="H118" s="4581">
        <f>G118</f>
        <v>0.91579999999999995</v>
      </c>
      <c r="I118" s="4581">
        <f>ROUND(0.8486-0.018*B116,4)</f>
        <v>0.80589999999999995</v>
      </c>
      <c r="J118" s="4581">
        <f t="shared" ref="J118:M122" si="35">I118</f>
        <v>0.80589999999999995</v>
      </c>
      <c r="K118" s="4581">
        <f t="shared" si="35"/>
        <v>0.80589999999999995</v>
      </c>
      <c r="L118" s="4581">
        <f t="shared" si="35"/>
        <v>0.80589999999999995</v>
      </c>
      <c r="M118" s="4582">
        <f t="shared" si="35"/>
        <v>0.80589999999999995</v>
      </c>
      <c r="N118" s="2690"/>
    </row>
    <row r="119" spans="1:14">
      <c r="A119" s="2693" t="s">
        <v>3215</v>
      </c>
      <c r="B119" s="4581">
        <f>ROUND(0.993-0.0112*B116,4)</f>
        <v>0.96650000000000003</v>
      </c>
      <c r="C119" s="4581">
        <f>B119</f>
        <v>0.96650000000000003</v>
      </c>
      <c r="D119" s="4581">
        <f>ROUND(0.9415-0.0142*B116,4)</f>
        <v>0.90780000000000005</v>
      </c>
      <c r="E119" s="4581">
        <f t="shared" ref="E119:H120" si="36">D119</f>
        <v>0.90780000000000005</v>
      </c>
      <c r="F119" s="4581">
        <f t="shared" si="36"/>
        <v>0.90780000000000005</v>
      </c>
      <c r="G119" s="4581">
        <f t="shared" si="36"/>
        <v>0.90780000000000005</v>
      </c>
      <c r="H119" s="4581">
        <f t="shared" si="36"/>
        <v>0.90780000000000005</v>
      </c>
      <c r="I119" s="4581">
        <f>ROUND(0.838-0.0182*B116,4)</f>
        <v>0.79490000000000005</v>
      </c>
      <c r="J119" s="4581">
        <f t="shared" si="35"/>
        <v>0.79490000000000005</v>
      </c>
      <c r="K119" s="4581">
        <f t="shared" si="35"/>
        <v>0.79490000000000005</v>
      </c>
      <c r="L119" s="4581">
        <f t="shared" si="35"/>
        <v>0.79490000000000005</v>
      </c>
      <c r="M119" s="4582">
        <f t="shared" si="35"/>
        <v>0.79490000000000005</v>
      </c>
      <c r="N119" s="2690"/>
    </row>
    <row r="120" spans="1:14">
      <c r="A120" s="2693" t="s">
        <v>3216</v>
      </c>
      <c r="B120" s="4581">
        <f>ROUND(0.9448-0.0115*B116,4)</f>
        <v>0.91749999999999998</v>
      </c>
      <c r="C120" s="4581">
        <f>B120</f>
        <v>0.91749999999999998</v>
      </c>
      <c r="D120" s="4581">
        <f>ROUND(0.937-0.0145*B116,4)</f>
        <v>0.90259999999999996</v>
      </c>
      <c r="E120" s="4581">
        <f t="shared" si="36"/>
        <v>0.90259999999999996</v>
      </c>
      <c r="F120" s="4581">
        <f t="shared" si="36"/>
        <v>0.90259999999999996</v>
      </c>
      <c r="G120" s="4581">
        <f t="shared" si="36"/>
        <v>0.90259999999999996</v>
      </c>
      <c r="H120" s="4581">
        <f t="shared" si="36"/>
        <v>0.90259999999999996</v>
      </c>
      <c r="I120" s="4581">
        <f>ROUND(0.7965-0.0185*B116,4)</f>
        <v>0.75270000000000004</v>
      </c>
      <c r="J120" s="4581">
        <f t="shared" si="35"/>
        <v>0.75270000000000004</v>
      </c>
      <c r="K120" s="4581">
        <f t="shared" si="35"/>
        <v>0.75270000000000004</v>
      </c>
      <c r="L120" s="4581">
        <f t="shared" si="35"/>
        <v>0.75270000000000004</v>
      </c>
      <c r="M120" s="4582">
        <f t="shared" si="35"/>
        <v>0.75270000000000004</v>
      </c>
      <c r="N120" s="2690"/>
    </row>
    <row r="121" spans="1:14">
      <c r="A121" s="2693" t="s">
        <v>3217</v>
      </c>
      <c r="B121" s="4581">
        <f>ROUND(0.7836-0.012*B116,4)</f>
        <v>0.75519999999999998</v>
      </c>
      <c r="C121" s="4581">
        <f>B121</f>
        <v>0.75519999999999998</v>
      </c>
      <c r="D121" s="4581">
        <f>ROUND(0.753-0.015*B116,4)</f>
        <v>0.71750000000000003</v>
      </c>
      <c r="E121" s="4581">
        <f>D121</f>
        <v>0.71750000000000003</v>
      </c>
      <c r="F121" s="4581">
        <f>E121</f>
        <v>0.71750000000000003</v>
      </c>
      <c r="G121" s="4581">
        <f>ROUND(0.6612-0.018*B116,4)</f>
        <v>0.61850000000000005</v>
      </c>
      <c r="H121" s="4581">
        <f>G121</f>
        <v>0.61850000000000005</v>
      </c>
      <c r="I121" s="4581">
        <f>ROUND(0.5905-0.019*B116,4)</f>
        <v>0.54549999999999998</v>
      </c>
      <c r="J121" s="4581">
        <f t="shared" si="35"/>
        <v>0.54549999999999998</v>
      </c>
      <c r="K121" s="4581">
        <f t="shared" si="35"/>
        <v>0.54549999999999998</v>
      </c>
      <c r="L121" s="4581">
        <f t="shared" si="35"/>
        <v>0.54549999999999998</v>
      </c>
      <c r="M121" s="4582">
        <f t="shared" si="35"/>
        <v>0.54549999999999998</v>
      </c>
      <c r="N121" s="2690"/>
    </row>
    <row r="122" spans="1:14" ht="13.5" thickBot="1">
      <c r="A122" s="4588" t="s">
        <v>2500</v>
      </c>
      <c r="B122" s="4583">
        <f>ROUND(0.9404-0.0106*B116,4)</f>
        <v>0.9153</v>
      </c>
      <c r="C122" s="4583">
        <f>B122</f>
        <v>0.9153</v>
      </c>
      <c r="D122" s="4583">
        <f>ROUND(0.8955-0.0135*B116,4)</f>
        <v>0.86350000000000005</v>
      </c>
      <c r="E122" s="4583">
        <f t="shared" ref="E122:H122" si="37">D122</f>
        <v>0.86350000000000005</v>
      </c>
      <c r="F122" s="4583">
        <f t="shared" si="37"/>
        <v>0.86350000000000005</v>
      </c>
      <c r="G122" s="4583">
        <f t="shared" si="37"/>
        <v>0.86350000000000005</v>
      </c>
      <c r="H122" s="4583">
        <f t="shared" si="37"/>
        <v>0.86350000000000005</v>
      </c>
      <c r="I122" s="4583">
        <f>ROUND(0.7632-0.0166*B116,4)</f>
        <v>0.72389999999999999</v>
      </c>
      <c r="J122" s="4583">
        <f t="shared" si="35"/>
        <v>0.72389999999999999</v>
      </c>
      <c r="K122" s="4583">
        <f t="shared" si="35"/>
        <v>0.72389999999999999</v>
      </c>
      <c r="L122" s="4583">
        <f t="shared" si="35"/>
        <v>0.72389999999999999</v>
      </c>
      <c r="M122" s="4584">
        <f t="shared" si="35"/>
        <v>0.72389999999999999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3514</v>
      </c>
      <c r="B1" s="832"/>
      <c r="C1" s="833"/>
      <c r="D1" s="831"/>
      <c r="E1" s="2225"/>
      <c r="F1" s="2225"/>
      <c r="G1" s="2104"/>
      <c r="H1" s="2225"/>
      <c r="I1" s="2225"/>
      <c r="J1" s="2225"/>
      <c r="K1" s="2226">
        <f>MATCH(C1,'数据-取费表'!A6:A16,0)+5</f>
        <v>10</v>
      </c>
    </row>
    <row r="2" spans="1:33" ht="18" customHeight="1">
      <c r="A2" s="100" t="s">
        <v>1431</v>
      </c>
      <c r="B2" s="2757">
        <f ca="1">C34</f>
        <v>-71875</v>
      </c>
      <c r="C2" s="175" t="s">
        <v>1531</v>
      </c>
      <c r="D2" s="175"/>
      <c r="E2" s="2225"/>
      <c r="F2" s="2225"/>
      <c r="G2" s="2225"/>
      <c r="H2" s="2225"/>
      <c r="I2" s="2225"/>
      <c r="J2" s="2225"/>
      <c r="K2" s="2225"/>
    </row>
    <row r="3" spans="1:33" ht="18" customHeight="1">
      <c r="A3" s="102" t="s">
        <v>1433</v>
      </c>
      <c r="B3" s="2757">
        <f ca="1">ROUND(B2*10000/IF(C1="",'数据-汇总表'!E3,INDIRECT("'数据-取费表'!K"&amp;$K$1)),0)</f>
        <v>-7534</v>
      </c>
      <c r="C3" s="175" t="s">
        <v>1532</v>
      </c>
      <c r="D3" s="175"/>
      <c r="E3" s="2225"/>
      <c r="F3" s="2225"/>
      <c r="G3" s="2225"/>
      <c r="H3" s="2225"/>
      <c r="I3" s="2225"/>
      <c r="J3" s="2225"/>
      <c r="K3" s="2225"/>
    </row>
    <row r="4" spans="1:33" ht="18" customHeight="1">
      <c r="A4" s="3648" t="s">
        <v>3629</v>
      </c>
      <c r="B4" s="2756">
        <f ca="1">ROUND(B2*10000/IF(C1="",'数据-汇总表'!D3,INDIRECT("'数据-取费表'!R"&amp;$K$1)),0)</f>
        <v>-25317</v>
      </c>
      <c r="C4" s="1435" t="s">
        <v>3631</v>
      </c>
      <c r="D4" s="175"/>
      <c r="E4" s="2225"/>
      <c r="F4" s="2225"/>
      <c r="G4" s="2225"/>
      <c r="H4" s="2225"/>
      <c r="I4" s="2225"/>
      <c r="J4" s="2225"/>
      <c r="K4" s="2225"/>
    </row>
    <row r="5" spans="1:33" ht="18" customHeight="1" thickBot="1">
      <c r="A5" s="98"/>
      <c r="B5" s="3657">
        <f ca="1">ROUND(B2/(IF(C1="",'数据-汇总表'!D3,INDIRECT("'数据-取费表'!R"&amp;$K$1))/666.67),0)</f>
        <v>-1688</v>
      </c>
      <c r="C5" s="3651" t="s">
        <v>3630</v>
      </c>
      <c r="D5" s="175"/>
      <c r="E5" s="2225"/>
      <c r="F5" s="2225"/>
      <c r="G5" s="2225"/>
      <c r="H5" s="2225"/>
      <c r="I5" s="2225"/>
      <c r="J5" s="2225"/>
      <c r="K5" s="2225"/>
    </row>
    <row r="6" spans="1:33" s="542" customFormat="1" ht="16.5" customHeight="1">
      <c r="A6" s="2890" t="s">
        <v>3518</v>
      </c>
      <c r="B6" s="2889"/>
      <c r="C6" s="4907" t="s">
        <v>3375</v>
      </c>
      <c r="D6" s="4907"/>
      <c r="E6" s="4907"/>
      <c r="F6" s="4907"/>
      <c r="G6" s="4907"/>
      <c r="H6" s="4907"/>
      <c r="I6" s="4907"/>
      <c r="J6" s="4907"/>
      <c r="K6" s="4908"/>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3959</v>
      </c>
      <c r="B10" s="4440" t="s">
        <v>3954</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26" t="s">
        <v>3519</v>
      </c>
      <c r="B11" s="5027"/>
      <c r="C11" s="5027"/>
      <c r="D11" s="5027"/>
      <c r="E11" s="5027"/>
      <c r="F11" s="5027"/>
      <c r="G11" s="5027"/>
      <c r="H11" s="5027"/>
      <c r="I11" s="5027"/>
      <c r="J11" s="5027"/>
      <c r="K11" s="5028"/>
    </row>
    <row r="12" spans="1:33" s="4437" customFormat="1" ht="13.5" customHeight="1">
      <c r="A12" s="3470" t="s">
        <v>3508</v>
      </c>
      <c r="B12" s="4434" t="s">
        <v>1537</v>
      </c>
      <c r="C12" s="4438" t="s">
        <v>3954</v>
      </c>
      <c r="D12" s="4434" t="s">
        <v>1539</v>
      </c>
      <c r="E12" s="4434" t="s">
        <v>1540</v>
      </c>
      <c r="F12" s="4434" t="s">
        <v>1541</v>
      </c>
      <c r="G12" s="4446" t="s">
        <v>3399</v>
      </c>
      <c r="H12" s="4447"/>
      <c r="I12" s="4447"/>
      <c r="J12" s="4447"/>
      <c r="K12" s="4448"/>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71875</v>
      </c>
      <c r="D15" s="559"/>
      <c r="E15" s="177"/>
      <c r="F15" s="3486"/>
      <c r="G15" s="3613" t="s">
        <v>3538</v>
      </c>
      <c r="H15" s="555"/>
      <c r="I15" s="555"/>
      <c r="J15" s="555"/>
      <c r="K15" s="556"/>
    </row>
    <row r="16" spans="1:33" s="552" customFormat="1" ht="13.5" customHeight="1">
      <c r="A16" s="3624" t="s">
        <v>3588</v>
      </c>
      <c r="B16" s="3490" t="s">
        <v>3521</v>
      </c>
      <c r="C16" s="3491">
        <f ca="1">SUM(C17:C22)</f>
        <v>56671</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47778</v>
      </c>
      <c r="D17" s="3493"/>
      <c r="E17" s="3494"/>
      <c r="F17" s="3506"/>
      <c r="G17" s="3614"/>
      <c r="H17" s="3611"/>
      <c r="I17" s="3611"/>
      <c r="J17" s="3611"/>
      <c r="K17" s="3623"/>
    </row>
    <row r="18" spans="1:33" s="552" customFormat="1" ht="13.5" customHeight="1">
      <c r="A18" s="3625" t="s">
        <v>3527</v>
      </c>
      <c r="B18" s="3477" t="s">
        <v>3528</v>
      </c>
      <c r="C18" s="2735">
        <f ca="1">ROUND(C17*F18,0)</f>
        <v>1911</v>
      </c>
      <c r="D18" s="3490"/>
      <c r="E18" s="3490"/>
      <c r="F18" s="3507">
        <f>'数据-取费表'!B33</f>
        <v>0.04</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1635</v>
      </c>
      <c r="D19" s="3495"/>
      <c r="E19" s="3495"/>
      <c r="F19" s="3507">
        <f>'数据-取费表'!B34</f>
        <v>0.05</v>
      </c>
      <c r="G19" s="2731"/>
      <c r="H19" s="3611"/>
      <c r="I19" s="3611"/>
      <c r="J19" s="3611"/>
      <c r="K19" s="3623"/>
    </row>
    <row r="20" spans="1:33" s="552" customFormat="1" ht="13.5" customHeight="1">
      <c r="A20" s="3625" t="s">
        <v>3541</v>
      </c>
      <c r="B20" s="3478" t="s">
        <v>3549</v>
      </c>
      <c r="C20" s="2735">
        <f ca="1">ROUND(D20*E20/10000,0)</f>
        <v>3435</v>
      </c>
      <c r="D20" s="3488">
        <f ca="1">IF(C1="",'数据-汇总表'!E3,INDIRECT("'数据-取费表'!K"&amp;$K$1)+INDIRECT("'数据-取费表'!S"&amp;$K$1))</f>
        <v>95404.21</v>
      </c>
      <c r="E20" s="3489">
        <f>'数据-取费表'!B35</f>
        <v>360</v>
      </c>
      <c r="F20" s="3488"/>
      <c r="G20" s="2731"/>
      <c r="H20" s="3611"/>
      <c r="I20" s="3611"/>
      <c r="J20" s="555"/>
      <c r="K20" s="556"/>
    </row>
    <row r="21" spans="1:33" s="552" customFormat="1" ht="13.5" customHeight="1">
      <c r="A21" s="3625" t="s">
        <v>3542</v>
      </c>
      <c r="B21" s="3479" t="s">
        <v>3499</v>
      </c>
      <c r="C21" s="2735">
        <f ca="1">ROUND(C17*F21,0)</f>
        <v>956</v>
      </c>
      <c r="D21" s="3495"/>
      <c r="E21" s="3495"/>
      <c r="F21" s="3507">
        <f>'数据-取费表'!B36</f>
        <v>0.02</v>
      </c>
      <c r="G21" s="2731"/>
      <c r="H21" s="3466"/>
      <c r="I21" s="3466"/>
      <c r="J21" s="3466"/>
      <c r="K21" s="3626"/>
    </row>
    <row r="22" spans="1:33" s="552" customFormat="1" ht="13.5" customHeight="1">
      <c r="A22" s="3625" t="s">
        <v>3543</v>
      </c>
      <c r="B22" s="3479" t="s">
        <v>3550</v>
      </c>
      <c r="C22" s="2735">
        <f ca="1">ROUND(C17*F22,0)</f>
        <v>956</v>
      </c>
      <c r="D22" s="3495"/>
      <c r="E22" s="3495"/>
      <c r="F22" s="3507">
        <f>'数据-取费表'!B37</f>
        <v>0.02</v>
      </c>
      <c r="G22" s="2731"/>
      <c r="H22" s="3466"/>
      <c r="I22" s="3466"/>
      <c r="J22" s="3466"/>
      <c r="K22" s="3626"/>
    </row>
    <row r="23" spans="1:33" s="553" customFormat="1" ht="13.5" customHeight="1">
      <c r="A23" s="3624" t="s">
        <v>3589</v>
      </c>
      <c r="B23" s="3490" t="s">
        <v>3485</v>
      </c>
      <c r="C23" s="2740">
        <f ca="1">ROUND(C16*F23,0)</f>
        <v>1133</v>
      </c>
      <c r="D23" s="3496"/>
      <c r="E23" s="3496"/>
      <c r="F23" s="3508">
        <f>'数据-取费表'!B38</f>
        <v>0.02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0.05V建</v>
      </c>
      <c r="D24" s="3496"/>
      <c r="E24" s="3496"/>
      <c r="F24" s="3508">
        <f>'数据-取费表'!B39</f>
        <v>0.05</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3591</v>
      </c>
      <c r="B25" s="3490" t="s">
        <v>3416</v>
      </c>
      <c r="C25" s="3497" t="str">
        <f ca="1">C26&amp;"+"&amp;C27&amp;"V建"</f>
        <v>1809+0.001V建</v>
      </c>
      <c r="D25" s="3498"/>
      <c r="E25" s="3498"/>
      <c r="F25" s="3507">
        <f ca="1">'数据-取费表'!B41</f>
        <v>3.1300000000000001E-2</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1809</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ROUND(IF('数据-取费表'!B20&lt;=1,F24*F25*'数据-取费表'!B20/2,F24*(POWER((1+F23),'数据-取费表'!B20/2)-1)),4)</f>
        <v>1E-3</v>
      </c>
      <c r="D27" s="3467"/>
      <c r="E27" s="3467"/>
      <c r="F27" s="3506"/>
      <c r="G27" s="3617"/>
      <c r="H27" s="3611"/>
      <c r="I27" s="3611"/>
      <c r="J27" s="3611"/>
      <c r="K27" s="3623"/>
    </row>
    <row r="28" spans="1:33" s="552" customFormat="1" ht="13.5" customHeight="1">
      <c r="A28" s="3624" t="s">
        <v>3534</v>
      </c>
      <c r="B28" s="3490" t="s">
        <v>3551</v>
      </c>
      <c r="C28" s="2887" t="str">
        <f ca="1">C29&amp;"+"&amp;C30&amp;"V建"</f>
        <v>8093+0.007V建</v>
      </c>
      <c r="D28" s="1070"/>
      <c r="E28" s="1070"/>
      <c r="F28" s="3509">
        <f ca="1">IF(C1="",'数据-取费表'!Q16,INDIRECT("'数据-取费表'!q"&amp;$K$1))</f>
        <v>0.14000000000000001</v>
      </c>
      <c r="G28" s="5029" t="s">
        <v>3535</v>
      </c>
      <c r="H28" s="3611"/>
      <c r="I28" s="3611"/>
      <c r="J28" s="3611"/>
      <c r="K28" s="3623"/>
    </row>
    <row r="29" spans="1:33" s="552" customFormat="1" ht="13.5" customHeight="1">
      <c r="A29" s="3625" t="s">
        <v>3547</v>
      </c>
      <c r="B29" s="3479" t="s">
        <v>3552</v>
      </c>
      <c r="C29" s="2888">
        <f ca="1">ROUND((C16+C23)*F28,0)</f>
        <v>8093</v>
      </c>
      <c r="D29" s="1070"/>
      <c r="E29" s="1070"/>
      <c r="F29" s="2957"/>
      <c r="G29" s="5029"/>
      <c r="H29" s="3618"/>
      <c r="I29" s="3618"/>
      <c r="J29" s="3618"/>
      <c r="K29" s="3628"/>
    </row>
    <row r="30" spans="1:33" s="560" customFormat="1" ht="13.5" customHeight="1">
      <c r="A30" s="3625" t="s">
        <v>3548</v>
      </c>
      <c r="B30" s="3479" t="s">
        <v>3553</v>
      </c>
      <c r="C30" s="2735">
        <f ca="1">ROUND(F24*F28,4)</f>
        <v>7.0000000000000001E-3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71875</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5.75" thickBot="1">
      <c r="A34" s="3630">
        <v>4</v>
      </c>
      <c r="B34" s="3631" t="s">
        <v>3594</v>
      </c>
      <c r="C34" s="3632">
        <f ca="1">C13-C15</f>
        <v>-71875</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1"/>
      <c r="C2" s="4641"/>
      <c r="D2" s="4641"/>
      <c r="E2" s="4641"/>
    </row>
    <row r="3" spans="1:5" ht="18">
      <c r="A3" s="4642" t="str">
        <f>IF(项目基本情况!B9="房地产市场价值","估价结果一览表（市场价值不需“结果表-1”）","估价结果一览表")</f>
        <v>估价结果一览表</v>
      </c>
      <c r="B3" s="4642"/>
      <c r="C3" s="4642"/>
      <c r="D3" s="4642"/>
      <c r="E3" s="4642"/>
    </row>
    <row r="4" spans="1:5" ht="19.5" thickBot="1">
      <c r="A4" s="1099"/>
      <c r="B4" s="4640" t="s">
        <v>901</v>
      </c>
      <c r="C4" s="4640"/>
      <c r="D4" s="4640"/>
      <c r="E4" s="1099"/>
    </row>
    <row r="5" spans="1:5" ht="16.5" thickTop="1">
      <c r="A5" s="1097"/>
      <c r="B5" s="4638" t="s">
        <v>893</v>
      </c>
      <c r="C5" s="1100" t="s">
        <v>894</v>
      </c>
      <c r="D5" s="573">
        <f ca="1">结果表!H101</f>
        <v>139930</v>
      </c>
      <c r="E5" s="1097"/>
    </row>
    <row r="6" spans="1:5" ht="15.75">
      <c r="A6" s="1097"/>
      <c r="B6" s="4638"/>
      <c r="C6" s="1100" t="s">
        <v>895</v>
      </c>
      <c r="D6" s="573" t="str">
        <f ca="1">NUMBERSTRING(INT(D5*10000),2)&amp;"元整"</f>
        <v>壹拾叁亿玖仟玖佰叁拾万元整</v>
      </c>
      <c r="E6" s="1097"/>
    </row>
    <row r="7" spans="1:5" ht="15.75">
      <c r="A7" s="1097"/>
      <c r="B7" s="4643"/>
      <c r="C7" s="1101" t="s">
        <v>896</v>
      </c>
      <c r="D7" s="574">
        <f ca="1">结果表!H102</f>
        <v>14667</v>
      </c>
      <c r="E7" s="1097"/>
    </row>
    <row r="8" spans="1:5" ht="15.75">
      <c r="A8" s="1097"/>
      <c r="B8" s="4644" t="str">
        <f>结果表!E103</f>
        <v>2.估价师知悉的法定优先受偿款</v>
      </c>
      <c r="C8" s="1102" t="s">
        <v>897</v>
      </c>
      <c r="D8" s="574">
        <f>结果表!H103</f>
        <v>2026</v>
      </c>
      <c r="E8" s="1097"/>
    </row>
    <row r="9" spans="1:5" ht="15.75">
      <c r="A9" s="1097"/>
      <c r="B9" s="4646"/>
      <c r="C9" s="1100" t="s">
        <v>895</v>
      </c>
      <c r="D9" s="573" t="str">
        <f>NUMBERSTRING(INT(D8*10000),2)&amp;"元整"</f>
        <v>贰仟零贰拾陆万元整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2026</v>
      </c>
      <c r="E12" s="1097"/>
    </row>
    <row r="13" spans="1:5" ht="15.75">
      <c r="A13" s="1097"/>
      <c r="B13" s="4637" t="str">
        <f>结果表!E107</f>
        <v>3.房地产抵押价值</v>
      </c>
      <c r="C13" s="1105" t="s">
        <v>894</v>
      </c>
      <c r="D13" s="576">
        <f ca="1">结果表!H107</f>
        <v>137904</v>
      </c>
      <c r="E13" s="1097"/>
    </row>
    <row r="14" spans="1:5" ht="15.75">
      <c r="A14" s="1097"/>
      <c r="B14" s="4638"/>
      <c r="C14" s="1100" t="s">
        <v>895</v>
      </c>
      <c r="D14" s="573" t="str">
        <f ca="1">NUMBERSTRING(INT(D13*10000),2)&amp;"元整"</f>
        <v>壹拾叁亿柒仟玖佰零肆万元整</v>
      </c>
      <c r="E14" s="1097"/>
    </row>
    <row r="15" spans="1:5" ht="15">
      <c r="A15" s="1097"/>
      <c r="B15" s="4643"/>
      <c r="C15" s="1101" t="s">
        <v>905</v>
      </c>
      <c r="D15" s="581">
        <f ca="1">结果表!H108</f>
        <v>14455</v>
      </c>
      <c r="E15" s="1097"/>
    </row>
    <row r="16" spans="1:5" ht="15">
      <c r="A16" s="1097"/>
      <c r="B16" s="4644" t="str">
        <f>结果表!E109</f>
        <v>——</v>
      </c>
      <c r="C16" s="1105" t="s">
        <v>906</v>
      </c>
      <c r="D16" s="1106" t="str">
        <f>结果表!H109</f>
        <v>——</v>
      </c>
      <c r="E16" s="1097"/>
    </row>
    <row r="17" spans="1:5" ht="15.75">
      <c r="A17" s="1097"/>
      <c r="B17" s="4645"/>
      <c r="C17" s="1100" t="s">
        <v>907</v>
      </c>
      <c r="D17" s="573" t="e">
        <f>NUMBERSTRING(INT(D16*10000),2)&amp;"元整"</f>
        <v>#VALUE!</v>
      </c>
      <c r="E17" s="1097"/>
    </row>
    <row r="18" spans="1:5" ht="15">
      <c r="A18" s="1097"/>
      <c r="B18" s="4646"/>
      <c r="C18" s="1101" t="s">
        <v>896</v>
      </c>
      <c r="D18" s="581" t="str">
        <f>结果表!H110</f>
        <v>——</v>
      </c>
      <c r="E18" s="1097"/>
    </row>
    <row r="19" spans="1:5" ht="15.75">
      <c r="A19" s="1097"/>
      <c r="B19" s="4637" t="str">
        <f>结果表!E111</f>
        <v>4.抵押净值</v>
      </c>
      <c r="C19" s="1105" t="s">
        <v>894</v>
      </c>
      <c r="D19" s="574">
        <f ca="1">结果表!H111</f>
        <v>137834</v>
      </c>
      <c r="E19" s="1097"/>
    </row>
    <row r="20" spans="1:5" ht="15.75">
      <c r="A20" s="1097"/>
      <c r="B20" s="4638"/>
      <c r="C20" s="1100" t="s">
        <v>907</v>
      </c>
      <c r="D20" s="573" t="str">
        <f ca="1">NUMBERSTRING(INT(D19*10000),2)&amp;"元整"</f>
        <v>壹拾叁亿柒仟捌佰叁拾肆万元整</v>
      </c>
      <c r="E20" s="1097"/>
    </row>
    <row r="21" spans="1:5" ht="15.75" thickBot="1">
      <c r="A21" s="1097"/>
      <c r="B21" s="4639"/>
      <c r="C21" s="1107" t="s">
        <v>905</v>
      </c>
      <c r="D21" s="582">
        <f ca="1">结果表!H112</f>
        <v>14447</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3515</v>
      </c>
      <c r="B1" s="3483"/>
      <c r="C1" s="3070"/>
      <c r="D1" s="97"/>
      <c r="E1" s="97"/>
      <c r="F1" s="97"/>
      <c r="G1" s="795">
        <f>MATCH(C1,'数据-取费表'!A6:A16,0)+5</f>
        <v>10</v>
      </c>
    </row>
    <row r="2" spans="1:7" s="99" customFormat="1" ht="15.75">
      <c r="A2" s="100" t="s">
        <v>1431</v>
      </c>
      <c r="B2" s="2756">
        <f ca="1">C34</f>
        <v>5382</v>
      </c>
      <c r="C2" s="98" t="s">
        <v>1432</v>
      </c>
      <c r="D2" s="98"/>
      <c r="E2" s="2744"/>
      <c r="F2" s="98"/>
      <c r="G2" s="98"/>
    </row>
    <row r="3" spans="1:7" s="99" customFormat="1" ht="15.75">
      <c r="A3" s="102" t="s">
        <v>1433</v>
      </c>
      <c r="B3" s="2757">
        <f ca="1">ROUND(B2*10000/(IF(C1="",'数据-汇总表'!E3,INDIRECT("'数据-取费表'!k"&amp;$G$1))),0)</f>
        <v>564</v>
      </c>
      <c r="C3" s="98" t="s">
        <v>1434</v>
      </c>
      <c r="D3" s="98"/>
      <c r="E3" s="2744"/>
      <c r="F3" s="98"/>
      <c r="G3" s="98"/>
    </row>
    <row r="4" spans="1:7" s="99" customFormat="1" ht="15.75">
      <c r="A4" s="3648" t="s">
        <v>3629</v>
      </c>
      <c r="B4" s="2756">
        <f ca="1">ROUND(B2*10000/'数据-汇总表'!D3,0)</f>
        <v>1896</v>
      </c>
      <c r="C4" s="100" t="s">
        <v>3631</v>
      </c>
      <c r="D4" s="98"/>
      <c r="E4" s="2744"/>
      <c r="F4" s="98"/>
      <c r="G4" s="98"/>
    </row>
    <row r="5" spans="1:7" s="99" customFormat="1" ht="16.5" thickBot="1">
      <c r="A5" s="98"/>
      <c r="B5" s="3657">
        <f ca="1">ROUND(B2/('数据-汇总表'!D3/666.67),0)</f>
        <v>126</v>
      </c>
      <c r="C5" s="3642" t="s">
        <v>3630</v>
      </c>
      <c r="D5" s="98"/>
      <c r="E5" s="2744"/>
      <c r="F5" s="98"/>
      <c r="G5" s="98"/>
    </row>
    <row r="6" spans="1:7" s="99" customFormat="1" ht="15.75">
      <c r="A6" s="3529" t="s">
        <v>3328</v>
      </c>
      <c r="B6" s="3530" t="s">
        <v>3329</v>
      </c>
      <c r="C6" s="3531" t="s">
        <v>3951</v>
      </c>
      <c r="D6" s="3532" t="s">
        <v>3334</v>
      </c>
      <c r="E6" s="3533" t="s">
        <v>3335</v>
      </c>
      <c r="F6" s="3533" t="s">
        <v>3336</v>
      </c>
      <c r="G6" s="3534" t="s">
        <v>3330</v>
      </c>
    </row>
    <row r="7" spans="1:7" s="107" customFormat="1" ht="15.75">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1451</v>
      </c>
      <c r="B9" s="3522" t="s">
        <v>3557</v>
      </c>
      <c r="C9" s="3671">
        <f>ROUND(D9*E9/10000,0)</f>
        <v>0</v>
      </c>
      <c r="D9" s="3512"/>
      <c r="E9" s="3512"/>
      <c r="F9" s="3481"/>
      <c r="G9" s="3537"/>
    </row>
    <row r="10" spans="1:7" s="113" customFormat="1">
      <c r="A10" s="2815" t="s">
        <v>1453</v>
      </c>
      <c r="B10" s="3522" t="s">
        <v>3558</v>
      </c>
      <c r="C10" s="3671">
        <f>ROUND(D10*E10/10000,0)</f>
        <v>0</v>
      </c>
      <c r="D10" s="3512"/>
      <c r="E10" s="3512"/>
      <c r="F10" s="3481"/>
      <c r="G10" s="3537"/>
    </row>
    <row r="11" spans="1:7" s="113" customFormat="1" ht="13.5">
      <c r="A11" s="3482" t="s">
        <v>3580</v>
      </c>
      <c r="B11" s="3588" t="s">
        <v>3570</v>
      </c>
      <c r="C11" s="140">
        <f>C12+C15+C16</f>
        <v>0</v>
      </c>
      <c r="D11" s="3481"/>
      <c r="E11" s="3481"/>
      <c r="F11" s="3481"/>
      <c r="G11" s="3537"/>
    </row>
    <row r="12" spans="1:7" s="113" customFormat="1">
      <c r="A12" s="2815" t="s">
        <v>1451</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1453</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3.5">
      <c r="A17" s="3482" t="s">
        <v>337</v>
      </c>
      <c r="B17" s="3524" t="s">
        <v>3571</v>
      </c>
      <c r="C17" s="2755">
        <f>C18+C19</f>
        <v>0</v>
      </c>
      <c r="D17" s="3595"/>
      <c r="E17" s="3596"/>
      <c r="F17" s="2787"/>
      <c r="G17" s="3604"/>
    </row>
    <row r="18" spans="1:9" s="113" customFormat="1">
      <c r="A18" s="3480" t="s">
        <v>347</v>
      </c>
      <c r="B18" s="3525" t="s">
        <v>1442</v>
      </c>
      <c r="C18" s="3264"/>
      <c r="D18" s="3597"/>
      <c r="E18" s="3596"/>
      <c r="F18" s="2786"/>
      <c r="G18" s="3673" t="s">
        <v>3663</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3599</v>
      </c>
      <c r="B20" s="2737" t="s">
        <v>3572</v>
      </c>
      <c r="C20" s="2768">
        <f ca="1">C21+C24+C25</f>
        <v>4675</v>
      </c>
      <c r="D20" s="3598"/>
      <c r="E20" s="3599"/>
      <c r="F20" s="2791"/>
      <c r="G20" s="3605"/>
    </row>
    <row r="21" spans="1:9" s="122" customFormat="1" ht="15">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1447</v>
      </c>
      <c r="C22" s="2795">
        <f ca="1">ROUND(D22*E22/10000,0)</f>
        <v>987</v>
      </c>
      <c r="D22" s="3510">
        <f ca="1">IF(C1="",'数据-汇总表'!E5,IF(INDIRECT("'数据-取费表'!c"&amp;$G$1)="住宅",INDIRECT("'数据-取费表'!k"&amp;$G$1),0))</f>
        <v>61695.28</v>
      </c>
      <c r="E22" s="3510">
        <f>'数据-取费表'!B27</f>
        <v>160</v>
      </c>
      <c r="F22" s="2787"/>
      <c r="G22" s="1438"/>
      <c r="H22" s="803"/>
      <c r="I22" s="1439" t="s">
        <v>1448</v>
      </c>
    </row>
    <row r="23" spans="1:9" s="113" customFormat="1">
      <c r="A23" s="2739" t="s">
        <v>3579</v>
      </c>
      <c r="B23" s="3518" t="s">
        <v>1449</v>
      </c>
      <c r="C23" s="2795">
        <f ca="1">ROUND(D23*E23/10000,0)</f>
        <v>674</v>
      </c>
      <c r="D23" s="3510">
        <f ca="1">IF(C1="",'数据-汇总表'!E6,IF(INDIRECT("'数据-取费表'!c"&amp;$G$1)="住宅",INDIRECT("'数据-取费表'!s"&amp;$G$1),INDIRECT("'数据-取费表'!k"&amp;$G$1)+INDIRECT("'数据-取费表'!s"&amp;$G$1)))</f>
        <v>33708.930000000008</v>
      </c>
      <c r="E23" s="3510">
        <f>'数据-取费表'!B28</f>
        <v>200</v>
      </c>
      <c r="F23" s="2787"/>
      <c r="G23" s="3606"/>
    </row>
    <row r="24" spans="1:9" s="113" customFormat="1" ht="13.5">
      <c r="A24" s="3482" t="s">
        <v>3580</v>
      </c>
      <c r="B24" s="3519" t="s">
        <v>3596</v>
      </c>
      <c r="C24" s="2796">
        <f ca="1">IF(G24="已包含在土地取得成本中","0",ROUND(D24*E24/10000,0))</f>
        <v>1240</v>
      </c>
      <c r="D24" s="3511">
        <f ca="1">D22+D23</f>
        <v>95404.21</v>
      </c>
      <c r="E24" s="3511">
        <f>'数据-取费表'!B31</f>
        <v>130</v>
      </c>
      <c r="F24" s="3520"/>
      <c r="G24" s="1437"/>
    </row>
    <row r="25" spans="1:9" s="113" customFormat="1" ht="13.5">
      <c r="A25" s="3482" t="s">
        <v>337</v>
      </c>
      <c r="B25" s="3519" t="s">
        <v>3597</v>
      </c>
      <c r="C25" s="2796">
        <f ca="1">ROUND(E25*D25/10000,0)</f>
        <v>3435</v>
      </c>
      <c r="D25" s="3511">
        <f ca="1">D24</f>
        <v>95404.21</v>
      </c>
      <c r="E25" s="3511">
        <f>'数据-取费表'!B35</f>
        <v>360</v>
      </c>
      <c r="F25" s="3513"/>
      <c r="G25" s="3607"/>
    </row>
    <row r="26" spans="1:9" s="107" customFormat="1" ht="15.75">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75">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3.1300000000000001E-2</v>
      </c>
      <c r="G29" s="3609" t="str">
        <f>IF('数据-取费表'!B19&lt;=1,"单利计息","复利计息")</f>
        <v>单利计息</v>
      </c>
    </row>
    <row r="30" spans="1:9" s="2767" customFormat="1" ht="15.75">
      <c r="A30" s="3535" t="s">
        <v>3604</v>
      </c>
      <c r="B30" s="2737" t="s">
        <v>3605</v>
      </c>
      <c r="C30" s="2774">
        <f ca="1">ROUND((C7+C20+C26)*F30,0)</f>
        <v>655</v>
      </c>
      <c r="D30" s="2772"/>
      <c r="E30" s="302"/>
      <c r="F30" s="3526">
        <f ca="1">IF(C1="",'数据-取费表'!Q16,INDIRECT("'数据-取费表'!q"&amp;$G$1))</f>
        <v>0.14000000000000001</v>
      </c>
      <c r="G30" s="3609"/>
    </row>
    <row r="31" spans="1:9" s="113" customFormat="1" ht="15.75">
      <c r="A31" s="2738" t="s">
        <v>3585</v>
      </c>
      <c r="B31" s="2737" t="s">
        <v>3577</v>
      </c>
      <c r="C31" s="2759">
        <f ca="1">C7+C20+C29+C30</f>
        <v>5330</v>
      </c>
      <c r="D31" s="2750"/>
      <c r="E31" s="2750"/>
      <c r="F31" s="2749"/>
      <c r="G31" s="2751" t="s">
        <v>3608</v>
      </c>
    </row>
    <row r="32" spans="1:9" s="113" customFormat="1" ht="15.75">
      <c r="A32" s="2738" t="s">
        <v>3576</v>
      </c>
      <c r="B32" s="2737" t="s">
        <v>3575</v>
      </c>
      <c r="C32" s="3592">
        <f ca="1">ROUND(C31*F32,0)</f>
        <v>533</v>
      </c>
      <c r="D32" s="134"/>
      <c r="E32" s="135"/>
      <c r="F32" s="3527">
        <v>0.1</v>
      </c>
      <c r="G32" s="3610"/>
    </row>
    <row r="33" spans="1:14" s="113" customFormat="1" ht="15.75">
      <c r="A33" s="3591">
        <v>8</v>
      </c>
      <c r="B33" s="2737" t="s">
        <v>3587</v>
      </c>
      <c r="C33" s="2759">
        <f ca="1">C31+C32</f>
        <v>5863</v>
      </c>
      <c r="D33" s="2750"/>
      <c r="E33" s="2750"/>
      <c r="F33" s="3528"/>
      <c r="G33" s="2751" t="s">
        <v>3607</v>
      </c>
    </row>
    <row r="34" spans="1:14" s="122" customFormat="1" ht="16.5" thickBot="1">
      <c r="A34" s="3542">
        <v>9</v>
      </c>
      <c r="B34" s="3543" t="s">
        <v>3586</v>
      </c>
      <c r="C34" s="2759">
        <f ca="1">ROUND(C33*F34,0)</f>
        <v>5382</v>
      </c>
      <c r="D34" s="3544"/>
      <c r="E34" s="3544"/>
      <c r="F34" s="3594">
        <f>'数据-取费表'!AS16</f>
        <v>0.91800000000000004</v>
      </c>
      <c r="G34" s="2751" t="s">
        <v>3609</v>
      </c>
    </row>
    <row r="35" spans="1:14" s="113" customFormat="1"/>
    <row r="36" spans="1:14" s="113" customFormat="1"/>
    <row r="41" spans="1:14">
      <c r="J41" s="4617" t="s">
        <v>4061</v>
      </c>
    </row>
    <row r="42" spans="1:14">
      <c r="J42" s="4617" t="s">
        <v>4058</v>
      </c>
    </row>
    <row r="43" spans="1:14">
      <c r="J43" s="4618" t="s">
        <v>3997</v>
      </c>
      <c r="K43" s="4618"/>
      <c r="L43" s="4619"/>
      <c r="M43" s="4619"/>
      <c r="N43" s="4619"/>
    </row>
    <row r="44" spans="1:14" ht="25.5">
      <c r="J44" s="5038" t="s">
        <v>3998</v>
      </c>
      <c r="K44" s="5039"/>
      <c r="L44" s="5040"/>
      <c r="M44" s="4620" t="s">
        <v>3999</v>
      </c>
      <c r="N44" s="4620" t="s">
        <v>4000</v>
      </c>
    </row>
    <row r="45" spans="1:14">
      <c r="J45" s="5038" t="s">
        <v>4001</v>
      </c>
      <c r="K45" s="5039"/>
      <c r="L45" s="5040"/>
      <c r="M45" s="4620" t="s">
        <v>4002</v>
      </c>
      <c r="N45" s="5035" t="s">
        <v>4003</v>
      </c>
    </row>
    <row r="46" spans="1:14">
      <c r="J46" s="5038" t="s">
        <v>4004</v>
      </c>
      <c r="K46" s="5039"/>
      <c r="L46" s="5040"/>
      <c r="M46" s="5031" t="s">
        <v>4005</v>
      </c>
      <c r="N46" s="5036"/>
    </row>
    <row r="47" spans="1:14">
      <c r="J47" s="5038" t="s">
        <v>4006</v>
      </c>
      <c r="K47" s="5039"/>
      <c r="L47" s="5040"/>
      <c r="M47" s="5033"/>
      <c r="N47" s="5036"/>
    </row>
    <row r="48" spans="1:14">
      <c r="J48" s="5035" t="s">
        <v>4017</v>
      </c>
      <c r="K48" s="5031"/>
      <c r="L48" s="4620" t="s">
        <v>4007</v>
      </c>
      <c r="M48" s="5031" t="s">
        <v>4008</v>
      </c>
      <c r="N48" s="5036"/>
    </row>
    <row r="49" spans="10:15">
      <c r="J49" s="5036"/>
      <c r="K49" s="5032"/>
      <c r="L49" s="4620" t="s">
        <v>4009</v>
      </c>
      <c r="M49" s="5032"/>
      <c r="N49" s="5036"/>
    </row>
    <row r="50" spans="10:15">
      <c r="J50" s="5036"/>
      <c r="K50" s="5033"/>
      <c r="L50" s="4620" t="s">
        <v>4010</v>
      </c>
      <c r="M50" s="5032"/>
      <c r="N50" s="5036"/>
    </row>
    <row r="51" spans="10:15">
      <c r="J51" s="5036"/>
      <c r="K51" s="5035" t="s">
        <v>4018</v>
      </c>
      <c r="L51" s="4620" t="s">
        <v>4011</v>
      </c>
      <c r="M51" s="5032"/>
      <c r="N51" s="5036"/>
    </row>
    <row r="52" spans="10:15">
      <c r="J52" s="5037"/>
      <c r="K52" s="5036"/>
      <c r="L52" s="4620" t="s">
        <v>4019</v>
      </c>
      <c r="M52" s="5032"/>
      <c r="N52" s="5036"/>
    </row>
    <row r="53" spans="10:15">
      <c r="J53" s="5031"/>
      <c r="K53" s="5036"/>
      <c r="L53" s="4620" t="s">
        <v>4020</v>
      </c>
      <c r="M53" s="5032"/>
      <c r="N53" s="5036"/>
    </row>
    <row r="54" spans="10:15">
      <c r="J54" s="5032"/>
      <c r="K54" s="5036"/>
      <c r="L54" s="4620" t="s">
        <v>4012</v>
      </c>
      <c r="M54" s="5032"/>
      <c r="N54" s="5036"/>
    </row>
    <row r="55" spans="10:15">
      <c r="J55" s="5032"/>
      <c r="K55" s="5036"/>
      <c r="L55" s="4620" t="s">
        <v>4013</v>
      </c>
      <c r="M55" s="5032"/>
      <c r="N55" s="5036"/>
    </row>
    <row r="56" spans="10:15">
      <c r="J56" s="5032"/>
      <c r="K56" s="5036"/>
      <c r="L56" s="4620" t="s">
        <v>4014</v>
      </c>
      <c r="M56" s="5033"/>
      <c r="N56" s="5036"/>
    </row>
    <row r="57" spans="10:15">
      <c r="J57" s="5033"/>
      <c r="K57" s="5037"/>
      <c r="L57" s="4620" t="s">
        <v>4015</v>
      </c>
      <c r="M57" s="4621" t="s">
        <v>4016</v>
      </c>
      <c r="N57" s="5037"/>
    </row>
    <row r="60" spans="10:15">
      <c r="J60" s="4619" t="s">
        <v>4021</v>
      </c>
      <c r="K60" s="4619"/>
      <c r="L60" s="4619"/>
      <c r="M60" s="4619"/>
      <c r="N60" s="4619"/>
      <c r="O60" s="4619"/>
    </row>
    <row r="61" spans="10:15">
      <c r="J61" s="4618" t="s">
        <v>4022</v>
      </c>
      <c r="K61" s="4618" t="s">
        <v>4023</v>
      </c>
      <c r="L61" s="4618" t="s">
        <v>4024</v>
      </c>
      <c r="M61" s="4618" t="s">
        <v>4025</v>
      </c>
      <c r="N61" s="4618" t="s">
        <v>4026</v>
      </c>
      <c r="O61" s="4618" t="s">
        <v>4018</v>
      </c>
    </row>
    <row r="62" spans="10:15">
      <c r="J62" s="4618" t="s">
        <v>4027</v>
      </c>
      <c r="K62" s="4622" t="s">
        <v>4060</v>
      </c>
      <c r="L62" s="4618" t="s">
        <v>4028</v>
      </c>
      <c r="M62" s="4618" t="s">
        <v>4028</v>
      </c>
      <c r="N62" s="4618" t="s">
        <v>4029</v>
      </c>
      <c r="O62" s="4618" t="s">
        <v>4029</v>
      </c>
    </row>
    <row r="63" spans="10:15">
      <c r="J63" s="4618" t="s">
        <v>4030</v>
      </c>
      <c r="K63" s="4618" t="s">
        <v>4031</v>
      </c>
      <c r="L63" s="4618" t="s">
        <v>4032</v>
      </c>
      <c r="M63" s="4618" t="s">
        <v>4032</v>
      </c>
      <c r="N63" s="4618" t="s">
        <v>4033</v>
      </c>
      <c r="O63" s="4618" t="s">
        <v>4033</v>
      </c>
    </row>
    <row r="67" spans="10:15">
      <c r="J67" s="4619" t="s">
        <v>4034</v>
      </c>
      <c r="K67" s="4619"/>
      <c r="L67" s="4619"/>
      <c r="M67" s="4619"/>
      <c r="N67" s="4619"/>
      <c r="O67" s="4619"/>
    </row>
    <row r="68" spans="10:15">
      <c r="J68" s="4618" t="s">
        <v>4022</v>
      </c>
      <c r="K68" s="4618" t="s">
        <v>4035</v>
      </c>
      <c r="L68" s="5034" t="s">
        <v>4036</v>
      </c>
      <c r="M68" s="5034"/>
      <c r="N68" s="5034"/>
      <c r="O68" s="4618" t="s">
        <v>4000</v>
      </c>
    </row>
    <row r="69" spans="10:15" ht="25.5">
      <c r="J69" s="4618" t="s">
        <v>4037</v>
      </c>
      <c r="K69" s="4623" t="s">
        <v>4038</v>
      </c>
      <c r="L69" s="5030" t="s">
        <v>4039</v>
      </c>
      <c r="M69" s="5030"/>
      <c r="N69" s="5030"/>
      <c r="O69" s="4618"/>
    </row>
    <row r="70" spans="10:15" ht="25.5">
      <c r="J70" s="4618" t="s">
        <v>4040</v>
      </c>
      <c r="K70" s="4623" t="s">
        <v>4041</v>
      </c>
      <c r="L70" s="5030" t="s">
        <v>4042</v>
      </c>
      <c r="M70" s="5030"/>
      <c r="N70" s="5030"/>
      <c r="O70" s="4618"/>
    </row>
    <row r="71" spans="10:15" ht="25.5">
      <c r="J71" s="4618" t="s">
        <v>4043</v>
      </c>
      <c r="K71" s="4623" t="s">
        <v>4044</v>
      </c>
      <c r="L71" s="5030" t="s">
        <v>4045</v>
      </c>
      <c r="M71" s="5030"/>
      <c r="N71" s="5030"/>
      <c r="O71" s="4618"/>
    </row>
    <row r="72" spans="10:15" ht="27" customHeight="1">
      <c r="J72" s="4618" t="s">
        <v>4046</v>
      </c>
      <c r="K72" s="4623" t="s">
        <v>4047</v>
      </c>
      <c r="L72" s="5030" t="s">
        <v>4059</v>
      </c>
      <c r="M72" s="5030"/>
      <c r="N72" s="5030"/>
      <c r="O72" s="4618"/>
    </row>
    <row r="73" spans="10:15" ht="30" customHeight="1">
      <c r="J73" s="4618" t="s">
        <v>4048</v>
      </c>
      <c r="K73" s="4623" t="s">
        <v>4049</v>
      </c>
      <c r="L73" s="5030" t="s">
        <v>4050</v>
      </c>
      <c r="M73" s="5030"/>
      <c r="N73" s="5030"/>
      <c r="O73" s="4618" t="s">
        <v>2203</v>
      </c>
    </row>
    <row r="74" spans="10:15" ht="57.75" customHeight="1">
      <c r="J74" s="4618" t="s">
        <v>4051</v>
      </c>
      <c r="K74" s="4623" t="s">
        <v>4052</v>
      </c>
      <c r="L74" s="5030" t="s">
        <v>4053</v>
      </c>
      <c r="M74" s="5030"/>
      <c r="N74" s="5030"/>
      <c r="O74" s="4618" t="s">
        <v>4054</v>
      </c>
    </row>
    <row r="75" spans="10:15" ht="32.25" customHeight="1">
      <c r="J75" s="4618" t="s">
        <v>4055</v>
      </c>
      <c r="K75" s="4623" t="s">
        <v>4056</v>
      </c>
      <c r="L75" s="5030" t="s">
        <v>4057</v>
      </c>
      <c r="M75" s="5030"/>
      <c r="N75" s="5030"/>
      <c r="O75" s="461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51" t="s">
        <v>2495</v>
      </c>
      <c r="B20" s="5041" t="s">
        <v>2516</v>
      </c>
      <c r="C20" s="2724" t="s">
        <v>2327</v>
      </c>
      <c r="D20" s="2724"/>
      <c r="E20" s="3304">
        <v>1</v>
      </c>
      <c r="F20" s="2440" t="s">
        <v>2328</v>
      </c>
      <c r="G20" s="2440"/>
    </row>
    <row r="21" spans="1:13" ht="19.5" customHeight="1">
      <c r="A21" s="5052"/>
      <c r="B21" s="5042"/>
      <c r="C21" s="2717" t="s">
        <v>2329</v>
      </c>
      <c r="D21" s="2717"/>
      <c r="E21" s="3305">
        <v>1</v>
      </c>
      <c r="F21" s="2440" t="s">
        <v>2330</v>
      </c>
      <c r="G21" s="2440"/>
    </row>
    <row r="22" spans="1:13" ht="19.5" customHeight="1">
      <c r="A22" s="5052"/>
      <c r="B22" s="5042"/>
      <c r="C22" s="2717" t="s">
        <v>2331</v>
      </c>
      <c r="D22" s="2717"/>
      <c r="E22" s="3305">
        <v>0.9</v>
      </c>
      <c r="F22" s="2440" t="s">
        <v>2332</v>
      </c>
      <c r="G22" s="2440"/>
    </row>
    <row r="23" spans="1:13" ht="19.5" customHeight="1">
      <c r="A23" s="5052"/>
      <c r="B23" s="5042"/>
      <c r="C23" s="2717" t="s">
        <v>2333</v>
      </c>
      <c r="D23" s="2717"/>
      <c r="E23" s="3305">
        <v>0.9</v>
      </c>
      <c r="F23" s="2440" t="s">
        <v>2334</v>
      </c>
      <c r="G23" s="2440"/>
    </row>
    <row r="24" spans="1:13" ht="19.5" customHeight="1">
      <c r="A24" s="5052"/>
      <c r="B24" s="5042"/>
      <c r="C24" s="2717" t="s">
        <v>2335</v>
      </c>
      <c r="D24" s="2717"/>
      <c r="E24" s="3305">
        <v>0.8</v>
      </c>
      <c r="F24" s="2440" t="s">
        <v>2336</v>
      </c>
      <c r="G24" s="2440"/>
    </row>
    <row r="25" spans="1:13" ht="19.5" customHeight="1">
      <c r="A25" s="5052"/>
      <c r="B25" s="5042"/>
      <c r="C25" s="2717" t="s">
        <v>2337</v>
      </c>
      <c r="D25" s="2717"/>
      <c r="E25" s="3305">
        <v>0.8</v>
      </c>
      <c r="F25" s="2440"/>
      <c r="G25" s="2440"/>
    </row>
    <row r="26" spans="1:13" ht="19.5" customHeight="1">
      <c r="A26" s="5052"/>
      <c r="B26" s="5042"/>
      <c r="C26" s="2720" t="s">
        <v>3276</v>
      </c>
      <c r="D26" s="2720"/>
      <c r="E26" s="3305">
        <v>0.43</v>
      </c>
      <c r="F26" s="2440"/>
      <c r="G26" s="2440"/>
    </row>
    <row r="27" spans="1:13" ht="19.5" customHeight="1" thickBot="1">
      <c r="A27" s="5053"/>
      <c r="B27" s="5043"/>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44" t="s">
        <v>2519</v>
      </c>
      <c r="B29" s="5047" t="s">
        <v>2500</v>
      </c>
      <c r="C29" s="2438" t="s">
        <v>2340</v>
      </c>
      <c r="D29" s="2439"/>
      <c r="E29" s="3304">
        <v>1</v>
      </c>
      <c r="F29" s="2440" t="s">
        <v>2341</v>
      </c>
      <c r="G29" s="2440"/>
    </row>
    <row r="30" spans="1:13" ht="19.5" customHeight="1">
      <c r="A30" s="5045"/>
      <c r="B30" s="5048"/>
      <c r="C30" s="2441" t="s">
        <v>2342</v>
      </c>
      <c r="D30" s="2442"/>
      <c r="E30" s="3305">
        <v>1</v>
      </c>
      <c r="F30" s="2440" t="s">
        <v>2343</v>
      </c>
      <c r="G30" s="2440"/>
    </row>
    <row r="31" spans="1:13" ht="19.5" customHeight="1">
      <c r="A31" s="5045"/>
      <c r="B31" s="5048"/>
      <c r="C31" s="2441" t="s">
        <v>2344</v>
      </c>
      <c r="D31" s="2442"/>
      <c r="E31" s="3305">
        <v>0.8</v>
      </c>
      <c r="F31" s="2440" t="s">
        <v>2345</v>
      </c>
      <c r="G31" s="2440"/>
    </row>
    <row r="32" spans="1:13" ht="19.5" customHeight="1">
      <c r="A32" s="5045"/>
      <c r="B32" s="5048"/>
      <c r="C32" s="2441" t="s">
        <v>2346</v>
      </c>
      <c r="D32" s="2442"/>
      <c r="E32" s="3305">
        <v>0.8</v>
      </c>
      <c r="F32" s="2440" t="s">
        <v>2347</v>
      </c>
      <c r="G32" s="2440"/>
    </row>
    <row r="33" spans="1:7" ht="19.5" customHeight="1">
      <c r="A33" s="5045"/>
      <c r="B33" s="5048"/>
      <c r="C33" s="2441" t="s">
        <v>2348</v>
      </c>
      <c r="D33" s="2442"/>
      <c r="E33" s="3305">
        <v>0.8</v>
      </c>
      <c r="F33" s="2440" t="s">
        <v>2349</v>
      </c>
      <c r="G33" s="2440"/>
    </row>
    <row r="34" spans="1:7" ht="19.5" customHeight="1">
      <c r="A34" s="5045"/>
      <c r="B34" s="5048"/>
      <c r="C34" s="2441" t="s">
        <v>2350</v>
      </c>
      <c r="D34" s="2442"/>
      <c r="E34" s="3305">
        <v>0.7</v>
      </c>
      <c r="F34" s="2440" t="s">
        <v>2351</v>
      </c>
      <c r="G34" s="2440"/>
    </row>
    <row r="35" spans="1:7" ht="19.5" customHeight="1">
      <c r="A35" s="5045"/>
      <c r="B35" s="5048"/>
      <c r="C35" s="2441" t="s">
        <v>2352</v>
      </c>
      <c r="D35" s="2442"/>
      <c r="E35" s="3305">
        <v>0.8</v>
      </c>
      <c r="F35" s="2440" t="s">
        <v>2353</v>
      </c>
      <c r="G35" s="2440"/>
    </row>
    <row r="36" spans="1:7" ht="19.5" customHeight="1">
      <c r="A36" s="5045"/>
      <c r="B36" s="5048"/>
      <c r="C36" s="2441" t="s">
        <v>2354</v>
      </c>
      <c r="D36" s="2442"/>
      <c r="E36" s="3305">
        <v>0.6</v>
      </c>
      <c r="F36" s="2440" t="s">
        <v>2355</v>
      </c>
      <c r="G36" s="2440"/>
    </row>
    <row r="37" spans="1:7" ht="19.5" customHeight="1">
      <c r="A37" s="5045"/>
      <c r="B37" s="5048"/>
      <c r="C37" s="2441" t="s">
        <v>2356</v>
      </c>
      <c r="D37" s="2442"/>
      <c r="E37" s="3305">
        <v>0.2</v>
      </c>
      <c r="F37" s="2440" t="s">
        <v>2357</v>
      </c>
      <c r="G37" s="2440"/>
    </row>
    <row r="38" spans="1:7" ht="19.5" customHeight="1">
      <c r="A38" s="5045"/>
      <c r="B38" s="5048"/>
      <c r="C38" s="2441" t="s">
        <v>2358</v>
      </c>
      <c r="D38" s="2442"/>
      <c r="E38" s="3305">
        <v>0.2</v>
      </c>
      <c r="F38" s="2440" t="s">
        <v>2359</v>
      </c>
      <c r="G38" s="2440"/>
    </row>
    <row r="39" spans="1:7" ht="19.5" customHeight="1">
      <c r="A39" s="5045"/>
      <c r="B39" s="5049" t="s">
        <v>2520</v>
      </c>
      <c r="C39" s="2441" t="s">
        <v>2360</v>
      </c>
      <c r="D39" s="2442"/>
      <c r="E39" s="3305">
        <v>0.6</v>
      </c>
      <c r="F39" s="2440" t="s">
        <v>2361</v>
      </c>
      <c r="G39" s="2440"/>
    </row>
    <row r="40" spans="1:7" ht="19.5" customHeight="1">
      <c r="A40" s="5045"/>
      <c r="B40" s="5048"/>
      <c r="C40" s="2441" t="s">
        <v>2362</v>
      </c>
      <c r="D40" s="2442"/>
      <c r="E40" s="3305">
        <v>0.6</v>
      </c>
      <c r="F40" s="2440" t="s">
        <v>2363</v>
      </c>
      <c r="G40" s="2440"/>
    </row>
    <row r="41" spans="1:7" ht="19.5" customHeight="1" thickBot="1">
      <c r="A41" s="5046"/>
      <c r="B41" s="5050"/>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51" t="s">
        <v>2498</v>
      </c>
      <c r="B43" s="5047" t="s">
        <v>2522</v>
      </c>
      <c r="C43" s="2438" t="s">
        <v>2367</v>
      </c>
      <c r="D43" s="2439"/>
      <c r="E43" s="3304">
        <v>1</v>
      </c>
      <c r="F43" s="2440" t="s">
        <v>2368</v>
      </c>
      <c r="G43" s="2440"/>
    </row>
    <row r="44" spans="1:7" ht="19.5" customHeight="1">
      <c r="A44" s="5052"/>
      <c r="B44" s="5048"/>
      <c r="C44" s="2441" t="s">
        <v>2369</v>
      </c>
      <c r="D44" s="2442"/>
      <c r="E44" s="3305">
        <v>1</v>
      </c>
      <c r="F44" s="2440" t="s">
        <v>2370</v>
      </c>
      <c r="G44" s="2440"/>
    </row>
    <row r="45" spans="1:7" ht="19.5" customHeight="1">
      <c r="A45" s="5052"/>
      <c r="B45" s="5054"/>
      <c r="C45" s="2441" t="s">
        <v>2371</v>
      </c>
      <c r="D45" s="2442"/>
      <c r="E45" s="3305">
        <v>1.5</v>
      </c>
      <c r="F45" s="2440" t="s">
        <v>2372</v>
      </c>
      <c r="G45" s="2440"/>
    </row>
    <row r="46" spans="1:7" ht="19.5" customHeight="1">
      <c r="A46" s="5052"/>
      <c r="B46" s="2449" t="s">
        <v>2523</v>
      </c>
      <c r="C46" s="2441" t="s">
        <v>2524</v>
      </c>
      <c r="D46" s="2442"/>
      <c r="E46" s="3305">
        <v>2</v>
      </c>
      <c r="F46" s="2440" t="s">
        <v>2373</v>
      </c>
      <c r="G46" s="2440"/>
    </row>
    <row r="47" spans="1:7" ht="19.5" customHeight="1">
      <c r="A47" s="5052"/>
      <c r="B47" s="5049" t="s">
        <v>2525</v>
      </c>
      <c r="C47" s="2441" t="s">
        <v>2374</v>
      </c>
      <c r="D47" s="2442"/>
      <c r="E47" s="3305">
        <v>1</v>
      </c>
      <c r="F47" s="2440" t="s">
        <v>2375</v>
      </c>
      <c r="G47" s="2440"/>
    </row>
    <row r="48" spans="1:7" ht="19.5" customHeight="1">
      <c r="A48" s="5052"/>
      <c r="B48" s="5048"/>
      <c r="C48" s="2441" t="s">
        <v>2376</v>
      </c>
      <c r="D48" s="2442"/>
      <c r="E48" s="3305">
        <v>1</v>
      </c>
      <c r="F48" s="2440" t="s">
        <v>2377</v>
      </c>
      <c r="G48" s="2440"/>
    </row>
    <row r="49" spans="1:7" ht="19.5" customHeight="1">
      <c r="A49" s="5052"/>
      <c r="B49" s="5048"/>
      <c r="C49" s="2441" t="s">
        <v>2378</v>
      </c>
      <c r="D49" s="2442"/>
      <c r="E49" s="3305">
        <v>1</v>
      </c>
      <c r="F49" s="2440" t="s">
        <v>2379</v>
      </c>
      <c r="G49" s="2440"/>
    </row>
    <row r="50" spans="1:7" ht="19.5" customHeight="1">
      <c r="A50" s="5052"/>
      <c r="B50" s="5048"/>
      <c r="C50" s="2441" t="s">
        <v>2380</v>
      </c>
      <c r="D50" s="2442"/>
      <c r="E50" s="3305">
        <v>1</v>
      </c>
      <c r="F50" s="2440" t="s">
        <v>2381</v>
      </c>
      <c r="G50" s="2440"/>
    </row>
    <row r="51" spans="1:7" ht="19.5" customHeight="1">
      <c r="A51" s="5052"/>
      <c r="B51" s="5048"/>
      <c r="C51" s="2441" t="s">
        <v>2382</v>
      </c>
      <c r="D51" s="2442"/>
      <c r="E51" s="3305">
        <v>1</v>
      </c>
      <c r="F51" s="2440" t="s">
        <v>2383</v>
      </c>
      <c r="G51" s="2440"/>
    </row>
    <row r="52" spans="1:7" ht="19.5" customHeight="1">
      <c r="A52" s="5052"/>
      <c r="B52" s="5048"/>
      <c r="C52" s="2441" t="s">
        <v>2384</v>
      </c>
      <c r="D52" s="2442"/>
      <c r="E52" s="3305">
        <v>1</v>
      </c>
      <c r="F52" s="2440" t="s">
        <v>2385</v>
      </c>
      <c r="G52" s="2440"/>
    </row>
    <row r="53" spans="1:7" ht="19.5" customHeight="1" thickBot="1">
      <c r="A53" s="5053"/>
      <c r="B53" s="5050"/>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3.5">
      <c r="A74" s="2449"/>
      <c r="B74" s="2449"/>
      <c r="C74" s="2449" t="s">
        <v>2538</v>
      </c>
      <c r="D74" s="2449"/>
      <c r="E74" s="2449" t="s">
        <v>2509</v>
      </c>
      <c r="F74" s="2449" t="s">
        <v>2509</v>
      </c>
    </row>
    <row r="75" spans="1:7" ht="13.5">
      <c r="A75" s="2449">
        <v>1</v>
      </c>
      <c r="B75" s="5049" t="s">
        <v>2539</v>
      </c>
      <c r="C75" s="2429" t="s">
        <v>2540</v>
      </c>
      <c r="D75" s="2429" t="s">
        <v>2541</v>
      </c>
      <c r="E75" s="3310">
        <v>0.2</v>
      </c>
      <c r="F75" s="3311">
        <v>25</v>
      </c>
    </row>
    <row r="76" spans="1:7" ht="24">
      <c r="A76" s="2449">
        <v>2</v>
      </c>
      <c r="B76" s="5048"/>
      <c r="C76" s="2429" t="s">
        <v>2542</v>
      </c>
      <c r="D76" s="2429" t="s">
        <v>2543</v>
      </c>
      <c r="E76" s="3310">
        <v>0.2</v>
      </c>
      <c r="F76" s="3311">
        <v>25</v>
      </c>
    </row>
    <row r="77" spans="1:7" ht="24">
      <c r="A77" s="2449">
        <v>3</v>
      </c>
      <c r="B77" s="5048"/>
      <c r="C77" s="2429" t="s">
        <v>2544</v>
      </c>
      <c r="D77" s="2429" t="s">
        <v>2545</v>
      </c>
      <c r="E77" s="3310">
        <v>0.2</v>
      </c>
      <c r="F77" s="3311">
        <v>25</v>
      </c>
    </row>
    <row r="78" spans="1:7" ht="13.5">
      <c r="A78" s="2449">
        <v>4</v>
      </c>
      <c r="B78" s="5048"/>
      <c r="C78" s="2429" t="s">
        <v>2546</v>
      </c>
      <c r="D78" s="2429" t="s">
        <v>2547</v>
      </c>
      <c r="E78" s="3310">
        <v>0.15</v>
      </c>
      <c r="F78" s="3311">
        <v>20</v>
      </c>
    </row>
    <row r="79" spans="1:7" ht="24">
      <c r="A79" s="2449">
        <v>5</v>
      </c>
      <c r="B79" s="5048"/>
      <c r="C79" s="2429" t="s">
        <v>2548</v>
      </c>
      <c r="D79" s="2429" t="s">
        <v>2549</v>
      </c>
      <c r="E79" s="3310">
        <v>0.15</v>
      </c>
      <c r="F79" s="3311">
        <v>20</v>
      </c>
    </row>
    <row r="80" spans="1:7" ht="24">
      <c r="A80" s="2449">
        <v>6</v>
      </c>
      <c r="B80" s="5048"/>
      <c r="C80" s="2429" t="s">
        <v>2550</v>
      </c>
      <c r="D80" s="2429" t="s">
        <v>2551</v>
      </c>
      <c r="E80" s="3310">
        <v>0.15</v>
      </c>
      <c r="F80" s="3311">
        <v>20</v>
      </c>
    </row>
    <row r="81" spans="1:6" ht="24">
      <c r="A81" s="2449">
        <v>7</v>
      </c>
      <c r="B81" s="5048"/>
      <c r="C81" s="2429" t="s">
        <v>2552</v>
      </c>
      <c r="D81" s="2429" t="s">
        <v>2553</v>
      </c>
      <c r="E81" s="3310">
        <v>0.15</v>
      </c>
      <c r="F81" s="3311">
        <v>20</v>
      </c>
    </row>
    <row r="82" spans="1:6" ht="24">
      <c r="A82" s="2449">
        <v>8</v>
      </c>
      <c r="B82" s="5048"/>
      <c r="C82" s="2429" t="s">
        <v>2554</v>
      </c>
      <c r="D82" s="2429" t="s">
        <v>2555</v>
      </c>
      <c r="E82" s="3310">
        <v>0.1</v>
      </c>
      <c r="F82" s="3311">
        <v>15</v>
      </c>
    </row>
    <row r="83" spans="1:6" ht="24">
      <c r="A83" s="2449">
        <v>9</v>
      </c>
      <c r="B83" s="5048"/>
      <c r="C83" s="2429" t="s">
        <v>2556</v>
      </c>
      <c r="D83" s="2429" t="s">
        <v>2557</v>
      </c>
      <c r="E83" s="3310">
        <v>0.1</v>
      </c>
      <c r="F83" s="3311">
        <v>15</v>
      </c>
    </row>
    <row r="84" spans="1:6" ht="24">
      <c r="A84" s="2449">
        <v>10</v>
      </c>
      <c r="B84" s="5048"/>
      <c r="C84" s="2429" t="s">
        <v>2558</v>
      </c>
      <c r="D84" s="2429" t="s">
        <v>2559</v>
      </c>
      <c r="E84" s="3310">
        <v>0.1</v>
      </c>
      <c r="F84" s="3311">
        <v>15</v>
      </c>
    </row>
    <row r="85" spans="1:6" ht="24">
      <c r="A85" s="2449">
        <v>11</v>
      </c>
      <c r="B85" s="5048"/>
      <c r="C85" s="2429" t="s">
        <v>2560</v>
      </c>
      <c r="D85" s="2429" t="s">
        <v>2561</v>
      </c>
      <c r="E85" s="3310">
        <v>0.1</v>
      </c>
      <c r="F85" s="3311">
        <v>15</v>
      </c>
    </row>
    <row r="86" spans="1:6" ht="24">
      <c r="A86" s="2449">
        <v>12</v>
      </c>
      <c r="B86" s="5048"/>
      <c r="C86" s="2429" t="s">
        <v>2562</v>
      </c>
      <c r="D86" s="2429" t="s">
        <v>2563</v>
      </c>
      <c r="E86" s="3310">
        <v>0.1</v>
      </c>
      <c r="F86" s="3311">
        <v>15</v>
      </c>
    </row>
    <row r="87" spans="1:6" ht="13.5">
      <c r="A87" s="2449">
        <v>13</v>
      </c>
      <c r="B87" s="5048"/>
      <c r="C87" s="2429" t="s">
        <v>2564</v>
      </c>
      <c r="D87" s="2429" t="s">
        <v>2565</v>
      </c>
      <c r="E87" s="3310">
        <v>0.1</v>
      </c>
      <c r="F87" s="3311">
        <v>15</v>
      </c>
    </row>
    <row r="88" spans="1:6" ht="13.5">
      <c r="A88" s="2449">
        <v>14</v>
      </c>
      <c r="B88" s="5048"/>
      <c r="C88" s="2429" t="s">
        <v>2566</v>
      </c>
      <c r="D88" s="2429" t="s">
        <v>2567</v>
      </c>
      <c r="E88" s="3310">
        <v>0.1</v>
      </c>
      <c r="F88" s="3311">
        <v>15</v>
      </c>
    </row>
    <row r="89" spans="1:6" ht="13.5">
      <c r="A89" s="2449">
        <v>15</v>
      </c>
      <c r="B89" s="5048"/>
      <c r="C89" s="2429" t="s">
        <v>2568</v>
      </c>
      <c r="D89" s="2429" t="s">
        <v>2569</v>
      </c>
      <c r="E89" s="3310">
        <v>0.1</v>
      </c>
      <c r="F89" s="3311">
        <v>15</v>
      </c>
    </row>
    <row r="90" spans="1:6" ht="24">
      <c r="A90" s="2449">
        <v>16</v>
      </c>
      <c r="B90" s="5048"/>
      <c r="C90" s="2429" t="s">
        <v>2570</v>
      </c>
      <c r="D90" s="2429" t="s">
        <v>2571</v>
      </c>
      <c r="E90" s="3310">
        <v>0.1</v>
      </c>
      <c r="F90" s="3311">
        <v>15</v>
      </c>
    </row>
    <row r="91" spans="1:6" ht="24">
      <c r="A91" s="2449">
        <v>17</v>
      </c>
      <c r="B91" s="5054"/>
      <c r="C91" s="2429" t="s">
        <v>2572</v>
      </c>
      <c r="D91" s="2429" t="s">
        <v>2573</v>
      </c>
      <c r="E91" s="3310">
        <v>0.1</v>
      </c>
      <c r="F91" s="3311">
        <v>15</v>
      </c>
    </row>
    <row r="92" spans="1:6" ht="13.5">
      <c r="A92" s="2449">
        <v>18</v>
      </c>
      <c r="B92" s="5049" t="s">
        <v>2574</v>
      </c>
      <c r="C92" s="2429" t="s">
        <v>2575</v>
      </c>
      <c r="D92" s="2429" t="s">
        <v>2576</v>
      </c>
      <c r="E92" s="3310">
        <v>0.2</v>
      </c>
      <c r="F92" s="3311">
        <v>25</v>
      </c>
    </row>
    <row r="93" spans="1:6" ht="24">
      <c r="A93" s="2449">
        <v>19</v>
      </c>
      <c r="B93" s="5048"/>
      <c r="C93" s="2429" t="s">
        <v>2577</v>
      </c>
      <c r="D93" s="2429" t="s">
        <v>2578</v>
      </c>
      <c r="E93" s="3310">
        <v>0.2</v>
      </c>
      <c r="F93" s="3311">
        <v>25</v>
      </c>
    </row>
    <row r="94" spans="1:6" ht="13.5">
      <c r="A94" s="2449">
        <v>20</v>
      </c>
      <c r="B94" s="5048"/>
      <c r="C94" s="2429" t="s">
        <v>2579</v>
      </c>
      <c r="D94" s="2429" t="s">
        <v>2580</v>
      </c>
      <c r="E94" s="3310">
        <v>0.15</v>
      </c>
      <c r="F94" s="3311">
        <v>20</v>
      </c>
    </row>
    <row r="95" spans="1:6" ht="13.5">
      <c r="A95" s="2449">
        <v>21</v>
      </c>
      <c r="B95" s="5048"/>
      <c r="C95" s="2429" t="s">
        <v>2581</v>
      </c>
      <c r="D95" s="2429" t="s">
        <v>2582</v>
      </c>
      <c r="E95" s="3310">
        <v>0.15</v>
      </c>
      <c r="F95" s="3311">
        <v>20</v>
      </c>
    </row>
    <row r="96" spans="1:6" ht="13.5">
      <c r="A96" s="2449">
        <v>22</v>
      </c>
      <c r="B96" s="5048"/>
      <c r="C96" s="2429" t="s">
        <v>2583</v>
      </c>
      <c r="D96" s="2429" t="s">
        <v>2584</v>
      </c>
      <c r="E96" s="3310">
        <v>0.15</v>
      </c>
      <c r="F96" s="3311">
        <v>20</v>
      </c>
    </row>
    <row r="97" spans="1:6" ht="36">
      <c r="A97" s="2449">
        <v>23</v>
      </c>
      <c r="B97" s="5048"/>
      <c r="C97" s="2429" t="s">
        <v>2585</v>
      </c>
      <c r="D97" s="2429" t="s">
        <v>2586</v>
      </c>
      <c r="E97" s="3310">
        <v>0.15</v>
      </c>
      <c r="F97" s="3311">
        <v>20</v>
      </c>
    </row>
    <row r="98" spans="1:6" ht="13.5">
      <c r="A98" s="2449">
        <v>24</v>
      </c>
      <c r="B98" s="5048"/>
      <c r="C98" s="2429" t="s">
        <v>2587</v>
      </c>
      <c r="D98" s="2429" t="s">
        <v>2588</v>
      </c>
      <c r="E98" s="3310">
        <v>0.1</v>
      </c>
      <c r="F98" s="3311">
        <v>15</v>
      </c>
    </row>
    <row r="99" spans="1:6" ht="13.5">
      <c r="A99" s="2449">
        <v>25</v>
      </c>
      <c r="B99" s="5048"/>
      <c r="C99" s="2429" t="s">
        <v>2589</v>
      </c>
      <c r="D99" s="2429" t="s">
        <v>2590</v>
      </c>
      <c r="E99" s="3310">
        <v>0.1</v>
      </c>
      <c r="F99" s="3311">
        <v>15</v>
      </c>
    </row>
    <row r="100" spans="1:6" ht="24">
      <c r="A100" s="2449">
        <v>26</v>
      </c>
      <c r="B100" s="5048"/>
      <c r="C100" s="2429" t="s">
        <v>2591</v>
      </c>
      <c r="D100" s="2429" t="s">
        <v>2592</v>
      </c>
      <c r="E100" s="3310">
        <v>0.1</v>
      </c>
      <c r="F100" s="3311">
        <v>15</v>
      </c>
    </row>
    <row r="101" spans="1:6" ht="24">
      <c r="A101" s="2449">
        <v>27</v>
      </c>
      <c r="B101" s="5048"/>
      <c r="C101" s="2429" t="s">
        <v>2593</v>
      </c>
      <c r="D101" s="2429" t="s">
        <v>2594</v>
      </c>
      <c r="E101" s="3310">
        <v>0.1</v>
      </c>
      <c r="F101" s="3311">
        <v>15</v>
      </c>
    </row>
    <row r="102" spans="1:6" ht="13.5">
      <c r="A102" s="2449">
        <v>28</v>
      </c>
      <c r="B102" s="5048"/>
      <c r="C102" s="2429" t="s">
        <v>2595</v>
      </c>
      <c r="D102" s="2429" t="s">
        <v>2596</v>
      </c>
      <c r="E102" s="3310">
        <v>0.1</v>
      </c>
      <c r="F102" s="3311">
        <v>15</v>
      </c>
    </row>
    <row r="103" spans="1:6" ht="13.5">
      <c r="A103" s="2449">
        <v>29</v>
      </c>
      <c r="B103" s="5048"/>
      <c r="C103" s="2429" t="s">
        <v>2597</v>
      </c>
      <c r="D103" s="2429" t="s">
        <v>2598</v>
      </c>
      <c r="E103" s="3310">
        <v>0.1</v>
      </c>
      <c r="F103" s="3311">
        <v>15</v>
      </c>
    </row>
    <row r="104" spans="1:6" ht="13.5">
      <c r="A104" s="2449">
        <v>30</v>
      </c>
      <c r="B104" s="5048"/>
      <c r="C104" s="2429" t="s">
        <v>2599</v>
      </c>
      <c r="D104" s="2429" t="s">
        <v>2600</v>
      </c>
      <c r="E104" s="3310">
        <v>0.1</v>
      </c>
      <c r="F104" s="3311">
        <v>15</v>
      </c>
    </row>
    <row r="105" spans="1:6" ht="24">
      <c r="A105" s="2449">
        <v>31</v>
      </c>
      <c r="B105" s="5048"/>
      <c r="C105" s="2429" t="s">
        <v>2601</v>
      </c>
      <c r="D105" s="2429" t="s">
        <v>2602</v>
      </c>
      <c r="E105" s="3310">
        <v>0.1</v>
      </c>
      <c r="F105" s="3311">
        <v>15</v>
      </c>
    </row>
    <row r="106" spans="1:6" ht="24">
      <c r="A106" s="2449">
        <v>32</v>
      </c>
      <c r="B106" s="5048"/>
      <c r="C106" s="2429" t="s">
        <v>2603</v>
      </c>
      <c r="D106" s="2429" t="s">
        <v>2604</v>
      </c>
      <c r="E106" s="3310">
        <v>0.1</v>
      </c>
      <c r="F106" s="3311">
        <v>15</v>
      </c>
    </row>
    <row r="107" spans="1:6" ht="24">
      <c r="A107" s="2449">
        <v>33</v>
      </c>
      <c r="B107" s="5048"/>
      <c r="C107" s="2429" t="s">
        <v>2605</v>
      </c>
      <c r="D107" s="2429" t="s">
        <v>2606</v>
      </c>
      <c r="E107" s="3310">
        <v>0.1</v>
      </c>
      <c r="F107" s="3311">
        <v>15</v>
      </c>
    </row>
    <row r="108" spans="1:6" ht="24">
      <c r="A108" s="2449">
        <v>34</v>
      </c>
      <c r="B108" s="5054"/>
      <c r="C108" s="2429" t="s">
        <v>2607</v>
      </c>
      <c r="D108" s="2429" t="s">
        <v>2608</v>
      </c>
      <c r="E108" s="3310">
        <v>0.1</v>
      </c>
      <c r="F108" s="3311">
        <v>15</v>
      </c>
    </row>
    <row r="109" spans="1:6" ht="24">
      <c r="A109" s="2449">
        <v>35</v>
      </c>
      <c r="B109" s="5049" t="s">
        <v>2609</v>
      </c>
      <c r="C109" s="2449" t="s">
        <v>2610</v>
      </c>
      <c r="D109" s="2429" t="s">
        <v>2611</v>
      </c>
      <c r="E109" s="3310">
        <v>0.15</v>
      </c>
      <c r="F109" s="3311">
        <v>20</v>
      </c>
    </row>
    <row r="110" spans="1:6" ht="13.5">
      <c r="A110" s="2449">
        <v>36</v>
      </c>
      <c r="B110" s="5048"/>
      <c r="C110" s="2449" t="s">
        <v>2612</v>
      </c>
      <c r="D110" s="2429" t="s">
        <v>2613</v>
      </c>
      <c r="E110" s="3310">
        <v>0.15</v>
      </c>
      <c r="F110" s="3311">
        <v>20</v>
      </c>
    </row>
    <row r="111" spans="1:6" ht="13.5">
      <c r="A111" s="2449">
        <v>37</v>
      </c>
      <c r="B111" s="5048"/>
      <c r="C111" s="2449" t="s">
        <v>2614</v>
      </c>
      <c r="D111" s="2429" t="s">
        <v>2615</v>
      </c>
      <c r="E111" s="3310">
        <v>0.15</v>
      </c>
      <c r="F111" s="3311">
        <v>20</v>
      </c>
    </row>
    <row r="112" spans="1:6" ht="13.5">
      <c r="A112" s="2449">
        <v>38</v>
      </c>
      <c r="B112" s="5048"/>
      <c r="C112" s="2449" t="s">
        <v>2616</v>
      </c>
      <c r="D112" s="2429" t="s">
        <v>2617</v>
      </c>
      <c r="E112" s="3310">
        <v>0.1</v>
      </c>
      <c r="F112" s="3311">
        <v>15</v>
      </c>
    </row>
    <row r="113" spans="1:6" ht="24">
      <c r="A113" s="2449">
        <v>39</v>
      </c>
      <c r="B113" s="5048"/>
      <c r="C113" s="2449" t="s">
        <v>2618</v>
      </c>
      <c r="D113" s="2429" t="s">
        <v>2619</v>
      </c>
      <c r="E113" s="3310">
        <v>0.1</v>
      </c>
      <c r="F113" s="3311">
        <v>15</v>
      </c>
    </row>
    <row r="114" spans="1:6" ht="24">
      <c r="A114" s="2449">
        <v>40</v>
      </c>
      <c r="B114" s="5054"/>
      <c r="C114" s="2449" t="s">
        <v>2620</v>
      </c>
      <c r="D114" s="2429" t="s">
        <v>2621</v>
      </c>
      <c r="E114" s="3310">
        <v>0.1</v>
      </c>
      <c r="F114" s="3311">
        <v>15</v>
      </c>
    </row>
    <row r="115" spans="1:6" ht="13.5">
      <c r="A115" s="2449">
        <v>41</v>
      </c>
      <c r="B115" s="5042" t="s">
        <v>2622</v>
      </c>
      <c r="C115" s="2449" t="s">
        <v>2623</v>
      </c>
      <c r="D115" s="2429" t="s">
        <v>2624</v>
      </c>
      <c r="E115" s="3310">
        <v>0.1</v>
      </c>
      <c r="F115" s="3311">
        <v>15</v>
      </c>
    </row>
    <row r="116" spans="1:6" ht="13.5">
      <c r="A116" s="2449">
        <v>42</v>
      </c>
      <c r="B116" s="5042"/>
      <c r="C116" s="2449" t="s">
        <v>2625</v>
      </c>
      <c r="D116" s="2429" t="s">
        <v>2626</v>
      </c>
      <c r="E116" s="3310">
        <v>0.1</v>
      </c>
      <c r="F116" s="3311">
        <v>15</v>
      </c>
    </row>
    <row r="117" spans="1:6" ht="24">
      <c r="A117" s="2449">
        <v>43</v>
      </c>
      <c r="B117" s="5042"/>
      <c r="C117" s="2449" t="s">
        <v>2627</v>
      </c>
      <c r="D117" s="2429" t="s">
        <v>2628</v>
      </c>
      <c r="E117" s="3310">
        <v>0.1</v>
      </c>
      <c r="F117" s="3311">
        <v>15</v>
      </c>
    </row>
    <row r="118" spans="1:6" ht="13.5">
      <c r="A118" s="2449">
        <v>44</v>
      </c>
      <c r="B118" s="5049" t="s">
        <v>2629</v>
      </c>
      <c r="C118" s="2449" t="s">
        <v>2630</v>
      </c>
      <c r="D118" s="2429" t="s">
        <v>2631</v>
      </c>
      <c r="E118" s="3310">
        <v>0.1</v>
      </c>
      <c r="F118" s="3311">
        <v>15</v>
      </c>
    </row>
    <row r="119" spans="1:6" ht="24">
      <c r="A119" s="2449">
        <v>45</v>
      </c>
      <c r="B119" s="5054"/>
      <c r="C119" s="2429" t="s">
        <v>2632</v>
      </c>
      <c r="D119" s="2429" t="s">
        <v>2633</v>
      </c>
      <c r="E119" s="3310">
        <v>0.1</v>
      </c>
      <c r="F119" s="3311">
        <v>15</v>
      </c>
    </row>
    <row r="120" spans="1:6" ht="24">
      <c r="A120" s="2449">
        <v>46</v>
      </c>
      <c r="B120" s="5049" t="s">
        <v>2634</v>
      </c>
      <c r="C120" s="2449" t="s">
        <v>2635</v>
      </c>
      <c r="D120" s="2429" t="s">
        <v>2636</v>
      </c>
      <c r="E120" s="3310">
        <v>0.1</v>
      </c>
      <c r="F120" s="3311">
        <v>15</v>
      </c>
    </row>
    <row r="121" spans="1:6" ht="24">
      <c r="A121" s="2449">
        <v>47</v>
      </c>
      <c r="B121" s="5054"/>
      <c r="C121" s="2449" t="s">
        <v>2637</v>
      </c>
      <c r="D121" s="2429" t="s">
        <v>2638</v>
      </c>
      <c r="E121" s="3310">
        <v>0.1</v>
      </c>
      <c r="F121" s="3311">
        <v>15</v>
      </c>
    </row>
    <row r="122" spans="1:6" ht="13.5">
      <c r="A122" s="2449">
        <v>48</v>
      </c>
      <c r="B122" s="5049" t="s">
        <v>2639</v>
      </c>
      <c r="C122" s="2449" t="s">
        <v>2640</v>
      </c>
      <c r="D122" s="2429" t="s">
        <v>2641</v>
      </c>
      <c r="E122" s="3310">
        <v>0.1</v>
      </c>
      <c r="F122" s="3311">
        <v>15</v>
      </c>
    </row>
    <row r="123" spans="1:6" ht="13.5">
      <c r="A123" s="2449">
        <v>49</v>
      </c>
      <c r="B123" s="5054"/>
      <c r="C123" s="2449" t="s">
        <v>2642</v>
      </c>
      <c r="D123" s="2429" t="s">
        <v>2643</v>
      </c>
      <c r="E123" s="3310">
        <v>0.1</v>
      </c>
      <c r="F123" s="3311">
        <v>15</v>
      </c>
    </row>
    <row r="124" spans="1:6" ht="24">
      <c r="A124" s="2449">
        <v>50</v>
      </c>
      <c r="B124" s="5042" t="s">
        <v>2644</v>
      </c>
      <c r="C124" s="2449" t="s">
        <v>2645</v>
      </c>
      <c r="D124" s="2429" t="s">
        <v>2646</v>
      </c>
      <c r="E124" s="3310">
        <v>0.1</v>
      </c>
      <c r="F124" s="3311">
        <v>15</v>
      </c>
    </row>
    <row r="125" spans="1:6" ht="24">
      <c r="A125" s="2449">
        <v>51</v>
      </c>
      <c r="B125" s="5042"/>
      <c r="C125" s="2449" t="s">
        <v>2647</v>
      </c>
      <c r="D125" s="2429" t="s">
        <v>2648</v>
      </c>
      <c r="E125" s="3310">
        <v>0.1</v>
      </c>
      <c r="F125" s="3311">
        <v>15</v>
      </c>
    </row>
    <row r="126" spans="1:6" ht="24">
      <c r="A126" s="2449">
        <v>52</v>
      </c>
      <c r="B126" s="5042" t="s">
        <v>2649</v>
      </c>
      <c r="C126" s="2449" t="s">
        <v>2650</v>
      </c>
      <c r="D126" s="2429" t="s">
        <v>2651</v>
      </c>
      <c r="E126" s="3310">
        <v>0.1</v>
      </c>
      <c r="F126" s="3311">
        <v>15</v>
      </c>
    </row>
    <row r="127" spans="1:6" ht="24">
      <c r="A127" s="2449">
        <v>53</v>
      </c>
      <c r="B127" s="5042"/>
      <c r="C127" s="2449" t="s">
        <v>2652</v>
      </c>
      <c r="D127" s="2429" t="s">
        <v>2653</v>
      </c>
      <c r="E127" s="3310">
        <v>0.1</v>
      </c>
      <c r="F127" s="3311">
        <v>15</v>
      </c>
    </row>
    <row r="128" spans="1:6" ht="13.5">
      <c r="A128" s="2449">
        <v>54</v>
      </c>
      <c r="B128" s="2449" t="s">
        <v>2654</v>
      </c>
      <c r="C128" s="2449" t="s">
        <v>2655</v>
      </c>
      <c r="D128" s="2429" t="s">
        <v>2656</v>
      </c>
      <c r="E128" s="3310">
        <v>0.1</v>
      </c>
      <c r="F128" s="3311">
        <v>15</v>
      </c>
    </row>
    <row r="129" spans="1:6" ht="13.5">
      <c r="A129" s="2449">
        <v>55</v>
      </c>
      <c r="B129" s="5042" t="s">
        <v>2657</v>
      </c>
      <c r="C129" s="2449" t="s">
        <v>2658</v>
      </c>
      <c r="D129" s="2429" t="s">
        <v>2659</v>
      </c>
      <c r="E129" s="3310">
        <v>0.1</v>
      </c>
      <c r="F129" s="3311">
        <v>15</v>
      </c>
    </row>
    <row r="130" spans="1:6" ht="13.5">
      <c r="A130" s="2449">
        <v>56</v>
      </c>
      <c r="B130" s="5042"/>
      <c r="C130" s="2449" t="s">
        <v>2660</v>
      </c>
      <c r="D130" s="2429" t="s">
        <v>2661</v>
      </c>
      <c r="E130" s="3310">
        <v>0.1</v>
      </c>
      <c r="F130" s="3311">
        <v>15</v>
      </c>
    </row>
    <row r="131" spans="1:6" ht="24">
      <c r="A131" s="2449">
        <v>57</v>
      </c>
      <c r="B131" s="5042"/>
      <c r="C131" s="2449" t="s">
        <v>2662</v>
      </c>
      <c r="D131" s="2429" t="s">
        <v>2663</v>
      </c>
      <c r="E131" s="3310">
        <v>0.1</v>
      </c>
      <c r="F131" s="3311">
        <v>15</v>
      </c>
    </row>
    <row r="132" spans="1:6" ht="24">
      <c r="A132" s="2449">
        <v>58</v>
      </c>
      <c r="B132" s="5042" t="s">
        <v>2664</v>
      </c>
      <c r="C132" s="2449" t="s">
        <v>2665</v>
      </c>
      <c r="D132" s="2429" t="s">
        <v>2666</v>
      </c>
      <c r="E132" s="3310">
        <v>0.1</v>
      </c>
      <c r="F132" s="3311">
        <v>15</v>
      </c>
    </row>
    <row r="133" spans="1:6" ht="13.5">
      <c r="A133" s="2449">
        <v>59</v>
      </c>
      <c r="B133" s="5042"/>
      <c r="C133" s="2449" t="s">
        <v>2667</v>
      </c>
      <c r="D133" s="2429" t="s">
        <v>2668</v>
      </c>
      <c r="E133" s="3310">
        <v>0.1</v>
      </c>
      <c r="F133" s="3311">
        <v>15</v>
      </c>
    </row>
    <row r="134" spans="1:6" ht="13.5">
      <c r="A134" s="2449">
        <v>60</v>
      </c>
      <c r="B134" s="5049" t="s">
        <v>2669</v>
      </c>
      <c r="C134" s="2449" t="s">
        <v>2670</v>
      </c>
      <c r="D134" s="2429" t="s">
        <v>2671</v>
      </c>
      <c r="E134" s="3310">
        <v>0.1</v>
      </c>
      <c r="F134" s="3311">
        <v>15</v>
      </c>
    </row>
    <row r="135" spans="1:6" ht="13.5">
      <c r="A135" s="2449">
        <v>61</v>
      </c>
      <c r="B135" s="5054"/>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13.5">
      <c r="A137" s="2449">
        <v>63</v>
      </c>
      <c r="B137" s="5042" t="s">
        <v>2677</v>
      </c>
      <c r="C137" s="2449" t="s">
        <v>2678</v>
      </c>
      <c r="D137" s="2429" t="s">
        <v>2679</v>
      </c>
      <c r="E137" s="3310">
        <v>0.1</v>
      </c>
      <c r="F137" s="3311">
        <v>15</v>
      </c>
    </row>
    <row r="138" spans="1:6" ht="13.5">
      <c r="A138" s="2449">
        <v>64</v>
      </c>
      <c r="B138" s="5042"/>
      <c r="C138" s="2449" t="s">
        <v>2680</v>
      </c>
      <c r="D138" s="2429" t="s">
        <v>2681</v>
      </c>
      <c r="E138" s="3310">
        <v>0.1</v>
      </c>
      <c r="F138" s="3311">
        <v>15</v>
      </c>
    </row>
    <row r="139" spans="1:6" ht="13.5">
      <c r="A139" s="2449">
        <v>65</v>
      </c>
      <c r="B139" s="2449" t="s">
        <v>2682</v>
      </c>
      <c r="C139" s="2449" t="s">
        <v>2683</v>
      </c>
      <c r="D139" s="2429" t="s">
        <v>2684</v>
      </c>
      <c r="E139" s="3310">
        <v>0.1</v>
      </c>
      <c r="F139" s="3311">
        <v>15</v>
      </c>
    </row>
    <row r="140" spans="1:6" ht="13.5">
      <c r="A140" s="2449"/>
      <c r="B140" s="2449"/>
      <c r="C140" s="2449"/>
      <c r="D140" s="2449"/>
      <c r="E140" s="2449" t="s">
        <v>2685</v>
      </c>
      <c r="F140" s="2449"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2472"/>
    <col min="14" max="16384" width="9" style="533"/>
  </cols>
  <sheetData>
    <row r="1" spans="1:20" ht="15"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0</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0</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23460</v>
      </c>
      <c r="C2" s="2" t="s">
        <v>104</v>
      </c>
      <c r="D2" s="98"/>
      <c r="E2" s="98"/>
      <c r="F2" s="98"/>
      <c r="G2" s="98"/>
    </row>
    <row r="3" spans="1:7" s="99" customFormat="1" ht="18" customHeight="1" thickBot="1">
      <c r="A3" s="102" t="s">
        <v>56</v>
      </c>
      <c r="B3" s="103">
        <f ca="1">ROUND(B2*10000/'数据-汇总表'!E3,0)</f>
        <v>2459</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987</v>
      </c>
      <c r="D9" s="568">
        <f>'数据-汇总表'!E5</f>
        <v>61695.28</v>
      </c>
      <c r="E9" s="124">
        <f>'数据-取费表'!B27</f>
        <v>160</v>
      </c>
      <c r="F9" s="120"/>
      <c r="G9" s="125"/>
    </row>
    <row r="10" spans="1:7" s="113" customFormat="1" ht="13.5" customHeight="1">
      <c r="A10" s="539" t="s">
        <v>354</v>
      </c>
      <c r="B10" s="123" t="s">
        <v>65</v>
      </c>
      <c r="C10" s="124">
        <f>ROUND(D10*E10/10000,0)</f>
        <v>674</v>
      </c>
      <c r="D10" s="568">
        <f>'数据-汇总表'!E6</f>
        <v>33708.930000000008</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1240</v>
      </c>
      <c r="D19" s="572">
        <f>'数据-汇总表'!E3</f>
        <v>95404.21</v>
      </c>
      <c r="E19" s="110">
        <f>'数据-取费表'!B31</f>
        <v>130</v>
      </c>
      <c r="F19" s="130"/>
      <c r="G19" s="1" t="s">
        <v>430</v>
      </c>
    </row>
    <row r="20" spans="1:7" s="113" customFormat="1" ht="13.5" customHeight="1">
      <c r="A20" s="537" t="s">
        <v>413</v>
      </c>
      <c r="B20" s="109" t="s">
        <v>75</v>
      </c>
      <c r="C20" s="131">
        <f>ROUND((C5+C19)*F20,0)</f>
        <v>437</v>
      </c>
      <c r="D20" s="131"/>
      <c r="E20" s="131"/>
      <c r="F20" s="132">
        <f>'数据-取费表'!B38</f>
        <v>0.02</v>
      </c>
      <c r="G20" s="743" t="s">
        <v>424</v>
      </c>
    </row>
    <row r="21" spans="1:7" s="113" customFormat="1" ht="13.5" customHeight="1">
      <c r="A21" s="537" t="s">
        <v>415</v>
      </c>
      <c r="B21" s="109" t="s">
        <v>76</v>
      </c>
      <c r="C21" s="134">
        <f>F21</f>
        <v>0.05</v>
      </c>
      <c r="D21" s="135" t="s">
        <v>97</v>
      </c>
      <c r="E21" s="131"/>
      <c r="F21" s="132">
        <f>'数据-取费表'!B39</f>
        <v>0.05</v>
      </c>
      <c r="G21" s="133" t="s">
        <v>77</v>
      </c>
    </row>
    <row r="22" spans="1:7" s="113" customFormat="1" ht="13.5" customHeight="1">
      <c r="A22" s="537" t="s">
        <v>339</v>
      </c>
      <c r="B22" s="109" t="s">
        <v>78</v>
      </c>
      <c r="C22" s="779">
        <f ca="1">ROUND(SUM(C23:C25),0)</f>
        <v>0</v>
      </c>
      <c r="D22" s="134">
        <f ca="1">C26</f>
        <v>0</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4.75">
      <c r="A27" s="537" t="s">
        <v>340</v>
      </c>
      <c r="B27" s="143" t="s">
        <v>83</v>
      </c>
      <c r="C27" s="144">
        <f>C28</f>
        <v>0</v>
      </c>
      <c r="D27" s="134">
        <f>C29</f>
        <v>0</v>
      </c>
      <c r="E27" s="135" t="s">
        <v>97</v>
      </c>
      <c r="F27" s="145">
        <f>'数据-取费表'!Q16</f>
        <v>0.14000000000000001</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23460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v>
      </c>
      <c r="G34" s="118" t="s">
        <v>87</v>
      </c>
    </row>
    <row r="35" spans="1:7" ht="13.5" customHeight="1">
      <c r="A35" s="540" t="s">
        <v>349</v>
      </c>
      <c r="B35" s="114" t="s">
        <v>31</v>
      </c>
      <c r="C35" s="119">
        <f>ROUND(C34*F35,0)</f>
        <v>0</v>
      </c>
      <c r="D35" s="119"/>
      <c r="E35" s="119"/>
      <c r="F35" s="158">
        <f>'数据-取费表'!B33</f>
        <v>0.04</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0.05</v>
      </c>
      <c r="G36" s="159" t="s">
        <v>33</v>
      </c>
    </row>
    <row r="37" spans="1:7" s="157" customFormat="1" ht="13.5" customHeight="1">
      <c r="A37" s="540" t="s">
        <v>351</v>
      </c>
      <c r="B37" s="114" t="s">
        <v>89</v>
      </c>
      <c r="C37" s="148">
        <f>ROUND(E37*D37*F34/10000,0)</f>
        <v>0</v>
      </c>
      <c r="D37" s="116">
        <f>'数据-汇总表'!E3</f>
        <v>95404.21</v>
      </c>
      <c r="E37" s="148">
        <f>'数据-取费表'!B35</f>
        <v>360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0.05</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0</v>
      </c>
      <c r="D42" s="137"/>
      <c r="E42" s="137"/>
      <c r="F42" s="138"/>
      <c r="G42" s="4848" t="s">
        <v>92</v>
      </c>
    </row>
    <row r="43" spans="1:7" ht="13.5" customHeight="1">
      <c r="A43" s="540" t="s">
        <v>345</v>
      </c>
      <c r="B43" s="114" t="s">
        <v>420</v>
      </c>
      <c r="C43" s="137">
        <f ca="1">ROUND(IF('数据-取费表'!B22&lt;=1,C39*F22*'数据-取费表'!B21/2,C39*(POWER((1+F22),'数据-取费表'!B21/2)-1)),0)</f>
        <v>0</v>
      </c>
      <c r="D43" s="137"/>
      <c r="E43" s="137"/>
      <c r="F43" s="138"/>
      <c r="G43" s="4850"/>
    </row>
    <row r="44" spans="1:7" ht="13.5" customHeight="1">
      <c r="A44" s="540" t="s">
        <v>346</v>
      </c>
      <c r="B44" s="114" t="s">
        <v>422</v>
      </c>
      <c r="C44" s="137">
        <f ca="1">ROUND(IF('数据-取费表'!B22&lt;=1,C40*F22*'数据-取费表'!B21/2,C40*(POWER((1+F22),'数据-取费表'!B21/2)-1)),4)</f>
        <v>0</v>
      </c>
      <c r="D44" s="137"/>
      <c r="E44" s="137"/>
      <c r="F44" s="138"/>
      <c r="G44" s="4849"/>
    </row>
    <row r="45" spans="1:7" s="113" customFormat="1" ht="13.5" customHeight="1">
      <c r="A45" s="537" t="s">
        <v>339</v>
      </c>
      <c r="B45" s="143" t="s">
        <v>83</v>
      </c>
      <c r="C45" s="144">
        <f>C46</f>
        <v>0</v>
      </c>
      <c r="D45" s="134">
        <f>C47</f>
        <v>7.0000000000000001E-3</v>
      </c>
      <c r="E45" s="135" t="s">
        <v>100</v>
      </c>
      <c r="F45" s="145"/>
      <c r="G45" s="146" t="s">
        <v>428</v>
      </c>
    </row>
    <row r="46" spans="1:7" s="113" customFormat="1" ht="13.5" customHeight="1">
      <c r="A46" s="540" t="s">
        <v>347</v>
      </c>
      <c r="B46" s="147" t="s">
        <v>421</v>
      </c>
      <c r="C46" s="148">
        <f>ROUND((C33+C39)*F27,0)</f>
        <v>0</v>
      </c>
      <c r="D46" s="162"/>
      <c r="E46" s="135"/>
      <c r="F46" s="145"/>
      <c r="G46" s="146"/>
    </row>
    <row r="47" spans="1:7" s="113" customFormat="1" ht="13.5" customHeight="1">
      <c r="A47" s="540" t="s">
        <v>345</v>
      </c>
      <c r="B47" s="147" t="s">
        <v>423</v>
      </c>
      <c r="C47" s="137">
        <f>ROUND(C40*F27,4)</f>
        <v>7.0000000000000001E-3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0</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0</v>
      </c>
      <c r="D51" s="131"/>
      <c r="E51" s="131"/>
      <c r="F51" s="163"/>
      <c r="G51" s="133" t="s">
        <v>35</v>
      </c>
    </row>
    <row r="52" spans="1:7" s="107" customFormat="1" ht="16.5" thickBot="1">
      <c r="A52" s="164" t="s">
        <v>36</v>
      </c>
      <c r="B52" s="165"/>
      <c r="C52" s="166">
        <f ca="1">C31+C51</f>
        <v>23460</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55" t="s">
        <v>3069</v>
      </c>
      <c r="B1" s="5055"/>
    </row>
    <row r="2" spans="1:7" ht="14.25" thickBot="1">
      <c r="A2" s="2569"/>
      <c r="B2" s="2569"/>
    </row>
    <row r="3" spans="1:7" ht="14.25" thickBot="1">
      <c r="A3" s="2569"/>
      <c r="B3" s="2569"/>
      <c r="C3" s="2570" t="s">
        <v>2699</v>
      </c>
      <c r="D3" s="2570" t="s">
        <v>2755</v>
      </c>
      <c r="E3" s="2570" t="s">
        <v>2701</v>
      </c>
      <c r="F3" s="2570" t="s">
        <v>2756</v>
      </c>
      <c r="G3" s="2570" t="s">
        <v>2519</v>
      </c>
    </row>
    <row r="4" spans="1:7" ht="14.2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4.2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4.2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4.2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4.2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4.2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4.2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4.2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4.2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4.2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4.2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56" t="s">
        <v>3120</v>
      </c>
      <c r="B1" s="5056"/>
      <c r="C1" s="5056"/>
      <c r="D1" s="5056"/>
      <c r="E1" s="5056"/>
      <c r="F1" s="5057"/>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6" zoomScale="90" zoomScaleNormal="90" workbookViewId="0">
      <selection activeCell="C7" sqref="C7"/>
    </sheetView>
  </sheetViews>
  <sheetFormatPr defaultRowHeight="13.5"/>
  <cols>
    <col min="1" max="1" width="13.875" customWidth="1"/>
    <col min="11" max="17" width="9" customWidth="1"/>
    <col min="25" max="30" width="0" hidden="1" customWidth="1"/>
  </cols>
  <sheetData>
    <row r="1" spans="1:44">
      <c r="A1" s="2539">
        <f>基准地价修正!G23</f>
        <v>46087</v>
      </c>
      <c r="B1" s="2528" t="s">
        <v>3263</v>
      </c>
      <c r="C1" s="2529"/>
      <c r="D1" s="2529"/>
      <c r="E1" s="2529"/>
      <c r="F1" s="2529"/>
      <c r="G1" s="2529"/>
      <c r="H1" s="2529"/>
      <c r="I1" s="2529"/>
      <c r="J1" s="2495"/>
      <c r="K1" s="2529" t="s">
        <v>448</v>
      </c>
      <c r="L1" s="2529"/>
      <c r="M1" s="2529"/>
      <c r="N1" s="2529"/>
      <c r="O1" s="2529"/>
      <c r="P1" s="2529"/>
      <c r="Q1" s="2495"/>
      <c r="R1" s="5058" t="s">
        <v>450</v>
      </c>
      <c r="S1" s="5059"/>
      <c r="T1" s="5059"/>
      <c r="U1" s="5059"/>
      <c r="V1" s="5059"/>
      <c r="W1" s="5059"/>
      <c r="X1" s="2495"/>
      <c r="Y1" s="5058" t="s">
        <v>451</v>
      </c>
      <c r="Z1" s="5059"/>
      <c r="AA1" s="5059"/>
      <c r="AB1" s="5059"/>
      <c r="AC1" s="5059"/>
      <c r="AD1" s="5059"/>
    </row>
    <row r="2" spans="1:44" s="2474" customFormat="1" ht="14.2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2.75">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3266</v>
      </c>
    </row>
    <row r="31" spans="1:44" s="2373" customFormat="1">
      <c r="I31" s="2526" t="s">
        <v>2713</v>
      </c>
    </row>
    <row r="32" spans="1:44" s="2373" customFormat="1"/>
    <row r="33" spans="1:44" s="2527" customFormat="1" ht="12.75">
      <c r="B33" s="2528" t="s">
        <v>3264</v>
      </c>
      <c r="C33" s="2529"/>
      <c r="D33" s="2529"/>
      <c r="E33" s="2529"/>
      <c r="F33" s="2529"/>
      <c r="G33" s="2529"/>
      <c r="H33" s="2529"/>
      <c r="I33" s="2529"/>
      <c r="J33" s="2495"/>
      <c r="K33" s="2529" t="s">
        <v>2714</v>
      </c>
      <c r="L33" s="2529"/>
      <c r="M33" s="2529"/>
      <c r="N33" s="2529"/>
      <c r="O33" s="2529"/>
      <c r="P33" s="2529"/>
      <c r="Q33" s="2495"/>
      <c r="R33" s="5058" t="s">
        <v>2715</v>
      </c>
      <c r="S33" s="5059"/>
      <c r="T33" s="5059"/>
      <c r="U33" s="5059"/>
      <c r="V33" s="5059"/>
      <c r="W33" s="5059"/>
      <c r="X33" s="2495"/>
      <c r="Y33" s="5058" t="s">
        <v>2716</v>
      </c>
      <c r="Z33" s="5059"/>
      <c r="AA33" s="5059"/>
      <c r="AB33" s="5059"/>
      <c r="AC33" s="5059"/>
      <c r="AD33" s="5059"/>
    </row>
    <row r="34" spans="1:44" s="2474" customFormat="1" ht="14.2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2.75">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65" t="s">
        <v>446</v>
      </c>
      <c r="C1" s="5065"/>
      <c r="D1" s="5065"/>
      <c r="E1" s="5065"/>
      <c r="F1" s="5065"/>
      <c r="G1" s="5061" t="s">
        <v>447</v>
      </c>
      <c r="H1" s="5061"/>
      <c r="I1" s="5061"/>
      <c r="J1" s="5061"/>
      <c r="K1" s="5061"/>
      <c r="L1" s="5061"/>
      <c r="N1" s="5061" t="s">
        <v>448</v>
      </c>
      <c r="O1" s="5061"/>
      <c r="P1" s="5061"/>
      <c r="Q1" s="5061"/>
      <c r="S1" s="5061" t="s">
        <v>449</v>
      </c>
      <c r="T1" s="5061"/>
      <c r="U1" s="5061"/>
      <c r="V1" s="5061"/>
      <c r="X1" s="5060" t="s">
        <v>450</v>
      </c>
      <c r="Y1" s="5061"/>
      <c r="Z1" s="5061"/>
      <c r="AA1" s="5061"/>
      <c r="AB1" s="5061"/>
      <c r="AD1" s="5060" t="s">
        <v>451</v>
      </c>
      <c r="AE1" s="5061"/>
      <c r="AF1" s="5061"/>
      <c r="AG1" s="5061"/>
      <c r="AH1" s="5061"/>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3">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3"/>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3"/>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0"/>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66">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3"/>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3"/>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0"/>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66">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3"/>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3"/>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4"/>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2">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3"/>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3"/>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4"/>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2">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3"/>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3"/>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4"/>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67">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68"/>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68"/>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9"/>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2">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3"/>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3"/>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4"/>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2">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3">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3">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4">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2">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3">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3">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4">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2">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3">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3">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4">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2">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3">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3">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4">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2">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3">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3">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4">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2">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3">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3">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4">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2">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3">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3">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4">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2">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3">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3">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4">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2">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3">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3">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4">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2">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3">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3">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4">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3" t="s">
        <v>2727</v>
      </c>
      <c r="B1" s="5073"/>
      <c r="C1" s="5073"/>
      <c r="D1" s="5073"/>
      <c r="E1" s="5073"/>
      <c r="F1" s="5073"/>
      <c r="G1" s="5074"/>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2"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71"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2" thickBot="1">
      <c r="A4" s="5072"/>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2"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4627">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2"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2"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2"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46087</v>
      </c>
      <c r="D1" s="926" t="s">
        <v>597</v>
      </c>
      <c r="E1" s="3245">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7" t="str">
        <f>IF(项目基本情况!B9="房地产市场价值","估价结果一览表","结果表-2")</f>
        <v>结果表-2</v>
      </c>
      <c r="B1" s="4647"/>
      <c r="C1" s="4647"/>
      <c r="D1" s="4647"/>
      <c r="E1" s="4647"/>
      <c r="F1" s="4647"/>
      <c r="G1" s="4647"/>
      <c r="H1" s="4647"/>
      <c r="I1" s="4647"/>
    </row>
    <row r="2" spans="1:9" ht="30" customHeight="1" thickTop="1">
      <c r="A2" s="4648" t="s">
        <v>912</v>
      </c>
      <c r="B2" s="4648" t="s">
        <v>913</v>
      </c>
      <c r="C2" s="4648" t="s">
        <v>914</v>
      </c>
      <c r="D2" s="4648" t="str">
        <f>结果表!D116</f>
        <v>出让国有建设用地使用权价值</v>
      </c>
      <c r="E2" s="4648"/>
      <c r="F2" s="4648">
        <f>结果表!F116</f>
        <v>0</v>
      </c>
      <c r="G2" s="4648"/>
      <c r="H2" s="4648" t="str">
        <f>IF(项目基本情况!B9="房地产市场价值","房地产市场价值","房地产价值")</f>
        <v>房地产价值</v>
      </c>
      <c r="I2" s="4648"/>
    </row>
    <row r="3" spans="1:9" ht="15">
      <c r="A3" s="4649"/>
      <c r="B3" s="4649"/>
      <c r="C3" s="4649"/>
      <c r="D3" s="577" t="s">
        <v>909</v>
      </c>
      <c r="E3" s="577" t="s">
        <v>915</v>
      </c>
      <c r="F3" s="577" t="s">
        <v>909</v>
      </c>
      <c r="G3" s="577" t="s">
        <v>910</v>
      </c>
      <c r="H3" s="577" t="s">
        <v>909</v>
      </c>
      <c r="I3" s="577" t="s">
        <v>910</v>
      </c>
    </row>
    <row r="4" spans="1:9" ht="15">
      <c r="A4" s="1111" t="str">
        <f>项目基本情况!S2</f>
        <v>北京市房地产</v>
      </c>
      <c r="B4" s="577">
        <f>项目基本情况!C17</f>
        <v>95404.21</v>
      </c>
      <c r="C4" s="577">
        <f>项目基本情况!C18</f>
        <v>28389.67</v>
      </c>
      <c r="D4" s="577" t="e">
        <f ca="1">结果表!E118</f>
        <v>#REF!</v>
      </c>
      <c r="E4" s="577" t="e">
        <f ca="1">结果表!D118</f>
        <v>#REF!</v>
      </c>
      <c r="F4" s="577" t="e">
        <f ca="1">结果表!G118</f>
        <v>#REF!</v>
      </c>
      <c r="G4" s="577" t="e">
        <f ca="1">结果表!F118</f>
        <v>#REF!</v>
      </c>
      <c r="H4" s="577">
        <f ca="1">结果表!I118</f>
        <v>139930</v>
      </c>
      <c r="I4" s="577">
        <f ca="1">结果表!H118</f>
        <v>14667</v>
      </c>
    </row>
    <row r="5" spans="1:9" ht="30" customHeight="1">
      <c r="A5" s="4649" t="s">
        <v>911</v>
      </c>
      <c r="B5" s="4649"/>
      <c r="C5" s="4649"/>
      <c r="D5" s="4649" t="e">
        <f ca="1">结果表!D119</f>
        <v>#REF!</v>
      </c>
      <c r="E5" s="4649"/>
      <c r="F5" s="4649" t="e">
        <f ca="1">结果表!F119</f>
        <v>#REF!</v>
      </c>
      <c r="G5" s="4649"/>
      <c r="H5" s="4649" t="str">
        <f ca="1">结果表!H119</f>
        <v>壹拾叁亿玖仟玖佰叁拾万元整</v>
      </c>
      <c r="I5" s="4649"/>
    </row>
    <row r="6" spans="1:9" ht="15.75">
      <c r="A6" s="4650" t="str">
        <f>结果表!A120</f>
        <v>估价师知悉的法定优先受偿款</v>
      </c>
      <c r="B6" s="4650"/>
      <c r="C6" s="4650"/>
      <c r="D6" s="4650">
        <f>结果表!H120</f>
        <v>2026</v>
      </c>
      <c r="E6" s="4650"/>
      <c r="F6" s="4650"/>
      <c r="G6" s="4650"/>
      <c r="H6" s="4650"/>
      <c r="I6" s="4650"/>
    </row>
    <row r="7" spans="1:9" ht="15">
      <c r="A7" s="4649" t="s">
        <v>911</v>
      </c>
      <c r="B7" s="4649"/>
      <c r="C7" s="4649"/>
      <c r="D7" s="4651" t="str">
        <f>结果表!H121</f>
        <v>贰仟零贰拾陆万元整</v>
      </c>
      <c r="E7" s="4652"/>
      <c r="F7" s="4652"/>
      <c r="G7" s="4652"/>
      <c r="H7" s="4652"/>
      <c r="I7" s="4653"/>
    </row>
    <row r="8" spans="1:9" ht="15.75">
      <c r="A8" s="4650" t="str">
        <f>结果表!A122</f>
        <v>房地产抵押价值</v>
      </c>
      <c r="B8" s="4650"/>
      <c r="C8" s="4650"/>
      <c r="D8" s="4650">
        <f ca="1">结果表!H122</f>
        <v>137904</v>
      </c>
      <c r="E8" s="4650"/>
      <c r="F8" s="4650"/>
      <c r="G8" s="4650"/>
      <c r="H8" s="4650"/>
      <c r="I8" s="4650"/>
    </row>
    <row r="9" spans="1:9" ht="15">
      <c r="A9" s="4649" t="s">
        <v>911</v>
      </c>
      <c r="B9" s="4649"/>
      <c r="C9" s="4649"/>
      <c r="D9" s="4649" t="str">
        <f ca="1">结果表!H123</f>
        <v>壹拾叁亿柒仟玖佰零肆万元整</v>
      </c>
      <c r="E9" s="4649"/>
      <c r="F9" s="4649"/>
      <c r="G9" s="4649"/>
      <c r="H9" s="4649"/>
      <c r="I9" s="4649"/>
    </row>
    <row r="10" spans="1:9" ht="15.75">
      <c r="A10" s="4650" t="str">
        <f>结果表!A124</f>
        <v/>
      </c>
      <c r="B10" s="4650"/>
      <c r="C10" s="4650"/>
      <c r="D10" s="4650" t="str">
        <f>结果表!H124</f>
        <v>——</v>
      </c>
      <c r="E10" s="4650"/>
      <c r="F10" s="4650"/>
      <c r="G10" s="4650"/>
      <c r="H10" s="4650"/>
      <c r="I10" s="4650"/>
    </row>
    <row r="11" spans="1:9" ht="15">
      <c r="A11" s="4649" t="s">
        <v>911</v>
      </c>
      <c r="B11" s="4649"/>
      <c r="C11" s="4649"/>
      <c r="D11" s="4649" t="e">
        <f>结果表!H125</f>
        <v>#VALUE!</v>
      </c>
      <c r="E11" s="4649"/>
      <c r="F11" s="4649"/>
      <c r="G11" s="4649"/>
      <c r="H11" s="4649"/>
      <c r="I11" s="4649"/>
    </row>
    <row r="12" spans="1:9" ht="15.75">
      <c r="A12" s="4650" t="str">
        <f>结果表!A126</f>
        <v>抵押净值</v>
      </c>
      <c r="B12" s="4650"/>
      <c r="C12" s="4650"/>
      <c r="D12" s="4650">
        <f ca="1">结果表!H126</f>
        <v>137834</v>
      </c>
      <c r="E12" s="4650"/>
      <c r="F12" s="4650"/>
      <c r="G12" s="4650"/>
      <c r="H12" s="4650"/>
      <c r="I12" s="4650"/>
    </row>
    <row r="13" spans="1:9" ht="15.75" thickBot="1">
      <c r="A13" s="4654" t="s">
        <v>911</v>
      </c>
      <c r="B13" s="4654"/>
      <c r="C13" s="4654"/>
      <c r="D13" s="4654" t="str">
        <f ca="1">结果表!H127</f>
        <v>壹拾叁亿柒仟捌佰叁拾肆万元整</v>
      </c>
      <c r="E13" s="4654"/>
      <c r="F13" s="4654"/>
      <c r="G13" s="4654"/>
      <c r="H13" s="4654"/>
      <c r="I13" s="4654"/>
    </row>
    <row r="14" spans="1:9" ht="15" thickTop="1">
      <c r="A14" s="4655" t="s">
        <v>916</v>
      </c>
      <c r="B14" s="4655"/>
      <c r="C14" s="4655"/>
      <c r="D14" s="4655"/>
      <c r="E14" s="4655"/>
      <c r="F14" s="4655"/>
      <c r="G14" s="4655"/>
      <c r="H14" s="4655"/>
      <c r="I14" s="4655"/>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98"/>
  <sheetViews>
    <sheetView workbookViewId="0">
      <selection activeCell="L25" sqref="L25"/>
    </sheetView>
  </sheetViews>
  <sheetFormatPr defaultRowHeight="13.5"/>
  <cols>
    <col min="1" max="1" width="35.75" style="2373" customWidth="1"/>
    <col min="2" max="2" width="9" style="2373"/>
    <col min="3" max="3" width="23.625" style="2373" customWidth="1"/>
    <col min="4" max="6" width="9" style="2373"/>
    <col min="7" max="7" width="14.625" style="2373" customWidth="1"/>
    <col min="8" max="9" width="9" style="2373"/>
    <col min="10" max="10" width="11.875" style="2373" customWidth="1"/>
    <col min="11" max="16384" width="9" style="2373"/>
  </cols>
  <sheetData>
    <row r="2" spans="1:17">
      <c r="L2" s="2373" t="s">
        <v>4098</v>
      </c>
      <c r="M2" s="2373" t="s">
        <v>4099</v>
      </c>
      <c r="N2" s="2373" t="s">
        <v>4100</v>
      </c>
      <c r="O2" s="2373" t="s">
        <v>4101</v>
      </c>
      <c r="P2" s="2373" t="s">
        <v>4102</v>
      </c>
      <c r="Q2" s="2373" t="s">
        <v>4103</v>
      </c>
    </row>
    <row r="3" spans="1:17">
      <c r="A3" s="2373" t="s">
        <v>4104</v>
      </c>
      <c r="B3" s="2373" t="s">
        <v>4066</v>
      </c>
      <c r="C3" s="2373" t="s">
        <v>4105</v>
      </c>
      <c r="D3" s="2373">
        <v>27592.85</v>
      </c>
      <c r="E3" s="2373">
        <v>63463.55</v>
      </c>
      <c r="F3" s="2373" t="s">
        <v>4106</v>
      </c>
      <c r="G3" s="2373" t="s">
        <v>4107</v>
      </c>
      <c r="H3" s="2373">
        <v>2.2999999999999998</v>
      </c>
      <c r="I3" s="2373" t="s">
        <v>4108</v>
      </c>
      <c r="J3" s="4631">
        <v>45965</v>
      </c>
      <c r="K3" s="2373" t="s">
        <v>4109</v>
      </c>
      <c r="L3" s="2373">
        <v>190400</v>
      </c>
      <c r="M3" s="2373">
        <v>69003.38</v>
      </c>
      <c r="N3" s="2373">
        <v>4600.2299999999996</v>
      </c>
      <c r="O3" s="2373">
        <v>30001</v>
      </c>
      <c r="P3" s="2373">
        <v>0</v>
      </c>
    </row>
    <row r="4" spans="1:17" s="4632" customFormat="1">
      <c r="A4" s="4632" t="s">
        <v>4110</v>
      </c>
      <c r="B4" s="4632" t="s">
        <v>4066</v>
      </c>
      <c r="C4" s="4632" t="s">
        <v>4111</v>
      </c>
      <c r="D4" s="4632">
        <v>48710.14</v>
      </c>
      <c r="E4" s="4632">
        <v>116613.94</v>
      </c>
      <c r="F4" s="4632" t="s">
        <v>4106</v>
      </c>
      <c r="G4" s="4632" t="s">
        <v>4107</v>
      </c>
      <c r="H4" s="4632" t="s">
        <v>4112</v>
      </c>
      <c r="I4" s="4632" t="s">
        <v>4108</v>
      </c>
      <c r="J4" s="4633">
        <v>45684</v>
      </c>
      <c r="K4" s="4632" t="s">
        <v>4113</v>
      </c>
      <c r="L4" s="4632">
        <v>232000</v>
      </c>
      <c r="M4" s="4632">
        <v>47628.68</v>
      </c>
      <c r="N4" s="4632">
        <v>3175.25</v>
      </c>
      <c r="O4" s="4632">
        <v>19895</v>
      </c>
      <c r="P4" s="4632">
        <v>0</v>
      </c>
    </row>
    <row r="5" spans="1:17">
      <c r="A5" s="2373" t="s">
        <v>4114</v>
      </c>
      <c r="B5" s="2373" t="s">
        <v>4066</v>
      </c>
      <c r="C5" s="2373" t="s">
        <v>4115</v>
      </c>
      <c r="D5" s="2373">
        <v>66972.3</v>
      </c>
      <c r="E5" s="2373">
        <v>114171</v>
      </c>
      <c r="F5" s="2373" t="s">
        <v>4116</v>
      </c>
      <c r="G5" s="2373" t="s">
        <v>4117</v>
      </c>
      <c r="H5" s="2373" t="s">
        <v>4118</v>
      </c>
      <c r="I5" s="2373" t="s">
        <v>4108</v>
      </c>
      <c r="J5" s="4631">
        <v>45677</v>
      </c>
      <c r="K5" s="2373" t="s">
        <v>4119</v>
      </c>
      <c r="L5" s="2373">
        <v>348000</v>
      </c>
      <c r="M5" s="2373">
        <v>51961.78</v>
      </c>
      <c r="N5" s="2373">
        <v>3464.12</v>
      </c>
      <c r="O5" s="2373">
        <v>30481</v>
      </c>
      <c r="P5" s="2373">
        <v>0</v>
      </c>
    </row>
    <row r="6" spans="1:17">
      <c r="A6" s="2373" t="s">
        <v>4120</v>
      </c>
      <c r="B6" s="2373" t="s">
        <v>4066</v>
      </c>
      <c r="C6" s="2373" t="s">
        <v>4121</v>
      </c>
      <c r="D6" s="2373">
        <v>29897.27</v>
      </c>
      <c r="E6" s="2373">
        <v>65733.16</v>
      </c>
      <c r="F6" s="2373" t="s">
        <v>4116</v>
      </c>
      <c r="G6" s="2373" t="s">
        <v>4122</v>
      </c>
      <c r="H6" s="2373" t="s">
        <v>4123</v>
      </c>
      <c r="I6" s="2373" t="s">
        <v>4108</v>
      </c>
      <c r="J6" s="4631">
        <v>45554</v>
      </c>
      <c r="K6" s="2373" t="s">
        <v>4124</v>
      </c>
      <c r="L6" s="2373">
        <v>222500</v>
      </c>
      <c r="M6" s="2373">
        <v>74421.509999999995</v>
      </c>
      <c r="N6" s="2373">
        <v>4961.43</v>
      </c>
      <c r="O6" s="2373">
        <v>33849</v>
      </c>
      <c r="P6" s="2373">
        <v>0</v>
      </c>
    </row>
    <row r="7" spans="1:17" s="4634" customFormat="1">
      <c r="A7" s="4634" t="s">
        <v>4125</v>
      </c>
      <c r="B7" s="4634" t="s">
        <v>4066</v>
      </c>
      <c r="C7" s="4634" t="s">
        <v>4126</v>
      </c>
      <c r="D7" s="4634">
        <v>69411.009999999995</v>
      </c>
      <c r="E7" s="4634">
        <v>144005.16</v>
      </c>
      <c r="F7" s="4634" t="s">
        <v>4116</v>
      </c>
      <c r="G7" s="4634" t="s">
        <v>4127</v>
      </c>
      <c r="H7" s="4634" t="s">
        <v>4128</v>
      </c>
      <c r="I7" s="4634" t="s">
        <v>4108</v>
      </c>
      <c r="J7" s="4635">
        <v>45496</v>
      </c>
      <c r="K7" s="4634" t="s">
        <v>4124</v>
      </c>
      <c r="L7" s="4634">
        <v>321700</v>
      </c>
      <c r="M7" s="4634">
        <v>46347.11</v>
      </c>
      <c r="N7" s="4634">
        <v>3089.81</v>
      </c>
      <c r="O7" s="4634">
        <v>22339</v>
      </c>
      <c r="P7" s="4634">
        <v>0</v>
      </c>
      <c r="Q7" s="4634">
        <v>24357</v>
      </c>
    </row>
    <row r="8" spans="1:17" s="4634" customFormat="1">
      <c r="A8" s="4634" t="s">
        <v>4129</v>
      </c>
      <c r="B8" s="4634" t="s">
        <v>4066</v>
      </c>
      <c r="C8" s="4634" t="s">
        <v>4130</v>
      </c>
      <c r="D8" s="4634">
        <v>67135.210000000006</v>
      </c>
      <c r="E8" s="4634">
        <v>119514.23</v>
      </c>
      <c r="F8" s="4634" t="s">
        <v>4116</v>
      </c>
      <c r="G8" s="4634" t="s">
        <v>4131</v>
      </c>
      <c r="H8" s="4634" t="s">
        <v>4132</v>
      </c>
      <c r="I8" s="4634" t="s">
        <v>4108</v>
      </c>
      <c r="J8" s="4635">
        <v>45476</v>
      </c>
      <c r="K8" s="4634" t="s">
        <v>4133</v>
      </c>
      <c r="L8" s="4634">
        <v>214600</v>
      </c>
      <c r="M8" s="4634">
        <v>31965.34</v>
      </c>
      <c r="N8" s="4634">
        <v>2131.02</v>
      </c>
      <c r="O8" s="4634">
        <v>17956</v>
      </c>
      <c r="P8" s="4634">
        <v>0</v>
      </c>
      <c r="Q8" s="4634">
        <v>18681</v>
      </c>
    </row>
    <row r="9" spans="1:17">
      <c r="B9" s="2373" t="s">
        <v>4066</v>
      </c>
      <c r="C9" s="2373" t="s">
        <v>4134</v>
      </c>
      <c r="D9" s="2373">
        <v>47035.47</v>
      </c>
      <c r="E9" s="2373">
        <v>117588.68</v>
      </c>
      <c r="F9" s="2373" t="s">
        <v>4116</v>
      </c>
      <c r="G9" s="2373" t="s">
        <v>4135</v>
      </c>
      <c r="H9" s="2373">
        <v>2.5</v>
      </c>
      <c r="I9" s="2373" t="s">
        <v>4108</v>
      </c>
      <c r="J9" s="4631">
        <v>45344</v>
      </c>
      <c r="K9" s="2373" t="s">
        <v>4136</v>
      </c>
      <c r="L9" s="2373">
        <v>487600</v>
      </c>
      <c r="M9" s="2373">
        <v>103666.44</v>
      </c>
      <c r="N9" s="2373">
        <v>6911.1</v>
      </c>
      <c r="O9" s="2373">
        <v>41467</v>
      </c>
      <c r="P9" s="2373">
        <v>15</v>
      </c>
    </row>
    <row r="10" spans="1:17" s="4634" customFormat="1">
      <c r="A10" s="4634" t="s">
        <v>4137</v>
      </c>
      <c r="B10" s="4634" t="s">
        <v>4066</v>
      </c>
      <c r="C10" s="4634" t="s">
        <v>4138</v>
      </c>
      <c r="D10" s="4634">
        <v>147727.42000000001</v>
      </c>
      <c r="E10" s="4634">
        <v>332097.21000000002</v>
      </c>
      <c r="F10" s="4634" t="s">
        <v>4116</v>
      </c>
      <c r="G10" s="4634" t="s">
        <v>4139</v>
      </c>
      <c r="H10" s="4634" t="s">
        <v>4140</v>
      </c>
      <c r="I10" s="4634" t="s">
        <v>4108</v>
      </c>
      <c r="J10" s="4635">
        <v>45323</v>
      </c>
      <c r="K10" s="4634" t="s">
        <v>4141</v>
      </c>
      <c r="L10" s="4634">
        <v>753800</v>
      </c>
      <c r="M10" s="4634">
        <v>51026.41</v>
      </c>
      <c r="N10" s="4634">
        <v>3401.76</v>
      </c>
      <c r="O10" s="4634">
        <v>22698</v>
      </c>
      <c r="P10" s="4634">
        <v>0.51</v>
      </c>
    </row>
    <row r="11" spans="1:17">
      <c r="B11" s="2373" t="s">
        <v>4066</v>
      </c>
      <c r="C11" s="2373" t="s">
        <v>4142</v>
      </c>
      <c r="D11" s="2373">
        <v>19113.12</v>
      </c>
      <c r="E11" s="2373">
        <v>38226.239999999998</v>
      </c>
      <c r="F11" s="2373" t="s">
        <v>4116</v>
      </c>
      <c r="G11" s="2373" t="s">
        <v>4143</v>
      </c>
      <c r="H11" s="2373">
        <v>2</v>
      </c>
      <c r="I11" s="2373" t="s">
        <v>4108</v>
      </c>
      <c r="J11" s="4631">
        <v>45286</v>
      </c>
      <c r="K11" s="2373" t="s">
        <v>4144</v>
      </c>
      <c r="L11" s="2373">
        <v>45000</v>
      </c>
      <c r="M11" s="2373">
        <v>23544.03</v>
      </c>
      <c r="N11" s="2373">
        <v>1569.6</v>
      </c>
      <c r="O11" s="2373">
        <v>11772</v>
      </c>
      <c r="P11" s="2373">
        <v>0</v>
      </c>
    </row>
    <row r="12" spans="1:17">
      <c r="B12" s="2373" t="s">
        <v>4066</v>
      </c>
      <c r="C12" s="2373" t="s">
        <v>4145</v>
      </c>
      <c r="D12" s="2373">
        <v>26969.65</v>
      </c>
      <c r="E12" s="2373">
        <v>70121.08</v>
      </c>
      <c r="F12" s="2373" t="s">
        <v>4106</v>
      </c>
      <c r="G12" s="2373" t="s">
        <v>4146</v>
      </c>
      <c r="H12" s="2373">
        <v>2.6</v>
      </c>
      <c r="I12" s="2373" t="s">
        <v>4108</v>
      </c>
      <c r="J12" s="4631">
        <v>45266</v>
      </c>
      <c r="K12" s="2373" t="s">
        <v>4147</v>
      </c>
      <c r="L12" s="2373">
        <v>190000</v>
      </c>
      <c r="M12" s="2373">
        <v>70449.56</v>
      </c>
      <c r="N12" s="2373">
        <v>4696.6400000000003</v>
      </c>
      <c r="O12" s="2373">
        <v>27096</v>
      </c>
      <c r="P12" s="2373">
        <v>1.06</v>
      </c>
    </row>
    <row r="13" spans="1:17">
      <c r="B13" s="2373" t="s">
        <v>4066</v>
      </c>
      <c r="C13" s="2373" t="s">
        <v>4148</v>
      </c>
      <c r="D13" s="2373">
        <v>21672.98</v>
      </c>
      <c r="E13" s="2373">
        <v>43345.96</v>
      </c>
      <c r="F13" s="2373" t="s">
        <v>4106</v>
      </c>
      <c r="G13" s="2373" t="s">
        <v>4146</v>
      </c>
      <c r="H13" s="2373">
        <v>2</v>
      </c>
      <c r="I13" s="2373" t="s">
        <v>4108</v>
      </c>
      <c r="J13" s="4631">
        <v>45266</v>
      </c>
      <c r="K13" s="2373" t="s">
        <v>4149</v>
      </c>
      <c r="L13" s="2373">
        <v>50000</v>
      </c>
      <c r="M13" s="2373">
        <v>23070.2</v>
      </c>
      <c r="N13" s="2373">
        <v>1538.01</v>
      </c>
      <c r="O13" s="2373">
        <v>11535</v>
      </c>
      <c r="P13" s="2373">
        <v>0</v>
      </c>
    </row>
    <row r="14" spans="1:17" s="4634" customFormat="1">
      <c r="A14" s="4634" t="s">
        <v>4150</v>
      </c>
      <c r="B14" s="4634" t="s">
        <v>4066</v>
      </c>
      <c r="C14" s="4634" t="s">
        <v>4151</v>
      </c>
      <c r="D14" s="4634">
        <v>26907.21</v>
      </c>
      <c r="E14" s="4634">
        <v>43051.54</v>
      </c>
      <c r="F14" s="4634" t="s">
        <v>4106</v>
      </c>
      <c r="G14" s="4634" t="s">
        <v>4146</v>
      </c>
      <c r="H14" s="4634">
        <v>1.6</v>
      </c>
      <c r="I14" s="4634" t="s">
        <v>4108</v>
      </c>
      <c r="J14" s="4635">
        <v>45253</v>
      </c>
      <c r="K14" s="4634" t="s">
        <v>4152</v>
      </c>
      <c r="L14" s="4634">
        <v>97000</v>
      </c>
      <c r="M14" s="4634">
        <v>36049.81</v>
      </c>
      <c r="N14" s="4634">
        <v>2403.3200000000002</v>
      </c>
      <c r="O14" s="4634">
        <v>22531</v>
      </c>
      <c r="P14" s="4634">
        <v>0</v>
      </c>
      <c r="Q14" s="4634">
        <v>22531</v>
      </c>
    </row>
    <row r="15" spans="1:17">
      <c r="B15" s="2373" t="s">
        <v>4066</v>
      </c>
      <c r="C15" s="2373" t="s">
        <v>4153</v>
      </c>
      <c r="D15" s="2373">
        <v>64837.47</v>
      </c>
      <c r="E15" s="2373">
        <v>124634.93</v>
      </c>
      <c r="F15" s="2373" t="s">
        <v>4116</v>
      </c>
      <c r="G15" s="2373" t="s">
        <v>4122</v>
      </c>
      <c r="H15" s="2373" t="s">
        <v>4154</v>
      </c>
      <c r="I15" s="2373" t="s">
        <v>4108</v>
      </c>
      <c r="J15" s="4631">
        <v>45141</v>
      </c>
      <c r="K15" s="2373" t="s">
        <v>4155</v>
      </c>
      <c r="L15" s="2373">
        <v>381800</v>
      </c>
      <c r="M15" s="2373">
        <v>58885.7</v>
      </c>
      <c r="N15" s="2373">
        <v>3925.71</v>
      </c>
      <c r="O15" s="2373">
        <v>30633</v>
      </c>
      <c r="P15" s="2373">
        <v>15</v>
      </c>
    </row>
    <row r="16" spans="1:17">
      <c r="B16" s="2373" t="s">
        <v>4066</v>
      </c>
      <c r="C16" s="2373" t="s">
        <v>4156</v>
      </c>
      <c r="D16" s="2373">
        <v>45954.22</v>
      </c>
      <c r="E16" s="2373">
        <v>91908.44</v>
      </c>
      <c r="F16" s="2373" t="s">
        <v>4106</v>
      </c>
      <c r="G16" s="2373" t="s">
        <v>4146</v>
      </c>
      <c r="H16" s="2373">
        <v>2</v>
      </c>
      <c r="I16" s="2373" t="s">
        <v>4108</v>
      </c>
      <c r="J16" s="4631">
        <v>45141</v>
      </c>
      <c r="K16" s="2373" t="s">
        <v>4136</v>
      </c>
      <c r="L16" s="2373">
        <v>287500</v>
      </c>
      <c r="M16" s="2373">
        <v>62562.26</v>
      </c>
      <c r="N16" s="2373">
        <v>4170.82</v>
      </c>
      <c r="O16" s="2373">
        <v>31281</v>
      </c>
      <c r="P16" s="2373">
        <v>15</v>
      </c>
    </row>
    <row r="17" spans="1:17">
      <c r="B17" s="2373" t="s">
        <v>4066</v>
      </c>
      <c r="C17" s="2373" t="s">
        <v>4157</v>
      </c>
      <c r="D17" s="2373">
        <v>57292.65</v>
      </c>
      <c r="E17" s="2373">
        <v>134221.63</v>
      </c>
      <c r="F17" s="2373" t="s">
        <v>4116</v>
      </c>
      <c r="G17" s="2373" t="s">
        <v>4122</v>
      </c>
      <c r="H17" s="2373" t="s">
        <v>4158</v>
      </c>
      <c r="I17" s="2373" t="s">
        <v>4108</v>
      </c>
      <c r="J17" s="4631">
        <v>45132</v>
      </c>
      <c r="K17" s="2373" t="s">
        <v>4159</v>
      </c>
      <c r="L17" s="2373">
        <v>540500</v>
      </c>
      <c r="M17" s="2373">
        <v>94340.19</v>
      </c>
      <c r="N17" s="2373">
        <v>6289.35</v>
      </c>
      <c r="O17" s="2373">
        <v>40269</v>
      </c>
      <c r="P17" s="2373">
        <v>15</v>
      </c>
    </row>
    <row r="18" spans="1:17" s="4634" customFormat="1">
      <c r="A18" s="4634" t="s">
        <v>4160</v>
      </c>
      <c r="B18" s="4634" t="s">
        <v>4066</v>
      </c>
      <c r="C18" s="4634" t="s">
        <v>4161</v>
      </c>
      <c r="D18" s="4634">
        <v>27822.39</v>
      </c>
      <c r="E18" s="4634">
        <v>44515.82</v>
      </c>
      <c r="F18" s="4634" t="s">
        <v>4106</v>
      </c>
      <c r="G18" s="4634" t="s">
        <v>4107</v>
      </c>
      <c r="H18" s="4634">
        <v>1.6</v>
      </c>
      <c r="I18" s="4634" t="s">
        <v>4108</v>
      </c>
      <c r="J18" s="4635">
        <v>45097</v>
      </c>
      <c r="K18" s="4634" t="s">
        <v>4162</v>
      </c>
      <c r="L18" s="4634">
        <v>100000</v>
      </c>
      <c r="M18" s="4634">
        <v>35942.269999999997</v>
      </c>
      <c r="N18" s="4634">
        <v>2396.15</v>
      </c>
      <c r="O18" s="4634">
        <v>22464</v>
      </c>
      <c r="P18" s="4634">
        <v>0</v>
      </c>
      <c r="Q18" s="4634">
        <v>22849</v>
      </c>
    </row>
    <row r="19" spans="1:17">
      <c r="B19" s="2373" t="s">
        <v>4066</v>
      </c>
      <c r="C19" s="2373" t="s">
        <v>4163</v>
      </c>
      <c r="D19" s="2373">
        <v>77391.100000000006</v>
      </c>
      <c r="E19" s="2373">
        <v>177999.53</v>
      </c>
      <c r="F19" s="2373" t="s">
        <v>4106</v>
      </c>
      <c r="G19" s="2373" t="s">
        <v>4146</v>
      </c>
      <c r="H19" s="2373">
        <v>2.2999999999999998</v>
      </c>
      <c r="I19" s="2373" t="s">
        <v>4108</v>
      </c>
      <c r="J19" s="4631">
        <v>45093</v>
      </c>
      <c r="K19" s="2373" t="s">
        <v>4164</v>
      </c>
      <c r="L19" s="2373">
        <v>791200</v>
      </c>
      <c r="M19" s="2373">
        <v>102233.98</v>
      </c>
      <c r="N19" s="2373">
        <v>6815.6</v>
      </c>
      <c r="O19" s="2373">
        <v>44450</v>
      </c>
      <c r="P19" s="2373">
        <v>15</v>
      </c>
    </row>
    <row r="20" spans="1:17">
      <c r="B20" s="2373" t="s">
        <v>4066</v>
      </c>
      <c r="C20" s="2373" t="s">
        <v>4165</v>
      </c>
      <c r="D20" s="2373">
        <v>43400</v>
      </c>
      <c r="E20" s="2373">
        <v>86800</v>
      </c>
      <c r="F20" s="2373" t="s">
        <v>4106</v>
      </c>
      <c r="G20" s="2373" t="s">
        <v>4146</v>
      </c>
      <c r="H20" s="2373">
        <v>2</v>
      </c>
      <c r="I20" s="2373" t="s">
        <v>4108</v>
      </c>
      <c r="J20" s="4631">
        <v>45078</v>
      </c>
      <c r="K20" s="2373" t="s">
        <v>4166</v>
      </c>
      <c r="L20" s="2373">
        <v>330050</v>
      </c>
      <c r="M20" s="2373">
        <v>76048.39</v>
      </c>
      <c r="N20" s="2373">
        <v>5069.8900000000003</v>
      </c>
      <c r="O20" s="2373">
        <v>38024</v>
      </c>
      <c r="P20" s="2373">
        <v>15</v>
      </c>
    </row>
    <row r="21" spans="1:17">
      <c r="B21" s="2373" t="s">
        <v>4066</v>
      </c>
      <c r="C21" s="2373" t="s">
        <v>4167</v>
      </c>
      <c r="D21" s="2373">
        <v>41091.4</v>
      </c>
      <c r="E21" s="2373">
        <v>93718.5</v>
      </c>
      <c r="F21" s="2373" t="s">
        <v>4116</v>
      </c>
      <c r="G21" s="2373" t="s">
        <v>4122</v>
      </c>
      <c r="H21" s="2373" t="s">
        <v>4168</v>
      </c>
      <c r="I21" s="2373" t="s">
        <v>4108</v>
      </c>
      <c r="J21" s="4631">
        <v>45052</v>
      </c>
      <c r="K21" s="2373" t="s">
        <v>4169</v>
      </c>
      <c r="L21" s="2373">
        <v>372600</v>
      </c>
      <c r="M21" s="2373">
        <v>90675.91</v>
      </c>
      <c r="N21" s="2373">
        <v>6045.06</v>
      </c>
      <c r="O21" s="2373">
        <v>39757</v>
      </c>
      <c r="P21" s="2373">
        <v>15</v>
      </c>
    </row>
    <row r="25" spans="1:17">
      <c r="A25" s="2373" t="str">
        <f>A7</f>
        <v>北京市大兴区大兴新城核心区DX00-0101-051、052地块、黄村七街DX00-0201-0248、0255地块R2二类居住用地、S4社会停车场用地、A334托幼用地</v>
      </c>
      <c r="B25" s="2373">
        <v>22339</v>
      </c>
    </row>
    <row r="48" spans="1:2">
      <c r="A48" s="2373" t="str">
        <f>A8</f>
        <v>北京市大兴区大兴新城西片区一期A、B组团土地一级开发项目DX00-0406-0003、DX00-0406-0011地块R2二类居住用地、DX00-0404-0033地块B4综合性商业金融服务业用地、D</v>
      </c>
      <c r="B48" s="2373">
        <f>O8</f>
        <v>17956</v>
      </c>
    </row>
    <row r="73" spans="1:2">
      <c r="A73" s="2373" t="str">
        <f>A14</f>
        <v>北京市大兴区大兴新城西片区一期A 组团土地一级开发项目DX00-0407-0007 地块R2二类居住用地</v>
      </c>
      <c r="B73" s="2373">
        <f>O14</f>
        <v>22531</v>
      </c>
    </row>
    <row r="98" spans="1:2">
      <c r="A98" s="2373" t="str">
        <f>A18</f>
        <v>北京市大兴区大兴新城西片区一期A组团土地一级开发项目DX00-0407-0002地块R2二类居住用地</v>
      </c>
      <c r="B98" s="2373">
        <f>O18</f>
        <v>22464</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6" t="s">
        <v>933</v>
      </c>
      <c r="B1" s="4656"/>
      <c r="C1" s="4656"/>
      <c r="D1" s="4656"/>
    </row>
    <row r="2" spans="1:4" ht="18">
      <c r="A2" s="4657" t="s">
        <v>917</v>
      </c>
      <c r="B2" s="4657"/>
      <c r="C2" s="4657"/>
      <c r="D2" s="4657"/>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7" t="s">
        <v>923</v>
      </c>
      <c r="B6" s="4657"/>
      <c r="C6" s="4657"/>
      <c r="D6" s="4657"/>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8" t="s">
        <v>926</v>
      </c>
      <c r="B11" s="4659"/>
      <c r="C11" s="4659"/>
      <c r="D11" s="4659"/>
    </row>
    <row r="12" spans="1:4" ht="15.75">
      <c r="A12" s="4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0"/>
      <c r="C12" s="4660"/>
      <c r="D12" s="4660"/>
    </row>
    <row r="13" spans="1:4" ht="30" customHeight="1">
      <c r="A13" s="46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0"/>
      <c r="C13" s="4660"/>
      <c r="D13" s="4660"/>
    </row>
    <row r="14" spans="1:4" ht="15.75" customHeight="1">
      <c r="A14" s="4659" t="str">
        <f>IF(项目基本情况!B8="抵押","4.本次评估估价师所知悉的法定优先受偿款情况说明如下：","——")</f>
        <v>4.本次评估估价师所知悉的法定优先受偿款情况说明如下：</v>
      </c>
      <c r="B14" s="4660"/>
      <c r="C14" s="4660"/>
      <c r="D14" s="4660"/>
    </row>
    <row r="15" spans="1:4" ht="42" customHeight="1">
      <c r="A15" s="46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9"/>
      <c r="C15" s="4659"/>
      <c r="D15" s="4659"/>
    </row>
    <row r="16" spans="1:4" ht="30" customHeight="1">
      <c r="A16" s="4662" t="s">
        <v>927</v>
      </c>
      <c r="B16" s="4662"/>
      <c r="C16" s="4662"/>
      <c r="D16" s="4662"/>
    </row>
    <row r="17" spans="1:4" ht="144" customHeight="1">
      <c r="A17" s="4662" t="s">
        <v>928</v>
      </c>
      <c r="B17" s="4662"/>
      <c r="C17" s="4662"/>
      <c r="D17" s="4662"/>
    </row>
    <row r="18" spans="1:4" ht="15.75" customHeight="1">
      <c r="A18" s="4659" t="str">
        <f>IF(项目基本情况!B8="抵押",结果表!K120,"——")</f>
        <v>故，本次评估估价师知悉的法定优先受偿款为人民币2026万元整。</v>
      </c>
      <c r="B18" s="4659"/>
      <c r="C18" s="4659"/>
      <c r="D18" s="4659"/>
    </row>
    <row r="19" spans="1:4" ht="46.5" customHeight="1">
      <c r="A19" s="4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9"/>
      <c r="C19" s="4659"/>
      <c r="D19" s="4659"/>
    </row>
    <row r="20" spans="1:4" ht="57.75" customHeight="1">
      <c r="A20" s="4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9"/>
      <c r="C20" s="4659"/>
      <c r="D20" s="4659"/>
    </row>
    <row r="21" spans="1:4" ht="57.75" customHeight="1">
      <c r="A21" s="4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3"/>
      <c r="C21" s="4663"/>
      <c r="D21" s="4663"/>
    </row>
    <row r="22" spans="1:4" ht="18.75" customHeight="1">
      <c r="A22" s="4664" t="s">
        <v>929</v>
      </c>
      <c r="B22" s="4664"/>
      <c r="C22" s="4664"/>
      <c r="D22" s="4664"/>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1">
        <v>42551</v>
      </c>
      <c r="D31" s="466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0" t="s">
        <v>940</v>
      </c>
      <c r="B15" s="4665" t="s">
        <v>107</v>
      </c>
      <c r="C15" s="4666"/>
    </row>
    <row r="16" spans="1:7" ht="13.5">
      <c r="A16" s="4671"/>
      <c r="B16" s="4665" t="s">
        <v>40</v>
      </c>
      <c r="C16" s="4666"/>
    </row>
    <row r="17" spans="1:3" ht="13.5">
      <c r="A17" s="4671"/>
      <c r="B17" s="4668" t="s">
        <v>941</v>
      </c>
      <c r="C17" s="1138" t="s">
        <v>940</v>
      </c>
    </row>
    <row r="18" spans="1:3" ht="13.5">
      <c r="A18" s="4671"/>
      <c r="B18" s="4668"/>
      <c r="C18" s="1138" t="s">
        <v>942</v>
      </c>
    </row>
    <row r="19" spans="1:3" ht="13.5">
      <c r="A19" s="4671"/>
      <c r="B19" s="4668"/>
      <c r="C19" s="1138" t="s">
        <v>943</v>
      </c>
    </row>
    <row r="20" spans="1:3" ht="13.5">
      <c r="A20" s="4672"/>
      <c r="B20" s="4667" t="s">
        <v>944</v>
      </c>
      <c r="C20" s="4666"/>
    </row>
    <row r="21" spans="1:3" ht="13.5">
      <c r="A21" s="1139" t="s">
        <v>945</v>
      </c>
      <c r="B21" s="1140"/>
      <c r="C21" s="1141"/>
    </row>
    <row r="22" spans="1:3" ht="13.5">
      <c r="A22" s="4669" t="s">
        <v>946</v>
      </c>
      <c r="B22" s="4667" t="s">
        <v>947</v>
      </c>
      <c r="C22" s="4666"/>
    </row>
    <row r="23" spans="1:3" ht="13.5">
      <c r="A23" s="4669"/>
      <c r="B23" s="4667" t="s">
        <v>948</v>
      </c>
      <c r="C23" s="4666"/>
    </row>
    <row r="24" spans="1:3" ht="13.5">
      <c r="A24" s="4669"/>
      <c r="B24" s="4667" t="s">
        <v>949</v>
      </c>
      <c r="C24" s="4666"/>
    </row>
    <row r="25" spans="1:3" ht="13.5">
      <c r="A25" s="4669"/>
      <c r="B25" s="4668" t="s">
        <v>950</v>
      </c>
      <c r="C25" s="1138" t="s">
        <v>951</v>
      </c>
    </row>
    <row r="26" spans="1:3" ht="13.5">
      <c r="A26" s="4669"/>
      <c r="B26" s="4668"/>
      <c r="C26" s="1138" t="s">
        <v>952</v>
      </c>
    </row>
    <row r="27" spans="1:3" ht="13.5">
      <c r="A27" s="4669"/>
      <c r="B27" s="4668"/>
      <c r="C27" s="1138" t="s">
        <v>953</v>
      </c>
    </row>
    <row r="28" spans="1:3" ht="13.5">
      <c r="A28" s="4669"/>
      <c r="B28" s="4668"/>
      <c r="C28" s="1138" t="s">
        <v>954</v>
      </c>
    </row>
    <row r="29" spans="1:3" ht="13.5">
      <c r="A29" s="4669"/>
      <c r="B29" s="4668"/>
      <c r="C29" s="1138" t="s">
        <v>955</v>
      </c>
    </row>
    <row r="30" spans="1:3" ht="13.5">
      <c r="A30" s="4669"/>
      <c r="B30" s="4668"/>
      <c r="C30" s="1138" t="s">
        <v>956</v>
      </c>
    </row>
    <row r="31" spans="1:3" ht="13.5">
      <c r="A31" s="4669"/>
      <c r="B31" s="4668"/>
      <c r="C31" s="1138" t="s">
        <v>957</v>
      </c>
    </row>
    <row r="32" spans="1:3" ht="13.5">
      <c r="A32" s="4669"/>
      <c r="B32" s="4668"/>
      <c r="C32" s="1138" t="s">
        <v>958</v>
      </c>
    </row>
    <row r="33" spans="1:3" ht="13.5">
      <c r="A33" s="4669"/>
      <c r="B33" s="4668"/>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46090</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11">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11">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11">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11">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11">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12">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12">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11">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12">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11">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12">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12">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3974</v>
      </c>
      <c r="B16" s="928">
        <v>1120240051</v>
      </c>
      <c r="C16" s="4611"/>
      <c r="D16" s="1839" t="str">
        <f>A16&amp;"（注册号："&amp;B16&amp;"）"</f>
        <v>赵雯（注册号：1120240051）</v>
      </c>
      <c r="E16" s="1840"/>
      <c r="F16" s="928"/>
      <c r="G16" s="928"/>
      <c r="H16" s="1843" t="str">
        <f t="shared" si="1"/>
        <v>（注册号：）</v>
      </c>
    </row>
    <row r="17" spans="1:8" ht="24" customHeight="1">
      <c r="A17" s="4673" t="s">
        <v>2063</v>
      </c>
      <c r="B17" s="4673"/>
      <c r="C17" s="4673"/>
      <c r="D17" s="4673"/>
      <c r="E17" s="4673"/>
      <c r="F17" s="4673"/>
      <c r="G17" s="4673"/>
      <c r="H17" s="4673"/>
    </row>
    <row r="18" spans="1:8" ht="24" customHeight="1">
      <c r="A18" s="4674" t="s">
        <v>2064</v>
      </c>
      <c r="B18" s="4674"/>
      <c r="C18" s="4674"/>
      <c r="D18" s="1837"/>
      <c r="E18" s="4675" t="s">
        <v>2065</v>
      </c>
      <c r="F18" s="4674"/>
      <c r="G18" s="4674"/>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2026-03-09T08:51:17Z</dcterms:modified>
</cp:coreProperties>
</file>